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https://arkinvestmentmanagement-my.sharepoint.com/personal/mfriedrich_ark-invest_com/Documents/Fintech Portfolio/Square/Valuations/June 2020/"/>
    </mc:Choice>
  </mc:AlternateContent>
  <xr:revisionPtr revIDLastSave="1320" documentId="8_{56408834-24CC-0D41-BE92-7339BED960E2}" xr6:coauthVersionLast="45" xr6:coauthVersionMax="45" xr10:uidLastSave="{43DA2009-A525-0445-822D-0BD27D8A25A8}"/>
  <bookViews>
    <workbookView xWindow="0" yWindow="460" windowWidth="28800" windowHeight="16460" activeTab="2" xr2:uid="{0BC6E3D0-2C53-E54F-8B5C-558C06852AFF}"/>
  </bookViews>
  <sheets>
    <sheet name="ARK Disclosure" sheetId="4" r:id="rId1"/>
    <sheet name="Instructive Note" sheetId="5" r:id="rId2"/>
    <sheet name="Square Valuation Extract" sheetId="3" r:id="rId3"/>
    <sheet name="Bank Reference" sheetId="2" r:id="rId4"/>
  </sheets>
  <externalReferences>
    <externalReference r:id="rId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35" i="3" l="1"/>
  <c r="AH11" i="3" l="1"/>
  <c r="AH110" i="3" l="1"/>
  <c r="B42" i="2" l="1"/>
  <c r="B44" i="2" s="1"/>
  <c r="B39" i="3"/>
  <c r="B16" i="3"/>
  <c r="B49" i="2"/>
  <c r="B39" i="2"/>
  <c r="B51" i="2" s="1"/>
  <c r="B52" i="3"/>
  <c r="AH44" i="3"/>
  <c r="AI19" i="3"/>
  <c r="AG22" i="3"/>
  <c r="AF22" i="3" s="1"/>
  <c r="AE22" i="3" s="1"/>
  <c r="AD22" i="3" s="1"/>
  <c r="AC22" i="3" s="1"/>
  <c r="AG103" i="3"/>
  <c r="AF103" i="3" s="1"/>
  <c r="AE103" i="3" s="1"/>
  <c r="AD103" i="3" s="1"/>
  <c r="AC103" i="3" s="1"/>
  <c r="AG101" i="3"/>
  <c r="AF101" i="3" s="1"/>
  <c r="AE101" i="3" s="1"/>
  <c r="AD101" i="3" s="1"/>
  <c r="AC101" i="3" s="1"/>
  <c r="AG99" i="3"/>
  <c r="AF99" i="3" s="1"/>
  <c r="AE99" i="3" s="1"/>
  <c r="AD99" i="3" s="1"/>
  <c r="AC99" i="3" s="1"/>
  <c r="B21" i="3"/>
  <c r="B23" i="3" s="1"/>
  <c r="AC110" i="3"/>
  <c r="AD110" i="3"/>
  <c r="AE110" i="3"/>
  <c r="AF110" i="3"/>
  <c r="AG110" i="3"/>
  <c r="B95" i="3"/>
  <c r="B94" i="3"/>
  <c r="B29" i="2"/>
  <c r="B21" i="2"/>
  <c r="B13" i="2"/>
  <c r="B27" i="2"/>
  <c r="B28" i="2" s="1"/>
  <c r="B19" i="2"/>
  <c r="B20" i="2" s="1"/>
  <c r="B38" i="3" l="1"/>
  <c r="B105" i="3"/>
  <c r="AH105" i="3" s="1"/>
  <c r="B100" i="3"/>
  <c r="AH67" i="3"/>
  <c r="C43" i="3"/>
  <c r="B91" i="3" l="1"/>
  <c r="AC91" i="3" s="1"/>
  <c r="AD91" i="3" s="1"/>
  <c r="AE91" i="3" s="1"/>
  <c r="AF91" i="3" s="1"/>
  <c r="AG91" i="3" s="1"/>
  <c r="AH108" i="3"/>
  <c r="AI30" i="3"/>
  <c r="AC19" i="3"/>
  <c r="AD19" i="3" l="1"/>
  <c r="D19" i="3"/>
  <c r="AE19" i="3" l="1"/>
  <c r="D21" i="3"/>
  <c r="E19" i="3"/>
  <c r="F19" i="3" s="1"/>
  <c r="G19" i="3" s="1"/>
  <c r="AF19" i="3" l="1"/>
  <c r="B26" i="3"/>
  <c r="B20" i="3"/>
  <c r="B13" i="3"/>
  <c r="AG108" i="3"/>
  <c r="AF108" i="3"/>
  <c r="AE108" i="3"/>
  <c r="AD108" i="3"/>
  <c r="AC108" i="3"/>
  <c r="C106" i="3"/>
  <c r="AG105" i="3"/>
  <c r="AF105" i="3" s="1"/>
  <c r="AE105" i="3" s="1"/>
  <c r="AD105" i="3" s="1"/>
  <c r="AC105" i="3" s="1"/>
  <c r="C102" i="3"/>
  <c r="C90" i="3"/>
  <c r="C89" i="3"/>
  <c r="C85" i="3"/>
  <c r="C81" i="3"/>
  <c r="C74" i="3"/>
  <c r="AC73" i="3"/>
  <c r="AD73" i="3" s="1"/>
  <c r="AE73" i="3" s="1"/>
  <c r="AF73" i="3" s="1"/>
  <c r="AG73" i="3" s="1"/>
  <c r="AH71" i="3"/>
  <c r="AH74" i="3" s="1"/>
  <c r="B71" i="3"/>
  <c r="B74" i="3" s="1"/>
  <c r="B68" i="3"/>
  <c r="B65" i="3" s="1"/>
  <c r="C68" i="3"/>
  <c r="C65" i="3" s="1"/>
  <c r="AC64" i="3"/>
  <c r="AD64" i="3" s="1"/>
  <c r="AH63" i="3"/>
  <c r="AH68" i="3" s="1"/>
  <c r="AH65" i="3" s="1"/>
  <c r="E54" i="3"/>
  <c r="E55" i="3" s="1"/>
  <c r="D54" i="3"/>
  <c r="C54" i="3" s="1"/>
  <c r="D50" i="3"/>
  <c r="D51" i="3" s="1"/>
  <c r="D57" i="3" s="1"/>
  <c r="AC49" i="3"/>
  <c r="G49" i="3" s="1"/>
  <c r="C49" i="3"/>
  <c r="C44" i="3"/>
  <c r="B42" i="3"/>
  <c r="AC42" i="3" s="1"/>
  <c r="AD42" i="3" s="1"/>
  <c r="C39" i="3"/>
  <c r="AC30" i="3"/>
  <c r="AD30" i="3" s="1"/>
  <c r="AE30" i="3" s="1"/>
  <c r="AF30" i="3" s="1"/>
  <c r="AG30" i="3" s="1"/>
  <c r="G30" i="3"/>
  <c r="D30" i="3" s="1"/>
  <c r="E30" i="3" s="1"/>
  <c r="F30" i="3" s="1"/>
  <c r="AH20" i="3"/>
  <c r="AI20" i="3" s="1"/>
  <c r="C21" i="3"/>
  <c r="C23" i="3" s="1"/>
  <c r="C19" i="3"/>
  <c r="AG12" i="3"/>
  <c r="AF12" i="3" s="1"/>
  <c r="AE12" i="3" s="1"/>
  <c r="AD12" i="3" s="1"/>
  <c r="AC12" i="3" s="1"/>
  <c r="AH10" i="3"/>
  <c r="C10" i="3"/>
  <c r="B9" i="3"/>
  <c r="AC9" i="3" s="1"/>
  <c r="C8" i="3"/>
  <c r="B15" i="3" l="1"/>
  <c r="B14" i="3" s="1"/>
  <c r="AI10" i="3"/>
  <c r="AH21" i="3"/>
  <c r="AG19" i="3"/>
  <c r="C9" i="3"/>
  <c r="C91" i="3"/>
  <c r="C76" i="3"/>
  <c r="B76" i="3"/>
  <c r="B79" i="3" s="1"/>
  <c r="AC71" i="3"/>
  <c r="AC74" i="3" s="1"/>
  <c r="F49" i="3"/>
  <c r="F54" i="3" s="1"/>
  <c r="F58" i="3" s="1"/>
  <c r="C42" i="3"/>
  <c r="C51" i="3"/>
  <c r="AE42" i="3"/>
  <c r="G54" i="3"/>
  <c r="AC10" i="3"/>
  <c r="AC21" i="3" s="1"/>
  <c r="AC23" i="3" s="1"/>
  <c r="AD9" i="3"/>
  <c r="AH49" i="3"/>
  <c r="C38" i="3"/>
  <c r="C57" i="3"/>
  <c r="AH76" i="3"/>
  <c r="D58" i="3"/>
  <c r="D59" i="3" s="1"/>
  <c r="E58" i="3"/>
  <c r="AE64" i="3"/>
  <c r="D55" i="3"/>
  <c r="AH23" i="3" l="1"/>
  <c r="AI21" i="3"/>
  <c r="AD71" i="3"/>
  <c r="AD74" i="3" s="1"/>
  <c r="G58" i="3"/>
  <c r="AC58" i="3" s="1"/>
  <c r="C58" i="3"/>
  <c r="C59" i="3" s="1"/>
  <c r="X49" i="3"/>
  <c r="AA49" i="3"/>
  <c r="Z49" i="3"/>
  <c r="Y49" i="3"/>
  <c r="E50" i="3"/>
  <c r="AC54" i="3"/>
  <c r="F55" i="3"/>
  <c r="AF64" i="3"/>
  <c r="AF42" i="3"/>
  <c r="AE9" i="3"/>
  <c r="AD10" i="3"/>
  <c r="AD21" i="3" s="1"/>
  <c r="AD23" i="3" s="1"/>
  <c r="G55" i="3"/>
  <c r="AH25" i="3" l="1"/>
  <c r="AH13" i="3" s="1"/>
  <c r="AI23" i="3"/>
  <c r="AE71" i="3"/>
  <c r="AF71" i="3" s="1"/>
  <c r="AC55" i="3"/>
  <c r="C79" i="3"/>
  <c r="AD49" i="3"/>
  <c r="E51" i="3"/>
  <c r="E57" i="3" s="1"/>
  <c r="F50" i="3"/>
  <c r="Y54" i="3"/>
  <c r="Y55" i="3" s="1"/>
  <c r="X54" i="3"/>
  <c r="X55" i="3" s="1"/>
  <c r="Z54" i="3"/>
  <c r="Z55" i="3" s="1"/>
  <c r="AE10" i="3"/>
  <c r="AE21" i="3" s="1"/>
  <c r="AE23" i="3" s="1"/>
  <c r="AF9" i="3"/>
  <c r="AG42" i="3"/>
  <c r="AG64" i="3"/>
  <c r="AA54" i="3"/>
  <c r="AI25" i="3" l="1"/>
  <c r="AH26" i="3"/>
  <c r="AI26" i="3" s="1"/>
  <c r="AE74" i="3"/>
  <c r="AA58" i="3"/>
  <c r="Z58" i="3"/>
  <c r="AA55" i="3"/>
  <c r="AF10" i="3"/>
  <c r="AF21" i="3" s="1"/>
  <c r="AF23" i="3" s="1"/>
  <c r="AG9" i="3"/>
  <c r="AG10" i="3" s="1"/>
  <c r="AG21" i="3" s="1"/>
  <c r="AG23" i="3" s="1"/>
  <c r="F51" i="3"/>
  <c r="F57" i="3" s="1"/>
  <c r="F59" i="3" s="1"/>
  <c r="G50" i="3"/>
  <c r="AE49" i="3"/>
  <c r="E59" i="3"/>
  <c r="H49" i="3"/>
  <c r="K49" i="3"/>
  <c r="J49" i="3"/>
  <c r="I49" i="3"/>
  <c r="AF74" i="3"/>
  <c r="AG71" i="3"/>
  <c r="AG74" i="3" s="1"/>
  <c r="AI13" i="3" l="1"/>
  <c r="AG49" i="3"/>
  <c r="W49" i="3" s="1"/>
  <c r="U49" i="3"/>
  <c r="J54" i="3"/>
  <c r="J55" i="3" s="1"/>
  <c r="I54" i="3"/>
  <c r="I55" i="3" s="1"/>
  <c r="K54" i="3"/>
  <c r="L49" i="3"/>
  <c r="N49" i="3"/>
  <c r="O49" i="3"/>
  <c r="M49" i="3"/>
  <c r="H54" i="3"/>
  <c r="AC50" i="3"/>
  <c r="G51" i="3"/>
  <c r="AF49" i="3"/>
  <c r="V49" i="3" l="1"/>
  <c r="V54" i="3" s="1"/>
  <c r="V55" i="3" s="1"/>
  <c r="T49" i="3"/>
  <c r="T54" i="3" s="1"/>
  <c r="T55" i="3" s="1"/>
  <c r="K58" i="3"/>
  <c r="O54" i="3"/>
  <c r="W54" i="3"/>
  <c r="W55" i="3" s="1"/>
  <c r="N54" i="3"/>
  <c r="N55" i="3" s="1"/>
  <c r="AD54" i="3"/>
  <c r="H58" i="3"/>
  <c r="L54" i="3"/>
  <c r="J58" i="3"/>
  <c r="P49" i="3"/>
  <c r="S49" i="3"/>
  <c r="R49" i="3"/>
  <c r="Q49" i="3"/>
  <c r="AC51" i="3"/>
  <c r="G57" i="3"/>
  <c r="H55" i="3"/>
  <c r="M54" i="3"/>
  <c r="K55" i="3"/>
  <c r="I58" i="3"/>
  <c r="U54" i="3"/>
  <c r="M58" i="3" l="1"/>
  <c r="AH54" i="3"/>
  <c r="AE54" i="3"/>
  <c r="L58" i="3"/>
  <c r="U55" i="3"/>
  <c r="AH55" i="3" s="1"/>
  <c r="Q54" i="3"/>
  <c r="L55" i="3"/>
  <c r="V58" i="3"/>
  <c r="X58" i="3"/>
  <c r="N58" i="3"/>
  <c r="W58" i="3"/>
  <c r="Y58" i="3"/>
  <c r="AD55" i="3"/>
  <c r="H50" i="3"/>
  <c r="R54" i="3"/>
  <c r="R55" i="3" s="1"/>
  <c r="AD58" i="3"/>
  <c r="P54" i="3"/>
  <c r="P55" i="3" s="1"/>
  <c r="O58" i="3"/>
  <c r="M55" i="3"/>
  <c r="AG54" i="3"/>
  <c r="G59" i="3"/>
  <c r="AC57" i="3"/>
  <c r="AC59" i="3" s="1"/>
  <c r="S54" i="3"/>
  <c r="O55" i="3"/>
  <c r="AH58" i="3" l="1"/>
  <c r="S58" i="3"/>
  <c r="Q58" i="3"/>
  <c r="AG55" i="3"/>
  <c r="T58" i="3"/>
  <c r="U58" i="3"/>
  <c r="H51" i="3"/>
  <c r="H57" i="3" s="1"/>
  <c r="I50" i="3"/>
  <c r="Q55" i="3"/>
  <c r="S55" i="3"/>
  <c r="AF54" i="3"/>
  <c r="P58" i="3"/>
  <c r="R58" i="3"/>
  <c r="AE55" i="3"/>
  <c r="AE58" i="3"/>
  <c r="AF58" i="3" l="1"/>
  <c r="AF55" i="3"/>
  <c r="H59" i="3"/>
  <c r="I51" i="3"/>
  <c r="I57" i="3" s="1"/>
  <c r="I59" i="3" s="1"/>
  <c r="J50" i="3"/>
  <c r="AG58" i="3"/>
  <c r="J51" i="3" l="1"/>
  <c r="J57" i="3" s="1"/>
  <c r="J59" i="3" s="1"/>
  <c r="K50" i="3"/>
  <c r="AD50" i="3" l="1"/>
  <c r="L50" i="3"/>
  <c r="K51" i="3"/>
  <c r="L51" i="3" l="1"/>
  <c r="L57" i="3" s="1"/>
  <c r="M50" i="3"/>
  <c r="AD51" i="3"/>
  <c r="K57" i="3"/>
  <c r="K59" i="3" l="1"/>
  <c r="AD57" i="3"/>
  <c r="AD59" i="3" s="1"/>
  <c r="M51" i="3"/>
  <c r="M57" i="3" s="1"/>
  <c r="M59" i="3" s="1"/>
  <c r="N50" i="3"/>
  <c r="L59" i="3"/>
  <c r="N51" i="3" l="1"/>
  <c r="N57" i="3" s="1"/>
  <c r="N59" i="3" s="1"/>
  <c r="O50" i="3"/>
  <c r="P50" i="3" l="1"/>
  <c r="O51" i="3"/>
  <c r="AE50" i="3"/>
  <c r="AE51" i="3" l="1"/>
  <c r="O57" i="3"/>
  <c r="P51" i="3"/>
  <c r="P57" i="3" s="1"/>
  <c r="Q50" i="3"/>
  <c r="Q51" i="3" l="1"/>
  <c r="Q57" i="3" s="1"/>
  <c r="Q59" i="3" s="1"/>
  <c r="R50" i="3"/>
  <c r="P59" i="3"/>
  <c r="O59" i="3"/>
  <c r="AE57" i="3"/>
  <c r="AE59" i="3" s="1"/>
  <c r="R51" i="3" l="1"/>
  <c r="R57" i="3" s="1"/>
  <c r="S50" i="3"/>
  <c r="T50" i="3" l="1"/>
  <c r="AF50" i="3"/>
  <c r="S51" i="3"/>
  <c r="R59" i="3"/>
  <c r="S57" i="3" l="1"/>
  <c r="AF51" i="3"/>
  <c r="U50" i="3"/>
  <c r="T51" i="3"/>
  <c r="T57" i="3" s="1"/>
  <c r="T59" i="3" l="1"/>
  <c r="U51" i="3"/>
  <c r="U57" i="3" s="1"/>
  <c r="U59" i="3" s="1"/>
  <c r="V50" i="3"/>
  <c r="S59" i="3"/>
  <c r="AF57" i="3"/>
  <c r="AF59" i="3" s="1"/>
  <c r="V51" i="3" l="1"/>
  <c r="V57" i="3" s="1"/>
  <c r="V59" i="3" s="1"/>
  <c r="W50" i="3"/>
  <c r="AG50" i="3" l="1"/>
  <c r="X50" i="3"/>
  <c r="W51" i="3"/>
  <c r="Y50" i="3" l="1"/>
  <c r="X51" i="3"/>
  <c r="X57" i="3" s="1"/>
  <c r="AG51" i="3"/>
  <c r="W57" i="3"/>
  <c r="W59" i="3" l="1"/>
  <c r="AG57" i="3"/>
  <c r="AG59" i="3" s="1"/>
  <c r="X59" i="3"/>
  <c r="Y51" i="3"/>
  <c r="Y57" i="3" s="1"/>
  <c r="Y59" i="3" s="1"/>
  <c r="Z50" i="3"/>
  <c r="Z51" i="3" l="1"/>
  <c r="Z57" i="3" s="1"/>
  <c r="AA50" i="3"/>
  <c r="AH50" i="3" l="1"/>
  <c r="AA51" i="3"/>
  <c r="AA57" i="3" s="1"/>
  <c r="Z59" i="3"/>
  <c r="AH51" i="3" l="1"/>
  <c r="AA59" i="3" l="1"/>
  <c r="AH57" i="3"/>
  <c r="AH59" i="3" s="1"/>
  <c r="B30" i="2" l="1"/>
  <c r="B22" i="2"/>
  <c r="B10" i="2"/>
  <c r="B11" i="2" l="1"/>
  <c r="B12" i="2" s="1"/>
  <c r="B14" i="2" s="1"/>
  <c r="B32" i="2" l="1"/>
  <c r="AH37" i="3" s="1"/>
  <c r="AH38" i="3" l="1"/>
  <c r="AI38" i="3" s="1"/>
  <c r="AH39" i="3" l="1"/>
  <c r="AI39" i="3" s="1"/>
  <c r="AH89" i="3" s="1"/>
  <c r="AH90" i="3" s="1"/>
  <c r="AC38" i="3"/>
  <c r="AD38" i="3" l="1"/>
  <c r="AC39" i="3"/>
  <c r="AD89" i="3"/>
  <c r="AF89" i="3"/>
  <c r="AG89" i="3"/>
  <c r="AE89" i="3"/>
  <c r="AC89" i="3"/>
  <c r="AC90" i="3" s="1"/>
  <c r="AD90" i="3"/>
  <c r="AE38" i="3" l="1"/>
  <c r="AD39" i="3"/>
  <c r="AE90" i="3"/>
  <c r="AF38" i="3" l="1"/>
  <c r="AE39" i="3"/>
  <c r="AF90" i="3"/>
  <c r="AG38" i="3" l="1"/>
  <c r="AG39" i="3" s="1"/>
  <c r="AF39" i="3"/>
  <c r="AG90" i="3"/>
  <c r="AC11" i="3" l="1"/>
  <c r="D11" i="3" s="1"/>
  <c r="E11" i="3" l="1"/>
  <c r="F11" i="3" s="1"/>
  <c r="G11" i="3" s="1"/>
  <c r="C11" i="3"/>
  <c r="C20" i="3" s="1"/>
  <c r="C25" i="3" s="1"/>
  <c r="D20" i="3"/>
  <c r="AC63" i="3"/>
  <c r="AC68" i="3" s="1"/>
  <c r="AC65" i="3" s="1"/>
  <c r="AC76" i="3" s="1"/>
  <c r="AC20" i="3"/>
  <c r="AD11" i="3"/>
  <c r="AC25" i="3" l="1"/>
  <c r="AC26" i="3" s="1"/>
  <c r="C13" i="3"/>
  <c r="C26" i="3"/>
  <c r="AD63" i="3"/>
  <c r="AD68" i="3" s="1"/>
  <c r="AD65" i="3" s="1"/>
  <c r="AD76" i="3" s="1"/>
  <c r="AD20" i="3"/>
  <c r="AE11" i="3"/>
  <c r="AD25" i="3" l="1"/>
  <c r="AD26" i="3" s="1"/>
  <c r="C15" i="3"/>
  <c r="C14" i="3" s="1"/>
  <c r="AH15" i="3" s="1"/>
  <c r="AH17" i="3" s="1"/>
  <c r="AE63" i="3"/>
  <c r="AE68" i="3" s="1"/>
  <c r="AE65" i="3" s="1"/>
  <c r="AE76" i="3" s="1"/>
  <c r="AF11" i="3"/>
  <c r="AE20" i="3"/>
  <c r="AE25" i="3" l="1"/>
  <c r="AE26" i="3" s="1"/>
  <c r="C17" i="3"/>
  <c r="AG14" i="3"/>
  <c r="AI15" i="3"/>
  <c r="AG11" i="3"/>
  <c r="AF20" i="3"/>
  <c r="AF63" i="3"/>
  <c r="AF68" i="3" s="1"/>
  <c r="AF65" i="3" s="1"/>
  <c r="AF76" i="3" s="1"/>
  <c r="AF25" i="3" l="1"/>
  <c r="AF26" i="3" s="1"/>
  <c r="C95" i="3"/>
  <c r="C94" i="3"/>
  <c r="AF14" i="3"/>
  <c r="AG15" i="3"/>
  <c r="AG85" i="3" s="1"/>
  <c r="AG20" i="3"/>
  <c r="AG25" i="3" s="1"/>
  <c r="AG63" i="3"/>
  <c r="AG68" i="3" s="1"/>
  <c r="AG65" i="3" s="1"/>
  <c r="AG76" i="3" s="1"/>
  <c r="AI17" i="3" l="1"/>
  <c r="AE14" i="3"/>
  <c r="AF15" i="3"/>
  <c r="AG13" i="3"/>
  <c r="AG17" i="3" s="1"/>
  <c r="AG26" i="3"/>
  <c r="AH79" i="3" l="1"/>
  <c r="AH85" i="3"/>
  <c r="AI85" i="3" s="1"/>
  <c r="AH81" i="3"/>
  <c r="AI79" i="3"/>
  <c r="AF85" i="3"/>
  <c r="AF17" i="3"/>
  <c r="AD14" i="3"/>
  <c r="AE15" i="3"/>
  <c r="AG79" i="3"/>
  <c r="AG81" i="3" s="1"/>
  <c r="AG95" i="3" s="1"/>
  <c r="AH94" i="3" l="1"/>
  <c r="AH95" i="3"/>
  <c r="AH102" i="3" s="1"/>
  <c r="AH52" i="3" s="1"/>
  <c r="AG106" i="3"/>
  <c r="AG102" i="3"/>
  <c r="AG94" i="3"/>
  <c r="AE85" i="3"/>
  <c r="AE17" i="3"/>
  <c r="AF79" i="3"/>
  <c r="AF81" i="3" s="1"/>
  <c r="AF94" i="3" s="1"/>
  <c r="AC14" i="3"/>
  <c r="AC15" i="3" s="1"/>
  <c r="AD15" i="3"/>
  <c r="AH106" i="3" l="1"/>
  <c r="AH100" i="3"/>
  <c r="AH104" i="3"/>
  <c r="AG104" i="3"/>
  <c r="AG52" i="3"/>
  <c r="AF95" i="3"/>
  <c r="AE79" i="3"/>
  <c r="AE81" i="3" s="1"/>
  <c r="AD17" i="3"/>
  <c r="AD85" i="3"/>
  <c r="AC85" i="3"/>
  <c r="AC17" i="3"/>
  <c r="AF106" i="3" l="1"/>
  <c r="AF102" i="3"/>
  <c r="AE94" i="3"/>
  <c r="AE95" i="3"/>
  <c r="AC79" i="3"/>
  <c r="AC81" i="3" s="1"/>
  <c r="AC94" i="3" s="1"/>
  <c r="AD79" i="3"/>
  <c r="AD81" i="3" s="1"/>
  <c r="AD94" i="3" s="1"/>
  <c r="AF104" i="3" l="1"/>
  <c r="AF52" i="3"/>
  <c r="AE106" i="3"/>
  <c r="AE102" i="3"/>
  <c r="AC95" i="3"/>
  <c r="AD95" i="3"/>
  <c r="AE104" i="3" l="1"/>
  <c r="AE52" i="3"/>
  <c r="AD106" i="3"/>
  <c r="AD102" i="3"/>
  <c r="AC106" i="3"/>
  <c r="AC107" i="3" s="1"/>
  <c r="AC102" i="3"/>
  <c r="AD104" i="3" l="1"/>
  <c r="AD52" i="3"/>
  <c r="AC104" i="3"/>
  <c r="AC109" i="3" s="1"/>
  <c r="AC52" i="3"/>
  <c r="AD107" i="3"/>
  <c r="AE107" i="3" s="1"/>
  <c r="AF107" i="3" s="1"/>
  <c r="AG107" i="3" s="1"/>
  <c r="AG109" i="3" s="1"/>
  <c r="AD109" i="3" l="1"/>
  <c r="AE109" i="3"/>
  <c r="AF109" i="3"/>
  <c r="AH107" i="3"/>
  <c r="AH109" i="3" s="1"/>
  <c r="AH112" i="3" s="1"/>
  <c r="AH4" i="3" s="1"/>
  <c r="AI4" i="3" s="1"/>
</calcChain>
</file>

<file path=xl/sharedStrings.xml><?xml version="1.0" encoding="utf-8"?>
<sst xmlns="http://schemas.openxmlformats.org/spreadsheetml/2006/main" count="277" uniqueCount="202">
  <si>
    <t>This work is licensed under a Creative Commons Attribution-Non-Commercial 4.0 International License.</t>
  </si>
  <si>
    <t>You may not use the material for commercial purposes without first obtaining written permission.</t>
  </si>
  <si>
    <t xml:space="preserve">2020, ARK Investment Management LLC. All content is original and has been researched and produced by ARK Investment Management LLC (“ARK”) unless otherwise stated herein. </t>
  </si>
  <si>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</si>
  <si>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t xml:space="preserve">This material is intended only to provide observations and views of the author(s) at the time of writing, both of which are subject to change at any time without prior notice. Certain of the statements contained herein are statements of future expectations and other forward-looking statements that are based on ARK's current views and assumptions and involve known and unknown risks and uncertainties that could cause actual results, performance or events to differ materially from those expressed or implied in such statements. Past performance is no guarantee of future results. Equities may decline in value due to both real and perceived general market, economic, and industry conditions. </t>
  </si>
  <si>
    <r>
      <t xml:space="preserve">ARK's statements are not an endorsement of any company or a recommendation to buy, sell, or hold any security. For a list of all purchases and sales made by ARK for client accounts during the past year that could be considered by the SEC as recommendations, please go to </t>
    </r>
    <r>
      <rPr>
        <b/>
        <u/>
        <sz val="11"/>
        <color rgb="FF000000"/>
        <rFont val="Arial"/>
        <family val="2"/>
      </rPr>
      <t>https://ark-invest.com/wp-content/trades/ARK_Trades.pdf</t>
    </r>
    <r>
      <rPr>
        <b/>
        <sz val="11"/>
        <color rgb="FF000000"/>
        <rFont val="Arial"/>
        <family val="2"/>
      </rPr>
      <t xml:space="preserve">. It should not be assumed that recommendations made in the future will be profitable or will equal the performance of the securities in this list. For full disclosures, please go to </t>
    </r>
    <r>
      <rPr>
        <b/>
        <u/>
        <sz val="11"/>
        <color rgb="FF000000"/>
        <rFont val="Arial"/>
        <family val="2"/>
      </rPr>
      <t>https://ark-invest.com/terms-of-use</t>
    </r>
    <r>
      <rPr>
        <b/>
        <sz val="11"/>
        <color rgb="FF000000"/>
        <rFont val="Arial"/>
        <family val="2"/>
      </rPr>
      <t>.</t>
    </r>
  </si>
  <si>
    <t>While ARK’s current assessment of the subject company may be positive, please note that it may be necessary for ARK to liquidate or reduce position sizes prior to the company attaining any indicated valuation prices due to a variety of conditions including, but not limited to, client specific guidelines, changing market conditions, investor activity, fundamental changes in the company’s business model and competitive landscape, headline risk, and government/regulatory activity. Additionally, ARK does not have investment banking, consulting, or any type of fee-paying relationship with the subject company.</t>
  </si>
  <si>
    <t>We have published a blog post accompanying this extract of our Square valuation model on ARK's website. Intentionally, we have not incorporated the potential for Square’s international business, an important call option. For further information, please read the accompanying blog post. Regarding this valuation extract, feel free to change variables (marked in red) to battle test our assumptions, and share your thoughts with us. We will welcome all questions, feedback, and constructive criticism.</t>
  </si>
  <si>
    <t>Q1 2020 Annualized</t>
  </si>
  <si>
    <t>Q1</t>
  </si>
  <si>
    <t>Q2</t>
  </si>
  <si>
    <t xml:space="preserve">Q3 </t>
  </si>
  <si>
    <t>Q4</t>
  </si>
  <si>
    <t>CAGR</t>
  </si>
  <si>
    <t>Notes</t>
  </si>
  <si>
    <t>Stock Price (For 2019: As of 23/9/20)</t>
  </si>
  <si>
    <t>Transaction-based Revenue</t>
  </si>
  <si>
    <t>Total Addressable Market (TAM)</t>
  </si>
  <si>
    <t>US General Purpose Card Purchase Volume (Nilsen). This valuation extract does not incorporate Square's international opportunity. For simplicity's sake, we assume that Square's operating metrics such as GMV and revenue are fully attributable to Square's US operations, while in reality, a small single digit percentage comes from Square's international sales.</t>
  </si>
  <si>
    <t>TAM Penetration</t>
  </si>
  <si>
    <t>Square's market share of TAM</t>
  </si>
  <si>
    <t>Total GPV</t>
  </si>
  <si>
    <t>[Total Addressable Market (TAM)] * [TAM Penetration]</t>
  </si>
  <si>
    <t>Online Store Attach Rate of Active Sellers</t>
  </si>
  <si>
    <t>Estimated % of active Square sellers using Online Store</t>
  </si>
  <si>
    <t>Online Store Gross Take Rate</t>
  </si>
  <si>
    <t>Estimated Online Store Gross Take Rate</t>
  </si>
  <si>
    <t>Online Transaction-based Revenue</t>
  </si>
  <si>
    <t>[Online Store Seller GPV] * [Online Store Gross Take Rate]</t>
  </si>
  <si>
    <t>Offline Gross Take Rate</t>
  </si>
  <si>
    <t>Estimated Offline Gross Take Rate</t>
  </si>
  <si>
    <t>Offline Transaction-based Revenue</t>
  </si>
  <si>
    <t>[Offline Seller GPV] * [Offline Gross Take Rate]</t>
  </si>
  <si>
    <t>Cash App Transaction-based Revenue</t>
  </si>
  <si>
    <t>According to Square disclosures, roughly 10% of Cash App revenue falls under Transaction-based Revenue. For simplicity purpuses of this valuation extract, we book all future Cash App revenue into Subscription and Services Revenue.</t>
  </si>
  <si>
    <t>Total Transaction-based Revenue</t>
  </si>
  <si>
    <t>[Online Transaction-based Revenue] + [Offline Transaction-based Revenue]</t>
  </si>
  <si>
    <t>Active Square Sellers</t>
  </si>
  <si>
    <t>Number of Square sellers that have taken at least give payments in the last 12 months</t>
  </si>
  <si>
    <t>Online Store Sellers</t>
  </si>
  <si>
    <t>[Active Square Sellers] * [Online Store Attach Rate of Active Sellers]</t>
  </si>
  <si>
    <t>Total GPV per Seller</t>
  </si>
  <si>
    <t>[Total GPV] / [Active Square Sellers]</t>
  </si>
  <si>
    <t>Online Store GPV per Sellers as % of average GPV per Seller</t>
  </si>
  <si>
    <t>Estimated % of GPV a Online Seller generates compared to the total average GPV of all Square sellers</t>
  </si>
  <si>
    <t>GPV per Online Seller</t>
  </si>
  <si>
    <t>[Total GPV per Seller] * [Online Store GPV per Sellers as % of average GPV per Seller]</t>
  </si>
  <si>
    <t>Online Store GPV</t>
  </si>
  <si>
    <t>[Square Online Store Sellers] * [GPV per Online Seller]</t>
  </si>
  <si>
    <t>Offline Seller GPV</t>
  </si>
  <si>
    <t>[Total GPV] - [Online Store GPV]</t>
  </si>
  <si>
    <t>Subscription and Services (S&amp;S) Revenue</t>
  </si>
  <si>
    <t>Cash App</t>
  </si>
  <si>
    <t>Monthly Active Users (MAUs)</t>
  </si>
  <si>
    <t>Based on ARK's Digital Wallet User Forecast</t>
  </si>
  <si>
    <t>Primary Cash App Users</t>
  </si>
  <si>
    <t>Cash App First User Defition: Assuming that 100% of user's banking revenue is captured by Cash App</t>
  </si>
  <si>
    <t>Secondary Cash App Users</t>
  </si>
  <si>
    <t>Cash App Mix User Definition: Assuming that [AH38]% of user's banking revenue is captured by Cash App</t>
  </si>
  <si>
    <t>Secondary Cash App Users' monetization level vs. Primary Cast App Users</t>
  </si>
  <si>
    <t>% of user's banking revenue captured by Cash App Mix User compared to Cash App First User</t>
  </si>
  <si>
    <t>Unmonetized Users</t>
  </si>
  <si>
    <t>Rest (No Monetization) Definition: 0% of user's banking revenue captured by Cash App</t>
  </si>
  <si>
    <t>Average Consumer Banking Revenue per Customer</t>
  </si>
  <si>
    <t>Based on average consumer banking revenue per customer of JP Morgan Chase, Bank of America and Wells Fargo. See sheet "Bank Reference"</t>
  </si>
  <si>
    <t>Average Revenue per MAU</t>
  </si>
  <si>
    <t>[ [Cash App First User] * [Average Consumer Banking Revenue per Customer] ] + [ [ Cash App Mix User] * [Cash App Mix User's monetization level vs. Cash App First User] * [Average Consumer Banking Revenue per Customer] ]</t>
  </si>
  <si>
    <t>Cash App S&amp;S Revenue (ex. Bitcoin)</t>
  </si>
  <si>
    <t>[Monthly Active Users (MAUs)] * [Average Revenue per MAU]</t>
  </si>
  <si>
    <t>Square Capital</t>
  </si>
  <si>
    <t>Square Capital Originations as % of Total GPV</t>
  </si>
  <si>
    <t>% of Loans Sold</t>
  </si>
  <si>
    <t>Estimated % of loans sold to third-party investors</t>
  </si>
  <si>
    <t>% of Loans Not Sold</t>
  </si>
  <si>
    <t>Estimated % of loans held</t>
  </si>
  <si>
    <t>Origination Fee</t>
  </si>
  <si>
    <t>Estimated Origination Fee</t>
  </si>
  <si>
    <t>Servicing Fee</t>
  </si>
  <si>
    <t>Estimated Servicing Fee</t>
  </si>
  <si>
    <t>Interest yield after loan losses</t>
  </si>
  <si>
    <t>Estimated Interest yield on loans after loan losses</t>
  </si>
  <si>
    <t>Help</t>
  </si>
  <si>
    <t>Origination Volume</t>
  </si>
  <si>
    <t>[Total GPV] * [Square Capital Originations as % of Total GPV]</t>
  </si>
  <si>
    <t>Loans held for sale (Balance Sheet)</t>
  </si>
  <si>
    <t>Square Capital loans held on Balance Sheet</t>
  </si>
  <si>
    <t>Average Loans on Balance Sheet (not annualized)</t>
  </si>
  <si>
    <t>Average loans held on Balance Sheet (not at end of period)</t>
  </si>
  <si>
    <t>Loans on Balance Sheet as % of EBITDA</t>
  </si>
  <si>
    <t>Loans Sold</t>
  </si>
  <si>
    <t>Square Capital loans sold</t>
  </si>
  <si>
    <t>Loans Not Sold</t>
  </si>
  <si>
    <t>Square Capital loans not sold</t>
  </si>
  <si>
    <t>Revenue: Loans not sold</t>
  </si>
  <si>
    <t>Revenue generated from Loans not sold</t>
  </si>
  <si>
    <t>Revenue: Loans sold</t>
  </si>
  <si>
    <t>Revenue generated from Loans sold</t>
  </si>
  <si>
    <t>Total Square Capital Revenue</t>
  </si>
  <si>
    <t>[Revenue: Loans not sold] + [Revenue: Loans sold]</t>
  </si>
  <si>
    <t>Online Store &amp; Weebly</t>
  </si>
  <si>
    <t>Online Store</t>
  </si>
  <si>
    <t>ARPU (Online Store)</t>
  </si>
  <si>
    <t>Estimated Annual Revenue per User</t>
  </si>
  <si>
    <t>Online Store Revenue</t>
  </si>
  <si>
    <t>[ARPU (Online Store)] * [Online Store Sellers]</t>
  </si>
  <si>
    <t>Online Store sellers</t>
  </si>
  <si>
    <t>Weebly</t>
  </si>
  <si>
    <t>Paying Subscribers</t>
  </si>
  <si>
    <t>Paying Weebly customers</t>
  </si>
  <si>
    <t>Quartely Adds</t>
  </si>
  <si>
    <t>Quarterly additions on net new active paying Weebly customers</t>
  </si>
  <si>
    <t>ARPU (Weebly)</t>
  </si>
  <si>
    <t>Weebly Revenue</t>
  </si>
  <si>
    <t>[ARPU (Weebly)] * [Paying Subscribers]</t>
  </si>
  <si>
    <t>Total Online Store and Weebly Revenue</t>
  </si>
  <si>
    <t>[Online Store Revenue] + [Weebly Revenue]</t>
  </si>
  <si>
    <t>Other SaaS &amp; Instant Deposit</t>
  </si>
  <si>
    <t>Other SaaS &amp; Instant Deposit Revenue</t>
  </si>
  <si>
    <t>Estimated to grow in line with total transaction-based revenue</t>
  </si>
  <si>
    <t>Total Subscription &amp; Services</t>
  </si>
  <si>
    <t>[Cash App Revenue ex. Bitcoin] + [Total Square Capital Revenue] + [Total Online Store and Weebly Revenue] + [Other SaaS &amp; Instant Deposit Revenue]</t>
  </si>
  <si>
    <t>Hardware Revenue</t>
  </si>
  <si>
    <t>Estimated to grow in line with offline transaction-based revenue</t>
  </si>
  <si>
    <t>Bitcoin Revenue</t>
  </si>
  <si>
    <t>Estimated to grow in line with Cash App Revenue ex. Bitcoin</t>
  </si>
  <si>
    <t>Bitcoin Gross Profit</t>
  </si>
  <si>
    <t>[Bitcoin Revenue] * [Bitcoin Take Rate]</t>
  </si>
  <si>
    <t>Bitcoin Take Rate</t>
  </si>
  <si>
    <t>Estimated Bitcoin Take Rate</t>
  </si>
  <si>
    <t>Total Revenue</t>
  </si>
  <si>
    <t>[Total Transaction-based Revenue] + [Total Subscription &amp; Services Revenue] + [Hardware Revenue] + [Bitcoin Revenue]</t>
  </si>
  <si>
    <t>Total Revenue ex. Bitcoin</t>
  </si>
  <si>
    <t>[Total Transaction-based Revenue] + [Total Subscription &amp; Services Revenue] + [Hardware Revenue]</t>
  </si>
  <si>
    <t>Valuation</t>
  </si>
  <si>
    <t>Gross Margin</t>
  </si>
  <si>
    <t>Taking PayPal's gross margin as reference, which ranged from 45%-52% between 2012-2020</t>
  </si>
  <si>
    <t>Gross Profit</t>
  </si>
  <si>
    <t>[Total Revenue] * [Gross Margin]</t>
  </si>
  <si>
    <t>EBITDA Margin</t>
  </si>
  <si>
    <t>Taking JP Morgan Chase, Bank of America and Wells Fargo's Pre-tax margin as reference, see sheet "Bank Reference"</t>
  </si>
  <si>
    <t>EBITDA</t>
  </si>
  <si>
    <t>[Total Revenue excluding Bitcoin] * [EBITDA Margin] + [Bitcoin Gross Profit]</t>
  </si>
  <si>
    <t>EV/EBITDA Multiple</t>
  </si>
  <si>
    <t>Taking Aswath Damodaran's Enterprise Value Multiples by Sector (US) table as reference</t>
  </si>
  <si>
    <t>Enterprise Value</t>
  </si>
  <si>
    <t>[EBITDA] * [EV/EBITDA Multiple]</t>
  </si>
  <si>
    <t>Free Cash Flow Margin</t>
  </si>
  <si>
    <t>Assuming retains 2019 FCF Margin</t>
  </si>
  <si>
    <t>Free Cash Flow</t>
  </si>
  <si>
    <t>[Total Revenue excluding Bitcoin] * [Free Cash Flow Margin]</t>
  </si>
  <si>
    <t>Cash and Equivalents</t>
  </si>
  <si>
    <t>[Cash and Equivalents from prior year] + [Current year Free Cash Flow]</t>
  </si>
  <si>
    <t>Long Term Debt</t>
  </si>
  <si>
    <t>Square's 2019 Long Term Debt, held constant</t>
  </si>
  <si>
    <t>Market Capitalization</t>
  </si>
  <si>
    <t>[Enterprive Value] + [Cash and Equivalents] - [Long Term Debt]</t>
  </si>
  <si>
    <t>Shares Outstanding</t>
  </si>
  <si>
    <t>Applying Annual Share Dilution to 2019 Shares Outstanding</t>
  </si>
  <si>
    <t>Annual Share Dilution</t>
  </si>
  <si>
    <t>Estimated Annual Share Dilution</t>
  </si>
  <si>
    <t>Stock Price</t>
  </si>
  <si>
    <t>[Market Capitalization] / [Shares Outstanding]</t>
  </si>
  <si>
    <t>All bank data as of 12/31/2019</t>
  </si>
  <si>
    <t>Link</t>
  </si>
  <si>
    <t>% of fees eliminated</t>
  </si>
  <si>
    <t>Assuming Cash App eliminates some part of revelant fees to offer competitive and user friendly product</t>
  </si>
  <si>
    <t>% of consumer &amp; business revenue that is business revenue</t>
  </si>
  <si>
    <t>Excludes business revenue</t>
  </si>
  <si>
    <t>% of business</t>
  </si>
  <si>
    <t>Excludes businesses</t>
  </si>
  <si>
    <t>JP Morgan Chase</t>
  </si>
  <si>
    <t>Consumer &amp; business revenue</t>
  </si>
  <si>
    <t>For JP Morgan Chase: "Consumer &amp; Community Banking"</t>
  </si>
  <si>
    <t>https://www.jpmorganchase.com/corporate/investor-relations/document/annualreport-2019.pdf</t>
  </si>
  <si>
    <t>Relevant fees</t>
  </si>
  <si>
    <t>For JP Morgan Chase: "Lending and Deposit Related Fees" and "Asset management, administration and commissions"</t>
  </si>
  <si>
    <t>Consumer &amp; business revenue ex. [C4]% of fees</t>
  </si>
  <si>
    <t>[Consumer &amp; business revenue] * [1 - % of fees eliminated]</t>
  </si>
  <si>
    <t>Revenue ex. business banking</t>
  </si>
  <si>
    <t>[Consumer &amp; business revenue ex. [C4]% of fees] * [1 - % of consumer &amp; business revenue that is business revenue]</t>
  </si>
  <si>
    <t>Number of active digital customers</t>
  </si>
  <si>
    <t>[*Bank's stated number of active digital customers*] * [1 - % of consumer &amp; business revenue that is business revenue]</t>
  </si>
  <si>
    <t>Revenue per active digital customer</t>
  </si>
  <si>
    <t>[Revenue ex. business banking] / [Number of active digital customers]</t>
  </si>
  <si>
    <t>Wells Fargo</t>
  </si>
  <si>
    <t>For Wells Fargo: "Community Banking"</t>
  </si>
  <si>
    <t>https://www08.wellsfargomedia.com/assets/pdf/about/investor-relations/annual-reports/2019-annual-report.pdf</t>
  </si>
  <si>
    <t>For Wells Fargo: "Service charges on deposit accounts", "Brokerage advisory, commissions and other fees" and "Trust and investment management"</t>
  </si>
  <si>
    <t>https://www08.wellsfargomedia.com/assets/pdf/about/investor-relations/earnings/fourth-quarter-2019-earnings-supplement.pdf</t>
  </si>
  <si>
    <t>[Revenue ex. business banking] / [Number of active digital customers]. Wells Fargo user base likely less digital penetration than JPM Chase and Bank of America. Likely therefore this number is higher than PM Chase and Bank of America's.</t>
  </si>
  <si>
    <t>Bank of America</t>
  </si>
  <si>
    <t>For Bank of America: "Consumer Banking"</t>
  </si>
  <si>
    <t>http://investor.bankofamerica.com/static-files/898007fd-033d-4f32-8470-c1f316c73b24</t>
  </si>
  <si>
    <t>For Bank of America: "Service Charges"</t>
  </si>
  <si>
    <t>Average revenue per active digital customer</t>
  </si>
  <si>
    <t>Average of Revenue per active digital customer of JP Morgan Chase, Wells Fargo, Bank of America</t>
  </si>
  <si>
    <t>Net interest income &amp; Noninterest income (net of interest expense)</t>
  </si>
  <si>
    <t>Pre-tax Income</t>
  </si>
  <si>
    <t>Pre-tax Income (net of provision for credit losses)</t>
  </si>
  <si>
    <t>Pre-tax margin</t>
  </si>
  <si>
    <t>[Pre-tax Income] / [Total Revenue]</t>
  </si>
  <si>
    <t>Average Pre-tax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</si>
</sst>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_(* #,##0.0_);_(* \(#,##0.0\);_(* &quot;-&quot;??_);_(@_)"/>
  </numFmts>
  <fonts count="18" x14ac:knownFonts="1">
    <font>
      <sz val="12"/>
      <color theme="1"/>
      <name val="Calibri"/>
      <family val="2"/>
      <scheme val="minor"/>
    </font>
    <font>
      <sz val="12"/>
      <color theme="1"/>
      <name val="Calibri"/>
      <family val="2"/>
      <scheme val="minor"/>
    </font>
    <font>
      <sz val="12"/>
      <color theme="1"/>
      <name val="Arial"/>
      <family val="2"/>
    </font>
    <font>
      <b/>
      <sz val="12"/>
      <color theme="1"/>
      <name val="Arial"/>
      <family val="2"/>
    </font>
    <font>
      <i/>
      <sz val="12"/>
      <color theme="1"/>
      <name val="Arial"/>
      <family val="2"/>
    </font>
    <font>
      <sz val="12"/>
      <color rgb="FFFF0000"/>
      <name val="Arial"/>
      <family val="2"/>
    </font>
    <font>
      <b/>
      <sz val="12"/>
      <color theme="0"/>
      <name val="Arial"/>
      <family val="2"/>
    </font>
    <font>
      <sz val="12"/>
      <color rgb="FF00B050"/>
      <name val="Arial"/>
      <family val="2"/>
    </font>
    <font>
      <u/>
      <sz val="12"/>
      <color theme="1"/>
      <name val="Arial"/>
      <family val="2"/>
    </font>
    <font>
      <u/>
      <sz val="12"/>
      <color theme="10"/>
      <name val="Calibri"/>
      <family val="2"/>
      <scheme val="minor"/>
    </font>
    <font>
      <u/>
      <sz val="12"/>
      <color theme="10"/>
      <name val="Arial"/>
      <family val="2"/>
    </font>
    <font>
      <b/>
      <u/>
      <sz val="12"/>
      <color theme="10"/>
      <name val="Arial"/>
      <family val="2"/>
    </font>
    <font>
      <sz val="12"/>
      <color rgb="FF000000"/>
      <name val="Arial"/>
      <family val="2"/>
    </font>
    <font>
      <sz val="11"/>
      <color rgb="FF000000"/>
      <name val="Arial"/>
      <family val="2"/>
    </font>
    <font>
      <b/>
      <sz val="11"/>
      <color rgb="FF000000"/>
      <name val="Arial"/>
      <family val="2"/>
    </font>
    <font>
      <b/>
      <u/>
      <sz val="11"/>
      <color rgb="FF000000"/>
      <name val="Arial"/>
      <family val="2"/>
    </font>
    <font>
      <sz val="11"/>
      <color theme="1"/>
      <name val="Arial"/>
      <family val="2"/>
    </font>
    <font>
      <u/>
      <sz val="11"/>
      <color theme="1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4.9989318521683403E-2"/>
        <bgColor rgb="FF000000"/>
      </patternFill>
    </fill>
  </fills>
  <borders count="2">
    <border>
      <left/>
      <right/>
      <top/>
      <bottom/>
      <diagonal/>
    </border>
    <border>
      <left style="medium">
        <color auto="1"/>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90">
    <xf numFmtId="0" fontId="0" fillId="0" borderId="0" xfId="0"/>
    <xf numFmtId="0" fontId="2" fillId="0" borderId="0" xfId="0" applyFont="1" applyAlignment="1">
      <alignment wrapText="1"/>
    </xf>
    <xf numFmtId="0" fontId="2" fillId="0" borderId="0" xfId="0" applyFont="1"/>
    <xf numFmtId="0" fontId="2" fillId="0" borderId="0" xfId="0" applyFont="1" applyAlignment="1">
      <alignment horizontal="center"/>
    </xf>
    <xf numFmtId="0" fontId="3" fillId="2" borderId="0" xfId="0" applyFont="1" applyFill="1" applyAlignment="1">
      <alignment wrapText="1"/>
    </xf>
    <xf numFmtId="0" fontId="3" fillId="2" borderId="0" xfId="0" applyFont="1" applyFill="1"/>
    <xf numFmtId="0" fontId="3" fillId="2" borderId="0" xfId="0" applyFont="1" applyFill="1" applyAlignment="1">
      <alignment horizontal="center"/>
    </xf>
    <xf numFmtId="0" fontId="3" fillId="0" borderId="0" xfId="0" applyFont="1" applyAlignment="1">
      <alignment horizontal="center"/>
    </xf>
    <xf numFmtId="0" fontId="4" fillId="0" borderId="0" xfId="0" applyFont="1"/>
    <xf numFmtId="0" fontId="3" fillId="0" borderId="0" xfId="0" applyFont="1"/>
    <xf numFmtId="0" fontId="2" fillId="3" borderId="0" xfId="0" applyFont="1" applyFill="1" applyAlignment="1">
      <alignment wrapText="1"/>
    </xf>
    <xf numFmtId="0" fontId="2" fillId="3" borderId="0" xfId="0" applyFont="1" applyFill="1"/>
    <xf numFmtId="3" fontId="2" fillId="3" borderId="0" xfId="0" applyNumberFormat="1" applyFont="1" applyFill="1"/>
    <xf numFmtId="9" fontId="2" fillId="0" borderId="0" xfId="2" applyFont="1"/>
    <xf numFmtId="0" fontId="3" fillId="4" borderId="0" xfId="0" applyFont="1" applyFill="1" applyAlignment="1">
      <alignment wrapText="1"/>
    </xf>
    <xf numFmtId="0" fontId="3" fillId="4" borderId="0" xfId="0" applyFont="1" applyFill="1"/>
    <xf numFmtId="3" fontId="2" fillId="0" borderId="0" xfId="0" applyNumberFormat="1" applyFont="1"/>
    <xf numFmtId="164" fontId="2" fillId="0" borderId="0" xfId="2" applyNumberFormat="1" applyFont="1"/>
    <xf numFmtId="165" fontId="2" fillId="0" borderId="0" xfId="1" applyNumberFormat="1" applyFont="1"/>
    <xf numFmtId="0" fontId="2" fillId="0" borderId="0" xfId="0" applyFont="1" applyAlignment="1">
      <alignment vertical="center" wrapText="1"/>
    </xf>
    <xf numFmtId="164" fontId="2" fillId="0" borderId="0" xfId="2" applyNumberFormat="1" applyFont="1" applyAlignment="1">
      <alignment vertical="center"/>
    </xf>
    <xf numFmtId="9" fontId="5" fillId="0" borderId="0" xfId="0" applyNumberFormat="1" applyFont="1" applyAlignment="1">
      <alignment vertical="center"/>
    </xf>
    <xf numFmtId="165" fontId="2" fillId="0" borderId="0" xfId="0" applyNumberFormat="1" applyFont="1"/>
    <xf numFmtId="9" fontId="2" fillId="0" borderId="0" xfId="0" applyNumberFormat="1" applyFont="1" applyAlignment="1">
      <alignment vertical="center"/>
    </xf>
    <xf numFmtId="165" fontId="2" fillId="0" borderId="0" xfId="1" applyNumberFormat="1" applyFont="1" applyFill="1" applyAlignment="1">
      <alignment vertical="center"/>
    </xf>
    <xf numFmtId="0" fontId="6" fillId="5" borderId="0" xfId="0" applyFont="1" applyFill="1" applyAlignment="1">
      <alignment wrapText="1"/>
    </xf>
    <xf numFmtId="0" fontId="6" fillId="5" borderId="0" xfId="0" applyFont="1" applyFill="1"/>
    <xf numFmtId="0" fontId="7" fillId="0" borderId="0" xfId="0" applyFont="1"/>
    <xf numFmtId="9" fontId="5" fillId="0" borderId="0" xfId="0" applyNumberFormat="1" applyFont="1"/>
    <xf numFmtId="43" fontId="2" fillId="0" borderId="0" xfId="0" applyNumberFormat="1" applyFont="1"/>
    <xf numFmtId="1" fontId="2" fillId="0" borderId="0" xfId="0" applyNumberFormat="1" applyFont="1"/>
    <xf numFmtId="10" fontId="2" fillId="0" borderId="0" xfId="2" applyNumberFormat="1" applyFont="1"/>
    <xf numFmtId="9" fontId="2" fillId="0" borderId="0" xfId="0" applyNumberFormat="1" applyFont="1"/>
    <xf numFmtId="0" fontId="4" fillId="0" borderId="0" xfId="0" applyFont="1" applyAlignment="1">
      <alignment wrapText="1"/>
    </xf>
    <xf numFmtId="0" fontId="2" fillId="0" borderId="1" xfId="0" applyFont="1" applyBorder="1"/>
    <xf numFmtId="9" fontId="4" fillId="0" borderId="0" xfId="2" applyFont="1"/>
    <xf numFmtId="165" fontId="2" fillId="0" borderId="0" xfId="1" applyNumberFormat="1" applyFont="1" applyAlignment="1">
      <alignment vertical="center"/>
    </xf>
    <xf numFmtId="166" fontId="2" fillId="0" borderId="0" xfId="1" applyNumberFormat="1" applyFont="1"/>
    <xf numFmtId="0" fontId="6" fillId="0" borderId="0" xfId="0" applyFont="1"/>
    <xf numFmtId="0" fontId="8" fillId="0" borderId="0" xfId="0" applyFont="1" applyAlignment="1">
      <alignment wrapText="1"/>
    </xf>
    <xf numFmtId="10" fontId="2" fillId="0" borderId="0" xfId="0" applyNumberFormat="1" applyFont="1"/>
    <xf numFmtId="0" fontId="2" fillId="0" borderId="0" xfId="0" applyFont="1" applyBorder="1"/>
    <xf numFmtId="3" fontId="2" fillId="0" borderId="0" xfId="0" applyNumberFormat="1" applyFont="1" applyBorder="1"/>
    <xf numFmtId="0" fontId="3" fillId="0" borderId="0" xfId="0" applyFont="1" applyBorder="1"/>
    <xf numFmtId="43" fontId="2" fillId="0" borderId="0" xfId="1" applyFont="1" applyBorder="1"/>
    <xf numFmtId="165" fontId="5" fillId="0" borderId="0" xfId="0" applyNumberFormat="1" applyFont="1"/>
    <xf numFmtId="0" fontId="3" fillId="6" borderId="0" xfId="0" applyFont="1" applyFill="1" applyBorder="1"/>
    <xf numFmtId="165" fontId="2" fillId="6" borderId="0" xfId="0" applyNumberFormat="1" applyFont="1" applyFill="1" applyBorder="1"/>
    <xf numFmtId="0" fontId="10" fillId="6" borderId="0" xfId="3" applyFont="1" applyFill="1" applyBorder="1"/>
    <xf numFmtId="0" fontId="2" fillId="6" borderId="0" xfId="0" applyFont="1" applyFill="1" applyBorder="1"/>
    <xf numFmtId="3" fontId="2" fillId="6" borderId="0" xfId="0" applyNumberFormat="1" applyFont="1" applyFill="1" applyBorder="1"/>
    <xf numFmtId="165" fontId="2" fillId="6" borderId="0" xfId="1" applyNumberFormat="1" applyFont="1" applyFill="1" applyBorder="1"/>
    <xf numFmtId="1" fontId="2" fillId="6" borderId="0" xfId="0" applyNumberFormat="1" applyFont="1" applyFill="1" applyBorder="1"/>
    <xf numFmtId="0" fontId="10" fillId="6" borderId="0" xfId="3" applyFont="1" applyFill="1"/>
    <xf numFmtId="0" fontId="11" fillId="6" borderId="0" xfId="3" applyFont="1" applyFill="1" applyBorder="1"/>
    <xf numFmtId="0" fontId="2" fillId="0" borderId="0" xfId="0" applyFont="1" applyAlignment="1">
      <alignment vertical="center"/>
    </xf>
    <xf numFmtId="10" fontId="2" fillId="0" borderId="0" xfId="2" applyNumberFormat="1" applyFont="1" applyAlignment="1">
      <alignment vertical="center"/>
    </xf>
    <xf numFmtId="0" fontId="2" fillId="3" borderId="0" xfId="0" applyFont="1" applyFill="1" applyAlignment="1">
      <alignment horizontal="center"/>
    </xf>
    <xf numFmtId="3" fontId="3" fillId="6" borderId="0" xfId="0" applyNumberFormat="1" applyFont="1" applyFill="1" applyBorder="1"/>
    <xf numFmtId="0" fontId="2" fillId="0" borderId="0" xfId="0" applyFont="1" applyAlignment="1">
      <alignment horizontal="left" vertical="center" wrapText="1" indent="2"/>
    </xf>
    <xf numFmtId="0" fontId="2" fillId="0" borderId="0" xfId="0" applyFont="1" applyAlignment="1">
      <alignment horizontal="left" vertical="center" wrapText="1"/>
    </xf>
    <xf numFmtId="9" fontId="2" fillId="0" borderId="0" xfId="2" applyNumberFormat="1" applyFont="1"/>
    <xf numFmtId="9" fontId="5" fillId="0" borderId="0" xfId="0" applyNumberFormat="1" applyFont="1" applyAlignment="1">
      <alignment horizontal="right" vertical="center"/>
    </xf>
    <xf numFmtId="3" fontId="0" fillId="0" borderId="0" xfId="0" applyNumberFormat="1"/>
    <xf numFmtId="0" fontId="2" fillId="6" borderId="0" xfId="0" applyFont="1" applyFill="1" applyBorder="1" applyAlignment="1">
      <alignment vertical="center" wrapText="1"/>
    </xf>
    <xf numFmtId="3" fontId="2" fillId="6" borderId="0" xfId="0" applyNumberFormat="1" applyFont="1" applyFill="1" applyBorder="1" applyAlignment="1">
      <alignment vertical="center"/>
    </xf>
    <xf numFmtId="9" fontId="2" fillId="6" borderId="0" xfId="2" applyFont="1" applyFill="1" applyBorder="1"/>
    <xf numFmtId="0" fontId="9" fillId="6" borderId="0" xfId="3" applyFill="1"/>
    <xf numFmtId="0" fontId="12" fillId="7" borderId="0" xfId="0" applyFont="1" applyFill="1"/>
    <xf numFmtId="9" fontId="3" fillId="6" borderId="0" xfId="0" applyNumberFormat="1" applyFont="1" applyFill="1" applyBorder="1"/>
    <xf numFmtId="164" fontId="5" fillId="0" borderId="0" xfId="0" applyNumberFormat="1" applyFont="1" applyProtection="1">
      <protection locked="0"/>
    </xf>
    <xf numFmtId="9" fontId="5" fillId="0" borderId="0" xfId="0" applyNumberFormat="1" applyFont="1" applyAlignment="1" applyProtection="1">
      <alignment vertical="center"/>
      <protection locked="0"/>
    </xf>
    <xf numFmtId="165" fontId="5" fillId="0" borderId="0" xfId="1" applyNumberFormat="1" applyFont="1" applyProtection="1">
      <protection locked="0"/>
    </xf>
    <xf numFmtId="9" fontId="5" fillId="0" borderId="0" xfId="0" applyNumberFormat="1" applyFont="1" applyProtection="1">
      <protection locked="0"/>
    </xf>
    <xf numFmtId="1" fontId="5" fillId="0" borderId="0" xfId="0" applyNumberFormat="1" applyFont="1" applyAlignment="1" applyProtection="1">
      <alignment vertical="center"/>
      <protection locked="0"/>
    </xf>
    <xf numFmtId="3" fontId="5" fillId="0" borderId="0" xfId="0" applyNumberFormat="1" applyFont="1" applyProtection="1">
      <protection locked="0"/>
    </xf>
    <xf numFmtId="0" fontId="5" fillId="0" borderId="0" xfId="0" applyFont="1" applyProtection="1">
      <protection locked="0"/>
    </xf>
    <xf numFmtId="10" fontId="5" fillId="0" borderId="0" xfId="0" applyNumberFormat="1" applyFont="1" applyProtection="1">
      <protection locked="0"/>
    </xf>
    <xf numFmtId="9" fontId="5" fillId="6" borderId="0" xfId="0" applyNumberFormat="1" applyFont="1" applyFill="1" applyBorder="1" applyProtection="1">
      <protection locked="0"/>
    </xf>
    <xf numFmtId="0" fontId="13" fillId="0" borderId="0" xfId="0" applyFont="1" applyAlignment="1">
      <alignment horizontal="justify" vertical="center"/>
    </xf>
    <xf numFmtId="0" fontId="13" fillId="0" borderId="0" xfId="0" applyFont="1" applyAlignment="1">
      <alignment vertical="center" wrapText="1"/>
    </xf>
    <xf numFmtId="0" fontId="14" fillId="0" borderId="0" xfId="0" applyFont="1" applyAlignment="1">
      <alignment horizontal="justify" vertical="center"/>
    </xf>
    <xf numFmtId="0" fontId="14" fillId="0" borderId="0" xfId="0" applyFont="1" applyAlignment="1">
      <alignment vertical="center" wrapText="1"/>
    </xf>
    <xf numFmtId="0" fontId="13" fillId="0" borderId="0" xfId="0" applyFont="1"/>
    <xf numFmtId="0" fontId="16" fillId="0" borderId="0" xfId="0" applyFont="1"/>
    <xf numFmtId="0" fontId="17" fillId="0" borderId="0" xfId="3" applyFont="1" applyAlignment="1">
      <alignment horizontal="justify" vertical="center"/>
    </xf>
    <xf numFmtId="0" fontId="13" fillId="0" borderId="0" xfId="0" applyFont="1" applyAlignment="1">
      <alignment vertical="center"/>
    </xf>
    <xf numFmtId="0" fontId="16" fillId="0" borderId="0" xfId="0" applyFont="1" applyAlignment="1">
      <alignment vertical="top" wrapText="1"/>
    </xf>
    <xf numFmtId="0" fontId="4" fillId="0" borderId="0" xfId="0" applyFont="1" applyBorder="1"/>
    <xf numFmtId="9" fontId="2" fillId="0" borderId="0" xfId="0" applyNumberFormat="1" applyFont="1" applyProtection="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creativecommons.org/licenses/by-nc/4.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0</xdr:row>
      <xdr:rowOff>76200</xdr:rowOff>
    </xdr:from>
    <xdr:to>
      <xdr:col>0</xdr:col>
      <xdr:colOff>2120900</xdr:colOff>
      <xdr:row>0</xdr:row>
      <xdr:rowOff>868883</xdr:rowOff>
    </xdr:to>
    <xdr:pic>
      <xdr:nvPicPr>
        <xdr:cNvPr id="3" name="Picture 2">
          <a:extLst>
            <a:ext uri="{FF2B5EF4-FFF2-40B4-BE49-F238E27FC236}">
              <a16:creationId xmlns:a16="http://schemas.microsoft.com/office/drawing/2014/main" id="{B5A3F130-6E57-6A43-85EF-6F9972D6F3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 y="76200"/>
          <a:ext cx="2108200" cy="792683"/>
        </a:xfrm>
        <a:prstGeom prst="rect">
          <a:avLst/>
        </a:prstGeom>
      </xdr:spPr>
    </xdr:pic>
    <xdr:clientData/>
  </xdr:twoCellAnchor>
  <xdr:twoCellAnchor editAs="oneCell">
    <xdr:from>
      <xdr:col>0</xdr:col>
      <xdr:colOff>3962400</xdr:colOff>
      <xdr:row>0</xdr:row>
      <xdr:rowOff>254000</xdr:rowOff>
    </xdr:from>
    <xdr:to>
      <xdr:col>0</xdr:col>
      <xdr:colOff>5181600</xdr:colOff>
      <xdr:row>0</xdr:row>
      <xdr:rowOff>673100</xdr:rowOff>
    </xdr:to>
    <xdr:pic>
      <xdr:nvPicPr>
        <xdr:cNvPr id="5" name="Picture 4">
          <a:hlinkClick xmlns:r="http://schemas.openxmlformats.org/officeDocument/2006/relationships" r:id="rId2"/>
          <a:extLst>
            <a:ext uri="{FF2B5EF4-FFF2-40B4-BE49-F238E27FC236}">
              <a16:creationId xmlns:a16="http://schemas.microsoft.com/office/drawing/2014/main" id="{F98F263B-0ECD-D54F-A9F7-A752F7A8433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62400" y="254000"/>
          <a:ext cx="1219200" cy="419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mfriedrich_ark-invest_com/Documents/Fintech%20Portfolio/Square/Valuations/April%202020/Square%20SQ_Valuation_4420_M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uare Valuation"/>
      <sheetName val="FDIC_new"/>
      <sheetName val="Valuation Overview_new"/>
      <sheetName val="Cash App_new"/>
      <sheetName val="Weebly &amp; Online Store_new"/>
      <sheetName val="Square Capital_new"/>
      <sheetName val="GPV, Transaction Rev. _new"/>
      <sheetName val="Bitcoin_new"/>
      <sheetName val="Cash App old"/>
      <sheetName val="Valuation old"/>
      <sheetName val="Quarterly KPIs"/>
      <sheetName val="OLD Loan Help Visualization"/>
      <sheetName val="Digital Wallet Adoption US"/>
      <sheetName val="olds"/>
      <sheetName val="Various KPIs from Investor Upda"/>
      <sheetName val="Income Statement"/>
      <sheetName val="Balance Sheet"/>
      <sheetName val="Cash Flow"/>
      <sheetName val="Cash App - Today OLD"/>
      <sheetName val="Cash App - Today"/>
      <sheetName val="Cash App - Opportunity"/>
      <sheetName val="Caviar"/>
      <sheetName val="Financials(old)"/>
      <sheetName val="Sellers"/>
    </sheetNames>
    <sheetDataSet>
      <sheetData sheetId="0"/>
      <sheetData sheetId="1"/>
      <sheetData sheetId="2"/>
      <sheetData sheetId="3">
        <row r="6">
          <cell r="I6">
            <v>34332718.737427004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nc/4.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nvestor.bankofamerica.com/static-files/898007fd-033d-4f32-8470-c1f316c73b24" TargetMode="External"/><Relationship Id="rId3" Type="http://schemas.openxmlformats.org/officeDocument/2006/relationships/hyperlink" Target="https://www.jpmorganchase.com/corporate/investor-relations/document/annualreport-2019.pdf" TargetMode="External"/><Relationship Id="rId7" Type="http://schemas.openxmlformats.org/officeDocument/2006/relationships/hyperlink" Target="http://investor.bankofamerica.com/static-files/898007fd-033d-4f32-8470-c1f316c73b24" TargetMode="External"/><Relationship Id="rId12" Type="http://schemas.openxmlformats.org/officeDocument/2006/relationships/hyperlink" Target="http://investor.bankofamerica.com/static-files/898007fd-033d-4f32-8470-c1f316c73b24" TargetMode="External"/><Relationship Id="rId2" Type="http://schemas.openxmlformats.org/officeDocument/2006/relationships/hyperlink" Target="https://www.jpmorganchase.com/corporate/investor-relations/document/annualreport-2019.pdf" TargetMode="External"/><Relationship Id="rId1" Type="http://schemas.openxmlformats.org/officeDocument/2006/relationships/hyperlink" Target="https://www.jpmorganchase.com/corporate/investor-relations/document/annualreport-2019.pdf" TargetMode="External"/><Relationship Id="rId6" Type="http://schemas.openxmlformats.org/officeDocument/2006/relationships/hyperlink" Target="https://www08.wellsfargomedia.com/assets/pdf/about/investor-relations/annual-reports/2019-annual-report.pdf" TargetMode="External"/><Relationship Id="rId11" Type="http://schemas.openxmlformats.org/officeDocument/2006/relationships/hyperlink" Target="https://www.jpmorganchase.com/corporate/investor-relations/document/annualreport-2019.pdf" TargetMode="External"/><Relationship Id="rId5" Type="http://schemas.openxmlformats.org/officeDocument/2006/relationships/hyperlink" Target="http://investor.bankofamerica.com/static-files/898007fd-033d-4f32-8470-c1f316c73b24" TargetMode="External"/><Relationship Id="rId10" Type="http://schemas.openxmlformats.org/officeDocument/2006/relationships/hyperlink" Target="https://www08.wellsfargomedia.com/assets/pdf/about/investor-relations/annual-reports/2019-annual-report.pdf" TargetMode="External"/><Relationship Id="rId4" Type="http://schemas.openxmlformats.org/officeDocument/2006/relationships/hyperlink" Target="https://www08.wellsfargomedia.com/assets/pdf/about/investor-relations/earnings/fourth-quarter-2019-earnings-supplement.pdf" TargetMode="External"/><Relationship Id="rId9" Type="http://schemas.openxmlformats.org/officeDocument/2006/relationships/hyperlink" Target="https://www.jpmorganchase.com/corporate/investor-relations/document/annualreport-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23225-DE9A-A144-9142-4D9DA3D61E40}">
  <dimension ref="A1:A13"/>
  <sheetViews>
    <sheetView showGridLines="0" workbookViewId="0">
      <selection activeCell="C9" sqref="C9"/>
    </sheetView>
  </sheetViews>
  <sheetFormatPr baseColWidth="10" defaultColWidth="10.83203125" defaultRowHeight="14" x14ac:dyDescent="0.15"/>
  <cols>
    <col min="1" max="1" width="84.6640625" style="84" customWidth="1"/>
    <col min="2" max="16384" width="10.83203125" style="84"/>
  </cols>
  <sheetData>
    <row r="1" spans="1:1" ht="72" customHeight="1" x14ac:dyDescent="0.15">
      <c r="A1" s="83"/>
    </row>
    <row r="2" spans="1:1" ht="30" x14ac:dyDescent="0.15">
      <c r="A2" s="85" t="s">
        <v>0</v>
      </c>
    </row>
    <row r="3" spans="1:1" ht="15" x14ac:dyDescent="0.15">
      <c r="A3" s="79" t="s">
        <v>1</v>
      </c>
    </row>
    <row r="4" spans="1:1" x14ac:dyDescent="0.15">
      <c r="A4" s="86"/>
    </row>
    <row r="5" spans="1:1" ht="30" x14ac:dyDescent="0.15">
      <c r="A5" s="79" t="s">
        <v>2</v>
      </c>
    </row>
    <row r="6" spans="1:1" x14ac:dyDescent="0.15">
      <c r="A6" s="80"/>
    </row>
    <row r="7" spans="1:1" ht="90" x14ac:dyDescent="0.15">
      <c r="A7" s="81" t="s">
        <v>3</v>
      </c>
    </row>
    <row r="8" spans="1:1" x14ac:dyDescent="0.15">
      <c r="A8" s="82"/>
    </row>
    <row r="9" spans="1:1" ht="120" x14ac:dyDescent="0.15">
      <c r="A9" s="81" t="s">
        <v>4</v>
      </c>
    </row>
    <row r="10" spans="1:1" x14ac:dyDescent="0.15">
      <c r="A10" s="80"/>
    </row>
    <row r="11" spans="1:1" ht="105" x14ac:dyDescent="0.15">
      <c r="A11" s="81" t="s">
        <v>5</v>
      </c>
    </row>
    <row r="12" spans="1:1" x14ac:dyDescent="0.15">
      <c r="A12" s="83"/>
    </row>
    <row r="13" spans="1:1" ht="120" x14ac:dyDescent="0.15">
      <c r="A13" s="81" t="s">
        <v>6</v>
      </c>
    </row>
  </sheetData>
  <sheetProtection algorithmName="SHA-512" hashValue="RklQrEdHyNY907MDOMVouPa3S5mN2m1rVJ20qs+CgfGv4O+nvlT36HSeqV0+0t85gfWO5qTGApG8dEDynUU0Uw==" saltValue="g8Duq0QDrvzAbXyCi0rMZw==" spinCount="100000" sheet="1" objects="1" scenarios="1"/>
  <hyperlinks>
    <hyperlink ref="A2" r:id="rId1" display="http://creativecommons.org/licenses/by-nc/4.0/" xr:uid="{17739C95-E4EA-3D48-A739-F88113883BE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041E3-9F20-634F-A0F7-6D65E65FF949}">
  <dimension ref="A1:A2"/>
  <sheetViews>
    <sheetView showGridLines="0" workbookViewId="0">
      <selection activeCell="C12" sqref="C12"/>
    </sheetView>
  </sheetViews>
  <sheetFormatPr baseColWidth="10" defaultColWidth="11" defaultRowHeight="16" x14ac:dyDescent="0.2"/>
  <cols>
    <col min="1" max="1" width="90.33203125" customWidth="1"/>
  </cols>
  <sheetData>
    <row r="1" spans="1:1" ht="15" customHeight="1" x14ac:dyDescent="0.2">
      <c r="A1" s="87"/>
    </row>
    <row r="2" spans="1:1" ht="75" x14ac:dyDescent="0.2">
      <c r="A2" s="87" t="s">
        <v>7</v>
      </c>
    </row>
  </sheetData>
  <sheetProtection algorithmName="SHA-512" hashValue="czlNGZbwK+Tr1oGKIJCdf3MMJxggFyuuG/ICTnGOWK87VunC+S0OgFVsKBqc6hXs7Dil2IyyYYT7uqobVvUWvw==" saltValue="s1MmNjV2WeROe0vUvsCFkQ=="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504E0-0BBD-754B-ABD8-D526FE2B5F95}">
  <dimension ref="A2:AP114"/>
  <sheetViews>
    <sheetView showGridLines="0" tabSelected="1" zoomScale="90" zoomScaleNormal="90" workbookViewId="0">
      <pane xSplit="1" ySplit="3" topLeftCell="B4" activePane="bottomRight" state="frozen"/>
      <selection pane="topRight" activeCell="B1" sqref="B1"/>
      <selection pane="bottomLeft" activeCell="A5" sqref="A5"/>
      <selection pane="bottomRight" activeCell="AH32" sqref="AH32"/>
    </sheetView>
  </sheetViews>
  <sheetFormatPr baseColWidth="10" defaultColWidth="10.83203125" defaultRowHeight="16" outlineLevelRow="1" outlineLevelCol="1" x14ac:dyDescent="0.2"/>
  <cols>
    <col min="1" max="1" width="45.6640625" style="1" customWidth="1"/>
    <col min="2" max="2" width="20" style="2" customWidth="1"/>
    <col min="3" max="33" width="20" style="2" hidden="1" customWidth="1" outlineLevel="1"/>
    <col min="34" max="34" width="20.33203125" style="2" customWidth="1" collapsed="1"/>
    <col min="35" max="35" width="15.33203125" style="2" customWidth="1"/>
    <col min="36" max="36" width="10.83203125" style="2"/>
    <col min="37" max="37" width="15.6640625" style="2" bestFit="1" customWidth="1"/>
    <col min="38" max="16384" width="10.83203125" style="2"/>
  </cols>
  <sheetData>
    <row r="2" spans="1:36" x14ac:dyDescent="0.2">
      <c r="D2" s="3">
        <v>2020</v>
      </c>
      <c r="E2" s="3">
        <v>2020</v>
      </c>
      <c r="F2" s="3">
        <v>2020</v>
      </c>
      <c r="G2" s="3">
        <v>2020</v>
      </c>
      <c r="H2" s="3">
        <v>2021</v>
      </c>
      <c r="I2" s="3">
        <v>2021</v>
      </c>
      <c r="J2" s="3">
        <v>2021</v>
      </c>
      <c r="K2" s="3">
        <v>2021</v>
      </c>
      <c r="L2" s="3">
        <v>2022</v>
      </c>
      <c r="M2" s="3">
        <v>2022</v>
      </c>
      <c r="N2" s="3">
        <v>2022</v>
      </c>
      <c r="O2" s="3">
        <v>2022</v>
      </c>
      <c r="P2" s="3">
        <v>2023</v>
      </c>
      <c r="Q2" s="3">
        <v>2023</v>
      </c>
      <c r="R2" s="3">
        <v>2023</v>
      </c>
      <c r="S2" s="3">
        <v>2023</v>
      </c>
      <c r="T2" s="3">
        <v>2024</v>
      </c>
      <c r="U2" s="3">
        <v>2024</v>
      </c>
      <c r="V2" s="3">
        <v>2024</v>
      </c>
      <c r="W2" s="3">
        <v>2024</v>
      </c>
      <c r="X2" s="3">
        <v>2025</v>
      </c>
      <c r="Y2" s="3">
        <v>2025</v>
      </c>
      <c r="Z2" s="3">
        <v>2025</v>
      </c>
      <c r="AA2" s="3">
        <v>2025</v>
      </c>
    </row>
    <row r="3" spans="1:36" s="9" customFormat="1" x14ac:dyDescent="0.2">
      <c r="A3" s="4"/>
      <c r="B3" s="6">
        <v>2019</v>
      </c>
      <c r="C3" s="5" t="s">
        <v>8</v>
      </c>
      <c r="D3" s="6" t="s">
        <v>9</v>
      </c>
      <c r="E3" s="6" t="s">
        <v>10</v>
      </c>
      <c r="F3" s="6" t="s">
        <v>11</v>
      </c>
      <c r="G3" s="6" t="s">
        <v>12</v>
      </c>
      <c r="H3" s="6" t="s">
        <v>9</v>
      </c>
      <c r="I3" s="6" t="s">
        <v>10</v>
      </c>
      <c r="J3" s="6" t="s">
        <v>11</v>
      </c>
      <c r="K3" s="6" t="s">
        <v>12</v>
      </c>
      <c r="L3" s="6" t="s">
        <v>9</v>
      </c>
      <c r="M3" s="6" t="s">
        <v>10</v>
      </c>
      <c r="N3" s="6" t="s">
        <v>11</v>
      </c>
      <c r="O3" s="6" t="s">
        <v>12</v>
      </c>
      <c r="P3" s="6" t="s">
        <v>9</v>
      </c>
      <c r="Q3" s="6" t="s">
        <v>10</v>
      </c>
      <c r="R3" s="6" t="s">
        <v>11</v>
      </c>
      <c r="S3" s="6" t="s">
        <v>12</v>
      </c>
      <c r="T3" s="6" t="s">
        <v>9</v>
      </c>
      <c r="U3" s="6" t="s">
        <v>10</v>
      </c>
      <c r="V3" s="6" t="s">
        <v>11</v>
      </c>
      <c r="W3" s="6" t="s">
        <v>12</v>
      </c>
      <c r="X3" s="6" t="s">
        <v>9</v>
      </c>
      <c r="Y3" s="6" t="s">
        <v>10</v>
      </c>
      <c r="Z3" s="6" t="s">
        <v>11</v>
      </c>
      <c r="AA3" s="6" t="s">
        <v>12</v>
      </c>
      <c r="AB3" s="6"/>
      <c r="AC3" s="6">
        <v>2020</v>
      </c>
      <c r="AD3" s="6">
        <v>2021</v>
      </c>
      <c r="AE3" s="6">
        <v>2022</v>
      </c>
      <c r="AF3" s="6">
        <v>2023</v>
      </c>
      <c r="AG3" s="6">
        <v>2024</v>
      </c>
      <c r="AH3" s="6">
        <v>2025</v>
      </c>
      <c r="AI3" s="7" t="s">
        <v>13</v>
      </c>
      <c r="AJ3" s="9" t="s">
        <v>14</v>
      </c>
    </row>
    <row r="4" spans="1:36" ht="17" x14ac:dyDescent="0.2">
      <c r="A4" s="10" t="s">
        <v>15</v>
      </c>
      <c r="B4" s="57">
        <v>150</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2">
        <f>AH112</f>
        <v>373.70087531873122</v>
      </c>
      <c r="AI4" s="13">
        <f>(AH4/B4)^(1/5.25)-1</f>
        <v>0.18990152246241032</v>
      </c>
    </row>
    <row r="7" spans="1:36" ht="17" x14ac:dyDescent="0.2">
      <c r="A7" s="14" t="s">
        <v>16</v>
      </c>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row>
    <row r="8" spans="1:36" ht="17" x14ac:dyDescent="0.2">
      <c r="A8" s="1" t="s">
        <v>17</v>
      </c>
      <c r="B8" s="16">
        <v>3950000000000</v>
      </c>
      <c r="C8" s="16">
        <f>D8</f>
        <v>3974687500000</v>
      </c>
      <c r="D8" s="16">
        <v>3974687500000</v>
      </c>
      <c r="E8" s="16"/>
      <c r="F8" s="16"/>
      <c r="G8" s="16"/>
      <c r="H8" s="16"/>
      <c r="I8" s="16"/>
      <c r="J8" s="16"/>
      <c r="K8" s="16"/>
      <c r="L8" s="16"/>
      <c r="M8" s="16"/>
      <c r="N8" s="16"/>
      <c r="O8" s="16"/>
      <c r="P8" s="16"/>
      <c r="Q8" s="16"/>
      <c r="R8" s="16"/>
      <c r="S8" s="16"/>
      <c r="T8" s="16"/>
      <c r="U8" s="16"/>
      <c r="V8" s="16"/>
      <c r="W8" s="16"/>
      <c r="X8" s="16"/>
      <c r="Y8" s="16"/>
      <c r="Z8" s="16"/>
      <c r="AA8" s="16"/>
      <c r="AB8" s="16"/>
      <c r="AC8" s="16">
        <v>4048749999999.9995</v>
      </c>
      <c r="AD8" s="16">
        <v>4310727941176.4702</v>
      </c>
      <c r="AE8" s="16">
        <v>4572705882352.9404</v>
      </c>
      <c r="AF8" s="16">
        <v>4858499999999.999</v>
      </c>
      <c r="AG8" s="16">
        <v>5144294117647.0576</v>
      </c>
      <c r="AH8" s="16">
        <v>5406272058823.5273</v>
      </c>
      <c r="AI8" s="13"/>
      <c r="AJ8" s="2" t="s">
        <v>18</v>
      </c>
    </row>
    <row r="9" spans="1:36" ht="17" x14ac:dyDescent="0.2">
      <c r="A9" s="1" t="s">
        <v>19</v>
      </c>
      <c r="B9" s="17">
        <f>B10/B8</f>
        <v>2.6895949367088608E-2</v>
      </c>
      <c r="C9" s="17">
        <f>C10/C8</f>
        <v>2.5863668527399953E-2</v>
      </c>
      <c r="D9" s="17"/>
      <c r="E9" s="17"/>
      <c r="F9" s="17"/>
      <c r="G9" s="17"/>
      <c r="H9" s="17"/>
      <c r="I9" s="17"/>
      <c r="J9" s="17"/>
      <c r="K9" s="17"/>
      <c r="L9" s="17"/>
      <c r="M9" s="17"/>
      <c r="N9" s="17"/>
      <c r="O9" s="17"/>
      <c r="P9" s="17"/>
      <c r="Q9" s="17"/>
      <c r="R9" s="17"/>
      <c r="S9" s="17"/>
      <c r="T9" s="17"/>
      <c r="U9" s="17"/>
      <c r="V9" s="17"/>
      <c r="W9" s="17"/>
      <c r="X9" s="17"/>
      <c r="Y9" s="17"/>
      <c r="Z9" s="17"/>
      <c r="AA9" s="17"/>
      <c r="AB9" s="17"/>
      <c r="AC9" s="17">
        <f>B9+(($AH$9-$B$9)/6)</f>
        <v>3.1579957805907173E-2</v>
      </c>
      <c r="AD9" s="17">
        <f>AC9+(($AH$9-$B$9)/6)</f>
        <v>3.6263966244725741E-2</v>
      </c>
      <c r="AE9" s="17">
        <f>AD9+(($AH$9-$B$9)/6)</f>
        <v>4.094797468354431E-2</v>
      </c>
      <c r="AF9" s="17">
        <f>AE9+(($AH$9-$B$9)/6)</f>
        <v>4.5631983122362878E-2</v>
      </c>
      <c r="AG9" s="17">
        <f>AF9+(($AH$9-$B$9)/6)</f>
        <v>5.0315991561181446E-2</v>
      </c>
      <c r="AH9" s="70">
        <v>5.5E-2</v>
      </c>
      <c r="AJ9" s="2" t="s">
        <v>20</v>
      </c>
    </row>
    <row r="10" spans="1:36" ht="17" x14ac:dyDescent="0.2">
      <c r="A10" s="1" t="s">
        <v>21</v>
      </c>
      <c r="B10" s="16">
        <v>106239000000</v>
      </c>
      <c r="C10" s="16">
        <f>D10*4</f>
        <v>102800000000</v>
      </c>
      <c r="D10" s="16">
        <v>25700000000</v>
      </c>
      <c r="E10" s="16"/>
      <c r="F10" s="16"/>
      <c r="G10" s="16"/>
      <c r="H10" s="16"/>
      <c r="I10" s="16"/>
      <c r="J10" s="16"/>
      <c r="K10" s="16"/>
      <c r="L10" s="16"/>
      <c r="M10" s="16"/>
      <c r="N10" s="16"/>
      <c r="O10" s="16"/>
      <c r="P10" s="16"/>
      <c r="Q10" s="16"/>
      <c r="R10" s="16"/>
      <c r="S10" s="16"/>
      <c r="T10" s="16"/>
      <c r="U10" s="16"/>
      <c r="V10" s="16"/>
      <c r="W10" s="16"/>
      <c r="X10" s="16"/>
      <c r="Y10" s="16"/>
      <c r="Z10" s="16"/>
      <c r="AA10" s="16"/>
      <c r="AB10" s="18"/>
      <c r="AC10" s="18">
        <f>AC8*AC9</f>
        <v>127859354166.66666</v>
      </c>
      <c r="AD10" s="18">
        <f>AD8*AD9</f>
        <v>156324092549.01959</v>
      </c>
      <c r="AE10" s="18">
        <f>AE8*AE9</f>
        <v>187243044705.88235</v>
      </c>
      <c r="AF10" s="18">
        <f>AF8*AF9</f>
        <v>221702990000</v>
      </c>
      <c r="AG10" s="18">
        <f>AG8*AG9</f>
        <v>258840259411.76471</v>
      </c>
      <c r="AH10" s="18">
        <f t="shared" ref="AH10" si="0">AH8*AH9</f>
        <v>297344963235.29401</v>
      </c>
      <c r="AI10" s="13">
        <f>(AH10/B10)^(1/6)-1</f>
        <v>0.18712404607578415</v>
      </c>
      <c r="AJ10" s="2" t="s">
        <v>22</v>
      </c>
    </row>
    <row r="11" spans="1:36" ht="17" x14ac:dyDescent="0.2">
      <c r="A11" s="19" t="s">
        <v>23</v>
      </c>
      <c r="B11" s="20">
        <v>1.4999999999999999E-2</v>
      </c>
      <c r="C11" s="20">
        <f>D11</f>
        <v>2.8263888888888887E-2</v>
      </c>
      <c r="D11" s="56">
        <f>B11+(($AC$11-$B$11)/4)</f>
        <v>2.8263888888888887E-2</v>
      </c>
      <c r="E11" s="56">
        <f>D11+(($AC$11-$B$11)/4)</f>
        <v>4.1527777777777775E-2</v>
      </c>
      <c r="F11" s="56">
        <f>E11+(($AC$11-$B$11)/4)</f>
        <v>5.4791666666666662E-2</v>
      </c>
      <c r="G11" s="56">
        <f>F11+(($AC$11-$B$11)/4)</f>
        <v>6.805555555555555E-2</v>
      </c>
      <c r="H11" s="20"/>
      <c r="I11" s="20"/>
      <c r="J11" s="20"/>
      <c r="K11" s="20"/>
      <c r="L11" s="20"/>
      <c r="M11" s="20"/>
      <c r="N11" s="20"/>
      <c r="O11" s="20"/>
      <c r="P11" s="20"/>
      <c r="Q11" s="20"/>
      <c r="R11" s="20"/>
      <c r="S11" s="20"/>
      <c r="T11" s="20"/>
      <c r="U11" s="20"/>
      <c r="V11" s="20"/>
      <c r="W11" s="20"/>
      <c r="X11" s="20"/>
      <c r="Y11" s="20"/>
      <c r="Z11" s="20"/>
      <c r="AA11" s="20"/>
      <c r="AB11" s="20"/>
      <c r="AC11" s="17">
        <f>B11+(($AH$11-$B$11)/6)</f>
        <v>6.805555555555555E-2</v>
      </c>
      <c r="AD11" s="17">
        <f>AC11+(($AH$11-$B$11)/6)</f>
        <v>0.1211111111111111</v>
      </c>
      <c r="AE11" s="17">
        <f>AD11+(($AH$11-$B$11)/6)</f>
        <v>0.17416666666666664</v>
      </c>
      <c r="AF11" s="17">
        <f>AE11+(($AH$11-$B$11)/6)</f>
        <v>0.22722222222222219</v>
      </c>
      <c r="AG11" s="17">
        <f>AF11+(($AH$11-$B$11)/6)</f>
        <v>0.28027777777777774</v>
      </c>
      <c r="AH11" s="71">
        <f>1/3</f>
        <v>0.33333333333333331</v>
      </c>
      <c r="AJ11" s="55" t="s">
        <v>24</v>
      </c>
    </row>
    <row r="12" spans="1:36" ht="17" x14ac:dyDescent="0.2">
      <c r="A12" s="1" t="s">
        <v>25</v>
      </c>
      <c r="B12" s="17">
        <v>3.2000000000000001E-2</v>
      </c>
      <c r="C12" s="17">
        <v>3.2000000000000001E-2</v>
      </c>
      <c r="D12" s="18"/>
      <c r="E12" s="18"/>
      <c r="F12" s="18"/>
      <c r="G12" s="18"/>
      <c r="H12" s="13"/>
      <c r="I12" s="13"/>
      <c r="J12" s="13"/>
      <c r="K12" s="13"/>
      <c r="L12" s="13"/>
      <c r="M12" s="13"/>
      <c r="N12" s="13"/>
      <c r="O12" s="13"/>
      <c r="P12" s="13"/>
      <c r="Q12" s="13"/>
      <c r="R12" s="13"/>
      <c r="S12" s="13"/>
      <c r="T12" s="13"/>
      <c r="U12" s="13"/>
      <c r="V12" s="13"/>
      <c r="W12" s="13"/>
      <c r="X12" s="13"/>
      <c r="Y12" s="13"/>
      <c r="Z12" s="13"/>
      <c r="AA12" s="13"/>
      <c r="AB12" s="13"/>
      <c r="AC12" s="17">
        <f>AD12</f>
        <v>3.2000000000000001E-2</v>
      </c>
      <c r="AD12" s="17">
        <f>AE12</f>
        <v>3.2000000000000001E-2</v>
      </c>
      <c r="AE12" s="17">
        <f>AF12</f>
        <v>3.2000000000000001E-2</v>
      </c>
      <c r="AF12" s="17">
        <f>AG12</f>
        <v>3.2000000000000001E-2</v>
      </c>
      <c r="AG12" s="17">
        <f>AH12</f>
        <v>3.2000000000000001E-2</v>
      </c>
      <c r="AH12" s="70">
        <v>3.2000000000000001E-2</v>
      </c>
      <c r="AJ12" s="2" t="s">
        <v>26</v>
      </c>
    </row>
    <row r="13" spans="1:36" ht="17" x14ac:dyDescent="0.2">
      <c r="A13" s="1" t="s">
        <v>27</v>
      </c>
      <c r="B13" s="18">
        <f>B25*B12</f>
        <v>17751040</v>
      </c>
      <c r="C13" s="18">
        <f>C25*C12</f>
        <v>27893066.666666664</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f>AG25*AG12</f>
        <v>696452857.99058819</v>
      </c>
      <c r="AH13" s="18">
        <f>AH25*AH12</f>
        <v>951503882.35294068</v>
      </c>
      <c r="AI13" s="13">
        <f>(AH13/B13)^(1/6)-1</f>
        <v>0.94177002967936896</v>
      </c>
      <c r="AJ13" s="2" t="s">
        <v>28</v>
      </c>
    </row>
    <row r="14" spans="1:36" ht="17" x14ac:dyDescent="0.2">
      <c r="A14" s="1" t="s">
        <v>29</v>
      </c>
      <c r="B14" s="17">
        <f>B15/B10</f>
        <v>2.8279849772682348E-2</v>
      </c>
      <c r="C14" s="17">
        <f>C15/C10</f>
        <v>2.9226760051880674E-2</v>
      </c>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f>AD14</f>
        <v>2.9000000000000001E-2</v>
      </c>
      <c r="AD14" s="17">
        <f>AE14</f>
        <v>2.9000000000000001E-2</v>
      </c>
      <c r="AE14" s="17">
        <f>AF14</f>
        <v>2.9000000000000001E-2</v>
      </c>
      <c r="AF14" s="17">
        <f>AG14</f>
        <v>2.9000000000000001E-2</v>
      </c>
      <c r="AG14" s="17">
        <f>AH14</f>
        <v>2.9000000000000001E-2</v>
      </c>
      <c r="AH14" s="70">
        <v>2.9000000000000001E-2</v>
      </c>
      <c r="AJ14" s="2" t="s">
        <v>30</v>
      </c>
    </row>
    <row r="15" spans="1:36" ht="17" x14ac:dyDescent="0.2">
      <c r="A15" s="1" t="s">
        <v>31</v>
      </c>
      <c r="B15" s="16">
        <f>B17-B13-B16</f>
        <v>3004422960</v>
      </c>
      <c r="C15" s="16">
        <f>(758101000*4)-C13</f>
        <v>3004510933.3333335</v>
      </c>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22">
        <f t="shared" ref="AC15:AG15" si="1">AC10*AC14</f>
        <v>3707921270.833333</v>
      </c>
      <c r="AD15" s="22">
        <f t="shared" si="1"/>
        <v>4533398683.9215689</v>
      </c>
      <c r="AE15" s="22">
        <f t="shared" si="1"/>
        <v>5430048296.4705887</v>
      </c>
      <c r="AF15" s="22">
        <f t="shared" si="1"/>
        <v>6429386710</v>
      </c>
      <c r="AG15" s="22">
        <f t="shared" si="1"/>
        <v>7506367522.9411774</v>
      </c>
      <c r="AH15" s="22">
        <f>AH26*AH14</f>
        <v>7760703540.4411745</v>
      </c>
      <c r="AI15" s="13">
        <f>(AH15/B15)^(1/6)-1</f>
        <v>0.17135895906963161</v>
      </c>
      <c r="AJ15" s="2" t="s">
        <v>32</v>
      </c>
    </row>
    <row r="16" spans="1:36" ht="17" x14ac:dyDescent="0.2">
      <c r="A16" s="1" t="s">
        <v>33</v>
      </c>
      <c r="B16" s="16">
        <f>0.1*589000000</f>
        <v>58900000</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22"/>
      <c r="AD16" s="22"/>
      <c r="AE16" s="22"/>
      <c r="AF16" s="22"/>
      <c r="AG16" s="22"/>
      <c r="AH16" s="22"/>
      <c r="AI16" s="13"/>
      <c r="AJ16" s="2" t="s">
        <v>34</v>
      </c>
    </row>
    <row r="17" spans="1:37" ht="17" x14ac:dyDescent="0.2">
      <c r="A17" s="1" t="s">
        <v>35</v>
      </c>
      <c r="B17" s="22">
        <v>3081074000</v>
      </c>
      <c r="C17" s="22">
        <f>C13+C15</f>
        <v>3032404000</v>
      </c>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f t="shared" ref="AC17:AG17" si="2">AC13+AC15</f>
        <v>3707921270.833333</v>
      </c>
      <c r="AD17" s="22">
        <f t="shared" si="2"/>
        <v>4533398683.9215689</v>
      </c>
      <c r="AE17" s="22">
        <f t="shared" si="2"/>
        <v>5430048296.4705887</v>
      </c>
      <c r="AF17" s="22">
        <f t="shared" si="2"/>
        <v>6429386710</v>
      </c>
      <c r="AG17" s="22">
        <f t="shared" si="2"/>
        <v>8202820380.9317656</v>
      </c>
      <c r="AH17" s="22">
        <f>AH13+AH15</f>
        <v>8712207422.7941151</v>
      </c>
      <c r="AI17" s="13">
        <f>(AH17/B17)^(1/6)-1</f>
        <v>0.18915284595496917</v>
      </c>
      <c r="AJ17" s="2" t="s">
        <v>36</v>
      </c>
    </row>
    <row r="18" spans="1:37" hidden="1" outlineLevel="1" x14ac:dyDescent="0.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13"/>
    </row>
    <row r="19" spans="1:37" ht="17" hidden="1" outlineLevel="1" x14ac:dyDescent="0.2">
      <c r="A19" s="1" t="s">
        <v>37</v>
      </c>
      <c r="B19" s="22">
        <v>3579281.25</v>
      </c>
      <c r="C19" s="22">
        <f>D19</f>
        <v>3659311.1979166665</v>
      </c>
      <c r="D19" s="18">
        <f>B19+(($AC$19-$B$19)/4)</f>
        <v>3659311.1979166665</v>
      </c>
      <c r="E19" s="18">
        <f>D19+(($AC$19-$B$19)/4)</f>
        <v>3739341.145833333</v>
      </c>
      <c r="F19" s="18">
        <f>E19+(($AC$19-$B$19)/4)</f>
        <v>3819371.0937499995</v>
      </c>
      <c r="G19" s="18">
        <f>F19+(($AC$19-$B$19)/4)</f>
        <v>3899401.041666666</v>
      </c>
      <c r="H19" s="22"/>
      <c r="I19" s="22"/>
      <c r="J19" s="22"/>
      <c r="K19" s="22"/>
      <c r="L19" s="22"/>
      <c r="M19" s="22"/>
      <c r="N19" s="22"/>
      <c r="O19" s="22"/>
      <c r="P19" s="22"/>
      <c r="Q19" s="22"/>
      <c r="R19" s="22"/>
      <c r="S19" s="22"/>
      <c r="T19" s="22"/>
      <c r="U19" s="22"/>
      <c r="V19" s="22"/>
      <c r="W19" s="22"/>
      <c r="X19" s="22"/>
      <c r="Y19" s="22"/>
      <c r="Z19" s="22"/>
      <c r="AA19" s="22"/>
      <c r="AB19" s="22"/>
      <c r="AC19" s="18">
        <f>B19+(($AH$19-$B$19)/6)</f>
        <v>3899401.0416666665</v>
      </c>
      <c r="AD19" s="18">
        <f>AC19+(($AH$19-$B$19)/6)</f>
        <v>4219520.833333333</v>
      </c>
      <c r="AE19" s="18">
        <f>AD19+(($AH$19-$B$19)/6)</f>
        <v>4539640.625</v>
      </c>
      <c r="AF19" s="18">
        <f>AE19+(($AH$19-$B$19)/6)</f>
        <v>4859760.416666667</v>
      </c>
      <c r="AG19" s="18">
        <f>AF19+(($AH$19-$B$19)/6)</f>
        <v>5179880.208333334</v>
      </c>
      <c r="AH19" s="45">
        <v>5500000</v>
      </c>
      <c r="AI19" s="13">
        <f>(AH19/B19)^(1/6)-1</f>
        <v>7.4223075711589148E-2</v>
      </c>
      <c r="AJ19" s="2" t="s">
        <v>38</v>
      </c>
    </row>
    <row r="20" spans="1:37" ht="17" hidden="1" outlineLevel="1" x14ac:dyDescent="0.2">
      <c r="A20" s="1" t="s">
        <v>39</v>
      </c>
      <c r="B20" s="18">
        <f>B25/B23</f>
        <v>124593.22188650118</v>
      </c>
      <c r="C20" s="22">
        <f>C11*C19</f>
        <v>103426.36510778355</v>
      </c>
      <c r="D20" s="22">
        <f>D19*D11</f>
        <v>103426.36510778355</v>
      </c>
      <c r="AC20" s="22">
        <f t="shared" ref="AC20:AH20" si="3">AC19*AC11</f>
        <v>265375.90422453702</v>
      </c>
      <c r="AD20" s="22">
        <f t="shared" si="3"/>
        <v>511030.8564814814</v>
      </c>
      <c r="AE20" s="22">
        <f t="shared" si="3"/>
        <v>790654.07552083314</v>
      </c>
      <c r="AF20" s="22">
        <f t="shared" si="3"/>
        <v>1104245.5613425926</v>
      </c>
      <c r="AG20" s="22">
        <f t="shared" si="3"/>
        <v>1451805.3139467593</v>
      </c>
      <c r="AH20" s="22">
        <f t="shared" si="3"/>
        <v>1833333.3333333333</v>
      </c>
      <c r="AI20" s="13">
        <f>(AH20/B20)^(1/6)-1</f>
        <v>0.56539702113323109</v>
      </c>
      <c r="AJ20" s="2" t="s">
        <v>40</v>
      </c>
    </row>
    <row r="21" spans="1:37" ht="17" hidden="1" outlineLevel="1" x14ac:dyDescent="0.2">
      <c r="A21" s="1" t="s">
        <v>41</v>
      </c>
      <c r="B21" s="22">
        <f>B10/B19</f>
        <v>29681.657455669349</v>
      </c>
      <c r="C21" s="22">
        <f>D21</f>
        <v>7023.1796668814677</v>
      </c>
      <c r="D21" s="22">
        <f>D10/D19</f>
        <v>7023.1796668814677</v>
      </c>
      <c r="E21" s="29"/>
      <c r="AC21" s="22">
        <f t="shared" ref="AC21:AH21" si="4">AC10/AC19</f>
        <v>32789.485564690091</v>
      </c>
      <c r="AD21" s="22">
        <f t="shared" si="4"/>
        <v>37047.830482099278</v>
      </c>
      <c r="AE21" s="22">
        <f t="shared" si="4"/>
        <v>41246.22633666786</v>
      </c>
      <c r="AF21" s="22">
        <f t="shared" si="4"/>
        <v>45620.148112582705</v>
      </c>
      <c r="AG21" s="22">
        <f t="shared" si="4"/>
        <v>49970.317652393845</v>
      </c>
      <c r="AH21" s="22">
        <f t="shared" si="4"/>
        <v>54062.720588235272</v>
      </c>
      <c r="AI21" s="13">
        <f>(AH21/B21)^(1/6)-1</f>
        <v>0.10510011646268791</v>
      </c>
      <c r="AJ21" s="2" t="s">
        <v>42</v>
      </c>
    </row>
    <row r="22" spans="1:37" ht="40" hidden="1" customHeight="1" outlineLevel="1" x14ac:dyDescent="0.2">
      <c r="A22" s="60" t="s">
        <v>43</v>
      </c>
      <c r="B22" s="23">
        <v>0.15</v>
      </c>
      <c r="C22" s="23">
        <v>0.3</v>
      </c>
      <c r="AC22" s="23">
        <f t="shared" ref="AC22:AF22" si="5">AD22</f>
        <v>0.3</v>
      </c>
      <c r="AD22" s="23">
        <f t="shared" si="5"/>
        <v>0.3</v>
      </c>
      <c r="AE22" s="23">
        <f t="shared" si="5"/>
        <v>0.3</v>
      </c>
      <c r="AF22" s="23">
        <f t="shared" si="5"/>
        <v>0.3</v>
      </c>
      <c r="AG22" s="23">
        <f>AH22</f>
        <v>0.3</v>
      </c>
      <c r="AH22" s="62">
        <v>0.3</v>
      </c>
      <c r="AJ22" s="55" t="s">
        <v>44</v>
      </c>
    </row>
    <row r="23" spans="1:37" ht="17" hidden="1" outlineLevel="1" x14ac:dyDescent="0.2">
      <c r="A23" s="1" t="s">
        <v>45</v>
      </c>
      <c r="B23" s="24">
        <f>B21*B22</f>
        <v>4452.2486183504025</v>
      </c>
      <c r="C23" s="24">
        <f>C21*C22</f>
        <v>2106.9539000644404</v>
      </c>
      <c r="AC23" s="24">
        <f t="shared" ref="AC23:AG23" si="6">AC21*AC22</f>
        <v>9836.8456694070264</v>
      </c>
      <c r="AD23" s="24">
        <f t="shared" si="6"/>
        <v>11114.349144629783</v>
      </c>
      <c r="AE23" s="24">
        <f t="shared" si="6"/>
        <v>12373.867901000358</v>
      </c>
      <c r="AF23" s="24">
        <f t="shared" si="6"/>
        <v>13686.04443377481</v>
      </c>
      <c r="AG23" s="24">
        <f t="shared" si="6"/>
        <v>14991.095295718153</v>
      </c>
      <c r="AH23" s="24">
        <f>AH21*AH22</f>
        <v>16218.81617647058</v>
      </c>
      <c r="AI23" s="13">
        <f>(AH23/B23)^(1/6)-1</f>
        <v>0.24043294031163542</v>
      </c>
      <c r="AJ23" s="2" t="s">
        <v>46</v>
      </c>
    </row>
    <row r="24" spans="1:37" hidden="1" outlineLevel="1" x14ac:dyDescent="0.2">
      <c r="C24" s="29"/>
    </row>
    <row r="25" spans="1:37" ht="17" hidden="1" outlineLevel="1" x14ac:dyDescent="0.2">
      <c r="A25" s="1" t="s">
        <v>47</v>
      </c>
      <c r="B25" s="18">
        <v>554720000</v>
      </c>
      <c r="C25" s="18">
        <f>C20*C23*4</f>
        <v>871658333.33333325</v>
      </c>
      <c r="D25" s="16"/>
      <c r="E25" s="16"/>
      <c r="F25" s="16"/>
      <c r="G25" s="18"/>
      <c r="H25" s="18"/>
      <c r="I25" s="18"/>
      <c r="J25" s="18"/>
      <c r="K25" s="18"/>
      <c r="L25" s="18"/>
      <c r="M25" s="18"/>
      <c r="N25" s="18"/>
      <c r="O25" s="18"/>
      <c r="P25" s="18"/>
      <c r="Q25" s="18"/>
      <c r="R25" s="18"/>
      <c r="S25" s="18"/>
      <c r="T25" s="18"/>
      <c r="U25" s="18"/>
      <c r="V25" s="18"/>
      <c r="W25" s="18"/>
      <c r="X25" s="18"/>
      <c r="Y25" s="18"/>
      <c r="Z25" s="18"/>
      <c r="AA25" s="18"/>
      <c r="AB25" s="18"/>
      <c r="AC25" s="18">
        <f t="shared" ref="AC25:AH25" si="7">AC20*AC23</f>
        <v>2610461814.2361107</v>
      </c>
      <c r="AD25" s="18">
        <f t="shared" si="7"/>
        <v>5679775362.614378</v>
      </c>
      <c r="AE25" s="18">
        <f t="shared" si="7"/>
        <v>9783449085.8823509</v>
      </c>
      <c r="AF25" s="18">
        <f t="shared" si="7"/>
        <v>15112753818.33333</v>
      </c>
      <c r="AG25" s="18">
        <f t="shared" si="7"/>
        <v>21764151812.205879</v>
      </c>
      <c r="AH25" s="18">
        <f t="shared" si="7"/>
        <v>29734496323.529396</v>
      </c>
      <c r="AI25" s="13">
        <f>(AH25/B25)^(1/6)-1</f>
        <v>0.94177002967936896</v>
      </c>
      <c r="AJ25" s="2" t="s">
        <v>48</v>
      </c>
    </row>
    <row r="26" spans="1:37" ht="17" hidden="1" outlineLevel="1" x14ac:dyDescent="0.2">
      <c r="A26" s="1" t="s">
        <v>49</v>
      </c>
      <c r="B26" s="22">
        <f>B10-B25</f>
        <v>105684280000</v>
      </c>
      <c r="C26" s="22">
        <f>C10-C25</f>
        <v>101928341666.66667</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f t="shared" ref="AC26:AH26" si="8">AC10-AC25</f>
        <v>125248892352.43054</v>
      </c>
      <c r="AD26" s="22">
        <f t="shared" si="8"/>
        <v>150644317186.40521</v>
      </c>
      <c r="AE26" s="22">
        <f t="shared" si="8"/>
        <v>177459595620</v>
      </c>
      <c r="AF26" s="22">
        <f t="shared" si="8"/>
        <v>206590236181.66666</v>
      </c>
      <c r="AG26" s="22">
        <f t="shared" si="8"/>
        <v>237076107599.55884</v>
      </c>
      <c r="AH26" s="22">
        <f t="shared" si="8"/>
        <v>267610466911.76462</v>
      </c>
      <c r="AI26" s="13">
        <f>(AH26/B26)^(1/6)-1</f>
        <v>0.16747821059203205</v>
      </c>
      <c r="AJ26" s="2" t="s">
        <v>50</v>
      </c>
    </row>
    <row r="27" spans="1:37" collapsed="1" x14ac:dyDescent="0.2"/>
    <row r="28" spans="1:37" ht="19" customHeight="1" x14ac:dyDescent="0.2">
      <c r="A28" s="14" t="s">
        <v>51</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row>
    <row r="29" spans="1:37" ht="17" x14ac:dyDescent="0.2">
      <c r="A29" s="25" t="s">
        <v>52</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7" ht="17" x14ac:dyDescent="0.2">
      <c r="A30" s="1" t="s">
        <v>53</v>
      </c>
      <c r="B30" s="16">
        <v>24000000</v>
      </c>
      <c r="C30" s="16">
        <v>27000000</v>
      </c>
      <c r="D30" s="16">
        <f>B30+(($G$30-$B$30)/4)</f>
        <v>26583179.684356749</v>
      </c>
      <c r="E30" s="16">
        <f>D30+(($G$30-$B$30)/4)</f>
        <v>29166359.368713498</v>
      </c>
      <c r="F30" s="16">
        <f>E30+(($G$30-$B$30)/4)</f>
        <v>31749539.053070247</v>
      </c>
      <c r="G30" s="18">
        <f>'[1]Cash App_new'!I6</f>
        <v>34332718.737427004</v>
      </c>
      <c r="H30" s="18"/>
      <c r="I30" s="18"/>
      <c r="J30" s="18"/>
      <c r="K30" s="18"/>
      <c r="L30" s="18"/>
      <c r="M30" s="18"/>
      <c r="N30" s="18"/>
      <c r="O30" s="18"/>
      <c r="P30" s="18"/>
      <c r="Q30" s="18"/>
      <c r="R30" s="18"/>
      <c r="S30" s="18"/>
      <c r="T30" s="18"/>
      <c r="U30" s="18"/>
      <c r="V30" s="18"/>
      <c r="W30" s="18"/>
      <c r="X30" s="18"/>
      <c r="Y30" s="18"/>
      <c r="Z30" s="18"/>
      <c r="AA30" s="18"/>
      <c r="AB30" s="18"/>
      <c r="AC30" s="18">
        <f>B30+(($AH$30-$B$30)/6)</f>
        <v>32500000</v>
      </c>
      <c r="AD30" s="18">
        <f>AC30+(($AH$30-$B$30)/6)</f>
        <v>41000000</v>
      </c>
      <c r="AE30" s="18">
        <f>AD30+(($AH$30-$B$30)/6)</f>
        <v>49500000</v>
      </c>
      <c r="AF30" s="18">
        <f>AE30+(($AH$30-$B$30)/6)</f>
        <v>58000000</v>
      </c>
      <c r="AG30" s="18">
        <f>AF30+(($AH$30-$B$30)/6)</f>
        <v>66500000</v>
      </c>
      <c r="AH30" s="72">
        <v>75000000</v>
      </c>
      <c r="AI30" s="13">
        <f>(AH30/B30)^(1/6)-1</f>
        <v>0.20913558756097861</v>
      </c>
      <c r="AJ30" s="2" t="s">
        <v>54</v>
      </c>
      <c r="AK30" s="27"/>
    </row>
    <row r="32" spans="1:37" ht="17" x14ac:dyDescent="0.2">
      <c r="A32" s="1" t="s">
        <v>55</v>
      </c>
      <c r="AH32" s="73">
        <v>0.2</v>
      </c>
      <c r="AJ32" s="2" t="s">
        <v>56</v>
      </c>
    </row>
    <row r="33" spans="1:42" ht="17" x14ac:dyDescent="0.2">
      <c r="A33" s="1" t="s">
        <v>57</v>
      </c>
      <c r="AH33" s="73">
        <v>0.2</v>
      </c>
      <c r="AJ33" s="2" t="s">
        <v>58</v>
      </c>
    </row>
    <row r="34" spans="1:42" ht="34" x14ac:dyDescent="0.2">
      <c r="A34" s="59" t="s">
        <v>59</v>
      </c>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71">
        <v>0.5</v>
      </c>
      <c r="AJ34" s="55" t="s">
        <v>60</v>
      </c>
    </row>
    <row r="35" spans="1:42" ht="17" x14ac:dyDescent="0.2">
      <c r="A35" s="1" t="s">
        <v>61</v>
      </c>
      <c r="AH35" s="89">
        <f>1-AH32-AH33</f>
        <v>0.60000000000000009</v>
      </c>
      <c r="AJ35" s="2" t="s">
        <v>62</v>
      </c>
    </row>
    <row r="37" spans="1:42" s="55" customFormat="1" ht="34" x14ac:dyDescent="0.2">
      <c r="A37" s="19" t="s">
        <v>63</v>
      </c>
      <c r="AH37" s="74">
        <f>'Bank Reference'!B32</f>
        <v>877.7891654402938</v>
      </c>
      <c r="AJ37" s="55" t="s">
        <v>64</v>
      </c>
    </row>
    <row r="38" spans="1:42" ht="17" x14ac:dyDescent="0.2">
      <c r="A38" s="1" t="s">
        <v>65</v>
      </c>
      <c r="B38" s="18">
        <f>(B39+B16)/B30</f>
        <v>24.541666666666668</v>
      </c>
      <c r="C38" s="22">
        <f>C39/C30-1</f>
        <v>31.888888888888886</v>
      </c>
      <c r="AC38" s="18">
        <f>B38+(($AH$38-$B$38)/6)</f>
        <v>64.340847160903593</v>
      </c>
      <c r="AD38" s="18">
        <f>AC38+(($AH$38-$B$38)/6)</f>
        <v>104.14002765514051</v>
      </c>
      <c r="AE38" s="18">
        <f>AD38+(($AH$38-$B$38)/6)</f>
        <v>143.93920814937744</v>
      </c>
      <c r="AF38" s="18">
        <f>AE38+(($AH$38-$B$38)/6)</f>
        <v>183.73838864361437</v>
      </c>
      <c r="AG38" s="18">
        <f>AF38+(($AH$38-$B$38)/6)</f>
        <v>223.53756913785128</v>
      </c>
      <c r="AH38" s="30">
        <f>(AH32*AH37)+(AH33*(AH37*AH34))</f>
        <v>263.33674963208819</v>
      </c>
      <c r="AI38" s="13">
        <f>(AH38/B38)^(1/6)-1</f>
        <v>0.48514173594655929</v>
      </c>
      <c r="AJ38" s="2" t="s">
        <v>66</v>
      </c>
    </row>
    <row r="39" spans="1:42" ht="17" x14ac:dyDescent="0.2">
      <c r="A39" s="1" t="s">
        <v>67</v>
      </c>
      <c r="B39" s="16">
        <f>0.9*589000000</f>
        <v>530100000</v>
      </c>
      <c r="C39" s="18">
        <f>222000000*4</f>
        <v>888000000</v>
      </c>
      <c r="AC39" s="22">
        <f t="shared" ref="AC39:AH39" si="9">AC38*AC30</f>
        <v>2091077532.7293668</v>
      </c>
      <c r="AD39" s="22">
        <f t="shared" si="9"/>
        <v>4269741133.8607612</v>
      </c>
      <c r="AE39" s="22">
        <f t="shared" si="9"/>
        <v>7124990803.3941832</v>
      </c>
      <c r="AF39" s="22">
        <f t="shared" si="9"/>
        <v>10656826541.329634</v>
      </c>
      <c r="AG39" s="22">
        <f t="shared" si="9"/>
        <v>14865248347.66711</v>
      </c>
      <c r="AH39" s="22">
        <f t="shared" si="9"/>
        <v>19750256222.406612</v>
      </c>
      <c r="AI39" s="13">
        <f>(AH39/B39)^(1/6)-1</f>
        <v>0.82754952582573194</v>
      </c>
      <c r="AJ39" s="2" t="s">
        <v>68</v>
      </c>
      <c r="AO39" s="13"/>
      <c r="AP39" s="32"/>
    </row>
    <row r="40" spans="1:42" x14ac:dyDescent="0.2">
      <c r="C40" s="22"/>
    </row>
    <row r="41" spans="1:42" ht="17" x14ac:dyDescent="0.2">
      <c r="A41" s="25" t="s">
        <v>69</v>
      </c>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row>
    <row r="42" spans="1:42" ht="17" x14ac:dyDescent="0.2">
      <c r="A42" s="1" t="s">
        <v>70</v>
      </c>
      <c r="B42" s="17">
        <f>B49/B10</f>
        <v>2.136691798680334E-2</v>
      </c>
      <c r="C42" s="17">
        <f>C49/C10</f>
        <v>2.1322957198443581E-2</v>
      </c>
      <c r="E42" s="13"/>
      <c r="AC42" s="31">
        <f>B42+(($AH$42-$B$42)/6)</f>
        <v>2.4472431655669449E-2</v>
      </c>
      <c r="AD42" s="31">
        <f>AC42+(($AH$42-$B$42)/6)</f>
        <v>2.7577945324535558E-2</v>
      </c>
      <c r="AE42" s="31">
        <f>AD42+(($AH$42-$B$42)/6)</f>
        <v>3.0683458993401667E-2</v>
      </c>
      <c r="AF42" s="31">
        <f>AE42+(($AH$42-$B$42)/6)</f>
        <v>3.3788972662267776E-2</v>
      </c>
      <c r="AG42" s="31">
        <f>AF42+(($AH$42-$B$42)/6)</f>
        <v>3.6894486331133888E-2</v>
      </c>
      <c r="AH42" s="70">
        <v>0.04</v>
      </c>
      <c r="AI42" s="13"/>
      <c r="AJ42" s="2" t="s">
        <v>70</v>
      </c>
    </row>
    <row r="43" spans="1:42" ht="17" hidden="1" outlineLevel="1" x14ac:dyDescent="0.2">
      <c r="A43" s="1" t="s">
        <v>71</v>
      </c>
      <c r="C43" s="32">
        <f>AH43</f>
        <v>0.9</v>
      </c>
      <c r="E43" s="13"/>
      <c r="AH43" s="28">
        <v>0.9</v>
      </c>
      <c r="AJ43" s="2" t="s">
        <v>72</v>
      </c>
    </row>
    <row r="44" spans="1:42" ht="17" hidden="1" outlineLevel="1" x14ac:dyDescent="0.2">
      <c r="A44" s="33" t="s">
        <v>73</v>
      </c>
      <c r="C44" s="32">
        <f>1-C43</f>
        <v>9.9999999999999978E-2</v>
      </c>
      <c r="E44" s="13"/>
      <c r="AH44" s="32">
        <f>1-AH43</f>
        <v>9.9999999999999978E-2</v>
      </c>
      <c r="AJ44" s="2" t="s">
        <v>74</v>
      </c>
    </row>
    <row r="45" spans="1:42" hidden="1" outlineLevel="1" x14ac:dyDescent="0.2">
      <c r="A45" s="34" t="s">
        <v>75</v>
      </c>
      <c r="C45" s="13">
        <v>0.05</v>
      </c>
      <c r="E45" s="13"/>
      <c r="AH45" s="13">
        <v>0.05</v>
      </c>
      <c r="AJ45" s="2" t="s">
        <v>76</v>
      </c>
    </row>
    <row r="46" spans="1:42" hidden="1" outlineLevel="1" x14ac:dyDescent="0.2">
      <c r="A46" s="34" t="s">
        <v>77</v>
      </c>
      <c r="C46" s="31">
        <v>7.4999999999999997E-3</v>
      </c>
      <c r="E46" s="13"/>
      <c r="AH46" s="31">
        <v>7.4999999999999997E-3</v>
      </c>
      <c r="AJ46" s="2" t="s">
        <v>78</v>
      </c>
    </row>
    <row r="47" spans="1:42" ht="17" hidden="1" outlineLevel="1" x14ac:dyDescent="0.2">
      <c r="A47" s="1" t="s">
        <v>79</v>
      </c>
      <c r="C47" s="13">
        <v>0.13</v>
      </c>
      <c r="E47" s="13"/>
      <c r="AH47" s="13">
        <v>0.13</v>
      </c>
      <c r="AJ47" s="2" t="s">
        <v>80</v>
      </c>
    </row>
    <row r="48" spans="1:42" hidden="1" outlineLevel="1" x14ac:dyDescent="0.2">
      <c r="A48" s="8" t="s">
        <v>81</v>
      </c>
      <c r="D48" s="35">
        <v>0.21932769815915068</v>
      </c>
      <c r="E48" s="35">
        <v>0.25270171267926383</v>
      </c>
      <c r="F48" s="35">
        <v>0.256510094000167</v>
      </c>
      <c r="G48" s="35">
        <v>0.27146049516141846</v>
      </c>
      <c r="H48" s="35">
        <v>0.21932769815915068</v>
      </c>
      <c r="I48" s="35">
        <v>0.25270171267926383</v>
      </c>
      <c r="J48" s="35">
        <v>0.256510094000167</v>
      </c>
      <c r="K48" s="35">
        <v>0.27146049516141846</v>
      </c>
      <c r="L48" s="35">
        <v>0.21932769815915068</v>
      </c>
      <c r="M48" s="35">
        <v>0.25270171267926383</v>
      </c>
      <c r="N48" s="35">
        <v>0.256510094000167</v>
      </c>
      <c r="O48" s="35">
        <v>0.27146049516141846</v>
      </c>
      <c r="P48" s="35">
        <v>0.21932769815915068</v>
      </c>
      <c r="Q48" s="35">
        <v>0.25270171267926383</v>
      </c>
      <c r="R48" s="35">
        <v>0.256510094000167</v>
      </c>
      <c r="S48" s="35">
        <v>0.27146049516141846</v>
      </c>
      <c r="T48" s="35">
        <v>0.21932769815915068</v>
      </c>
      <c r="U48" s="35">
        <v>0.25270171267926383</v>
      </c>
      <c r="V48" s="35">
        <v>0.256510094000167</v>
      </c>
      <c r="W48" s="35">
        <v>0.27146049516141846</v>
      </c>
      <c r="X48" s="35">
        <v>0.21932769815915068</v>
      </c>
      <c r="Y48" s="35">
        <v>0.25270171267926383</v>
      </c>
      <c r="Z48" s="35">
        <v>0.256510094000167</v>
      </c>
      <c r="AA48" s="35">
        <v>0.27146049516141846</v>
      </c>
      <c r="AH48" s="32"/>
    </row>
    <row r="49" spans="1:41" collapsed="1" x14ac:dyDescent="0.2">
      <c r="A49" s="2" t="s">
        <v>82</v>
      </c>
      <c r="B49" s="16">
        <v>2270000000</v>
      </c>
      <c r="C49" s="18">
        <f>D49*4</f>
        <v>2192000000</v>
      </c>
      <c r="D49" s="22">
        <v>548000000</v>
      </c>
      <c r="E49" s="2">
        <v>0</v>
      </c>
      <c r="F49" s="18">
        <f>(AC49-D49)/2</f>
        <v>482666666.66666663</v>
      </c>
      <c r="G49" s="18">
        <f>(AC49-D49)/2</f>
        <v>482666666.66666663</v>
      </c>
      <c r="H49" s="22">
        <f>H48*$AD$49</f>
        <v>945543042.35383117</v>
      </c>
      <c r="I49" s="22">
        <f>I48*$AD$49</f>
        <v>1089421665.4815419</v>
      </c>
      <c r="J49" s="22">
        <f>J48*$AD$49</f>
        <v>1105839967.8247201</v>
      </c>
      <c r="K49" s="22">
        <f>K48*$AD$49</f>
        <v>1170292601.5644054</v>
      </c>
      <c r="L49" s="22">
        <f>L48*$AE$49</f>
        <v>1260095590.7328546</v>
      </c>
      <c r="M49" s="22">
        <f>M48*$AE$49</f>
        <v>1451838124.3700466</v>
      </c>
      <c r="N49" s="22">
        <f>N48*$AE$49</f>
        <v>1473718281.5530086</v>
      </c>
      <c r="O49" s="22">
        <f>O48*$AE$49</f>
        <v>1559612287.3767064</v>
      </c>
      <c r="P49" s="22">
        <f>P48*$AF$49</f>
        <v>1643009287.758503</v>
      </c>
      <c r="Q49" s="22">
        <f>Q48*$AF$49</f>
        <v>1893017910.8670354</v>
      </c>
      <c r="R49" s="22">
        <f>R48*$AF$49</f>
        <v>1921546938.1357639</v>
      </c>
      <c r="S49" s="22">
        <f>S48*$AF$49</f>
        <v>2033542131.4917238</v>
      </c>
      <c r="T49" s="22">
        <f>T48*$AG$49</f>
        <v>2094530917.2125523</v>
      </c>
      <c r="U49" s="22">
        <f>U48*$AG$49</f>
        <v>2413245360.6256866</v>
      </c>
      <c r="V49" s="22">
        <f>V48*$AG$49</f>
        <v>2449614558.3518138</v>
      </c>
      <c r="W49" s="22">
        <f>W48*$AG$49</f>
        <v>2592387576.6244497</v>
      </c>
      <c r="X49" s="22">
        <f>X48*$AH$49</f>
        <v>2608639453.824573</v>
      </c>
      <c r="Y49" s="22">
        <f>Y48*$AH$49</f>
        <v>3005583258.6444612</v>
      </c>
      <c r="Z49" s="22">
        <f>Z48*$AH$49</f>
        <v>3050879378.7984586</v>
      </c>
      <c r="AA49" s="22">
        <f>AA48*$AH$49</f>
        <v>3228696438.1442671</v>
      </c>
      <c r="AC49" s="22">
        <f>B49*(2/3)</f>
        <v>1513333333.3333333</v>
      </c>
      <c r="AD49" s="22">
        <f>AD42*AD10</f>
        <v>4311097277.2244987</v>
      </c>
      <c r="AE49" s="22">
        <f>AE42*AE10</f>
        <v>5745264284.0326166</v>
      </c>
      <c r="AF49" s="22">
        <f>AF42*AF10</f>
        <v>7491116268.253026</v>
      </c>
      <c r="AG49" s="22">
        <f>AG42*AG10</f>
        <v>9549778412.8145027</v>
      </c>
      <c r="AH49" s="22">
        <f>AH42*AH10</f>
        <v>11893798529.41176</v>
      </c>
      <c r="AI49" s="13"/>
      <c r="AJ49" s="2" t="s">
        <v>83</v>
      </c>
    </row>
    <row r="50" spans="1:41" ht="17" x14ac:dyDescent="0.2">
      <c r="A50" s="1" t="s">
        <v>84</v>
      </c>
      <c r="B50" s="16">
        <v>164834000</v>
      </c>
      <c r="C50" s="18">
        <v>160709000</v>
      </c>
      <c r="D50" s="18">
        <f>C50</f>
        <v>160709000</v>
      </c>
      <c r="E50" s="18">
        <f>D50-(((1/9)*56300000)+((3/9)*67100000)+((3/9)*D55)+((2/9)*E55))+E55</f>
        <v>113820111.11111112</v>
      </c>
      <c r="F50" s="18">
        <f>E50-(((1/9)*67100000)+((3/9)*D55)+((3/9)*E55)+((2/9)*F55))+F55</f>
        <v>125638629.62962961</v>
      </c>
      <c r="G50" s="18">
        <f t="shared" ref="G50:AA50" si="10">F50-(((1/9)*D55)+((3/9)*E55)+((3/9)*F55)+((2/9)*G55))+G55</f>
        <v>141001592.59259257</v>
      </c>
      <c r="H50" s="36">
        <f t="shared" si="10"/>
        <v>182366051.44233504</v>
      </c>
      <c r="I50" s="36">
        <f t="shared" si="10"/>
        <v>214128894.38280869</v>
      </c>
      <c r="J50" s="36">
        <f t="shared" si="10"/>
        <v>226943549.76725599</v>
      </c>
      <c r="K50" s="36">
        <f t="shared" si="10"/>
        <v>234284886.0859029</v>
      </c>
      <c r="L50" s="36">
        <f t="shared" si="10"/>
        <v>244316550.10235912</v>
      </c>
      <c r="M50" s="36">
        <f t="shared" si="10"/>
        <v>263937242.61206827</v>
      </c>
      <c r="N50" s="36">
        <f t="shared" si="10"/>
        <v>275158733.98982334</v>
      </c>
      <c r="O50" s="36">
        <f t="shared" si="10"/>
        <v>284942302.91354477</v>
      </c>
      <c r="P50" s="36">
        <f t="shared" si="10"/>
        <v>295489360.50410402</v>
      </c>
      <c r="Q50" s="36">
        <f t="shared" si="10"/>
        <v>319595386.8275553</v>
      </c>
      <c r="R50" s="36">
        <f t="shared" si="10"/>
        <v>333852438.86863339</v>
      </c>
      <c r="S50" s="36">
        <f t="shared" si="10"/>
        <v>346609006.48724627</v>
      </c>
      <c r="T50" s="36">
        <f t="shared" si="10"/>
        <v>356647132.05100596</v>
      </c>
      <c r="U50" s="36">
        <f t="shared" si="10"/>
        <v>385391036.94135278</v>
      </c>
      <c r="V50" s="36">
        <f t="shared" si="10"/>
        <v>403062491.86864442</v>
      </c>
      <c r="W50" s="36">
        <f t="shared" si="10"/>
        <v>419324740.33782339</v>
      </c>
      <c r="X50" s="36">
        <f t="shared" si="10"/>
        <v>427338344.90690708</v>
      </c>
      <c r="Y50" s="36">
        <f t="shared" si="10"/>
        <v>460520424.47148877</v>
      </c>
      <c r="Z50" s="36">
        <f t="shared" si="10"/>
        <v>481865979.33324033</v>
      </c>
      <c r="AA50" s="36">
        <f t="shared" si="10"/>
        <v>502119842.6760906</v>
      </c>
      <c r="AC50" s="18">
        <f>G50</f>
        <v>141001592.59259257</v>
      </c>
      <c r="AD50" s="18">
        <f>K50</f>
        <v>234284886.0859029</v>
      </c>
      <c r="AE50" s="18">
        <f>O50</f>
        <v>284942302.91354477</v>
      </c>
      <c r="AF50" s="18">
        <f>S50</f>
        <v>346609006.48724627</v>
      </c>
      <c r="AG50" s="18">
        <f>W50</f>
        <v>419324740.33782339</v>
      </c>
      <c r="AH50" s="18">
        <f>AA50</f>
        <v>502119842.6760906</v>
      </c>
      <c r="AJ50" s="2" t="s">
        <v>85</v>
      </c>
    </row>
    <row r="51" spans="1:41" hidden="1" outlineLevel="1" x14ac:dyDescent="0.2">
      <c r="A51" s="2" t="s">
        <v>86</v>
      </c>
      <c r="C51" s="18">
        <f>D51</f>
        <v>162084000</v>
      </c>
      <c r="D51" s="22">
        <f>AVERAGE(D50,D50,164834000)</f>
        <v>162084000</v>
      </c>
      <c r="E51" s="22">
        <f t="shared" ref="E51:AA51" si="11">AVERAGE(E50,E50,D50)</f>
        <v>129449740.74074073</v>
      </c>
      <c r="F51" s="22">
        <f t="shared" si="11"/>
        <v>121699123.4567901</v>
      </c>
      <c r="G51" s="22">
        <f t="shared" si="11"/>
        <v>135880604.93827158</v>
      </c>
      <c r="H51" s="22">
        <f t="shared" si="11"/>
        <v>168577898.49242088</v>
      </c>
      <c r="I51" s="22">
        <f t="shared" si="11"/>
        <v>203541280.06931746</v>
      </c>
      <c r="J51" s="22">
        <f t="shared" si="11"/>
        <v>222671997.97244024</v>
      </c>
      <c r="K51" s="22">
        <f t="shared" si="11"/>
        <v>231837773.97968724</v>
      </c>
      <c r="L51" s="22">
        <f t="shared" si="11"/>
        <v>240972662.09687373</v>
      </c>
      <c r="M51" s="22">
        <f t="shared" si="11"/>
        <v>257397011.77549854</v>
      </c>
      <c r="N51" s="22">
        <f t="shared" si="11"/>
        <v>271418236.86390501</v>
      </c>
      <c r="O51" s="22">
        <f t="shared" si="11"/>
        <v>281681113.2723043</v>
      </c>
      <c r="P51" s="22">
        <f t="shared" si="11"/>
        <v>291973674.64058429</v>
      </c>
      <c r="Q51" s="22">
        <f t="shared" si="11"/>
        <v>311560044.71973819</v>
      </c>
      <c r="R51" s="22">
        <f t="shared" si="11"/>
        <v>329100088.18827403</v>
      </c>
      <c r="S51" s="22">
        <f t="shared" si="11"/>
        <v>342356817.28104198</v>
      </c>
      <c r="T51" s="22">
        <f t="shared" si="11"/>
        <v>353301090.19641942</v>
      </c>
      <c r="U51" s="22">
        <f t="shared" si="11"/>
        <v>375809735.31123716</v>
      </c>
      <c r="V51" s="22">
        <f t="shared" si="11"/>
        <v>397172006.8928805</v>
      </c>
      <c r="W51" s="22">
        <f t="shared" si="11"/>
        <v>413903990.84809709</v>
      </c>
      <c r="X51" s="22">
        <f t="shared" si="11"/>
        <v>424667143.38387918</v>
      </c>
      <c r="Y51" s="22">
        <f t="shared" si="11"/>
        <v>449459731.28329486</v>
      </c>
      <c r="Z51" s="22">
        <f t="shared" si="11"/>
        <v>474750794.37932318</v>
      </c>
      <c r="AA51" s="22">
        <f t="shared" si="11"/>
        <v>495368554.89514047</v>
      </c>
      <c r="AC51" s="18">
        <f>G51</f>
        <v>135880604.93827158</v>
      </c>
      <c r="AD51" s="18">
        <f>K51</f>
        <v>231837773.97968724</v>
      </c>
      <c r="AE51" s="18">
        <f>O51</f>
        <v>281681113.2723043</v>
      </c>
      <c r="AF51" s="18">
        <f>S51</f>
        <v>342356817.28104198</v>
      </c>
      <c r="AG51" s="18">
        <f>W51</f>
        <v>413903990.84809709</v>
      </c>
      <c r="AH51" s="18">
        <f>AA51</f>
        <v>495368554.89514047</v>
      </c>
      <c r="AJ51" s="2" t="s">
        <v>87</v>
      </c>
    </row>
    <row r="52" spans="1:41" ht="17" hidden="1" outlineLevel="1" x14ac:dyDescent="0.2">
      <c r="A52" s="1" t="s">
        <v>88</v>
      </c>
      <c r="B52" s="13">
        <f>B50/B102</f>
        <v>1.6134886452623336</v>
      </c>
      <c r="AC52" s="13">
        <f t="shared" ref="AC52:AH52" si="12">AC50/AC102</f>
        <v>7.2997888089111965E-2</v>
      </c>
      <c r="AD52" s="13">
        <f t="shared" si="12"/>
        <v>7.9984064969807159E-2</v>
      </c>
      <c r="AE52" s="13">
        <f t="shared" si="12"/>
        <v>6.8685207742650356E-2</v>
      </c>
      <c r="AF52" s="13">
        <f t="shared" si="12"/>
        <v>6.1507290629670627E-2</v>
      </c>
      <c r="AG52" s="13">
        <f t="shared" si="12"/>
        <v>5.4988993329036777E-2</v>
      </c>
      <c r="AH52" s="13">
        <f t="shared" si="12"/>
        <v>5.2504739188852789E-2</v>
      </c>
    </row>
    <row r="53" spans="1:41" hidden="1" outlineLevel="1" x14ac:dyDescent="0.2"/>
    <row r="54" spans="1:41" hidden="1" outlineLevel="1" x14ac:dyDescent="0.2">
      <c r="A54" s="2" t="s">
        <v>89</v>
      </c>
      <c r="C54" s="18">
        <f>D54*4</f>
        <v>1972800000</v>
      </c>
      <c r="D54" s="18">
        <f t="shared" ref="D54:AA54" si="13">D49*$C$43</f>
        <v>493200000</v>
      </c>
      <c r="E54" s="37">
        <f t="shared" si="13"/>
        <v>0</v>
      </c>
      <c r="F54" s="18">
        <f t="shared" si="13"/>
        <v>434400000</v>
      </c>
      <c r="G54" s="18">
        <f t="shared" si="13"/>
        <v>434400000</v>
      </c>
      <c r="H54" s="18">
        <f t="shared" si="13"/>
        <v>850988738.11844802</v>
      </c>
      <c r="I54" s="18">
        <f t="shared" si="13"/>
        <v>980479498.93338776</v>
      </c>
      <c r="J54" s="18">
        <f t="shared" si="13"/>
        <v>995255971.04224813</v>
      </c>
      <c r="K54" s="18">
        <f t="shared" si="13"/>
        <v>1053263341.4079649</v>
      </c>
      <c r="L54" s="18">
        <f t="shared" si="13"/>
        <v>1134086031.6595693</v>
      </c>
      <c r="M54" s="18">
        <f t="shared" si="13"/>
        <v>1306654311.933042</v>
      </c>
      <c r="N54" s="18">
        <f t="shared" si="13"/>
        <v>1326346453.3977077</v>
      </c>
      <c r="O54" s="18">
        <f t="shared" si="13"/>
        <v>1403651058.6390357</v>
      </c>
      <c r="P54" s="18">
        <f t="shared" si="13"/>
        <v>1478708358.9826527</v>
      </c>
      <c r="Q54" s="18">
        <f t="shared" si="13"/>
        <v>1703716119.7803319</v>
      </c>
      <c r="R54" s="18">
        <f t="shared" si="13"/>
        <v>1729392244.3221874</v>
      </c>
      <c r="S54" s="18">
        <f t="shared" si="13"/>
        <v>1830187918.3425515</v>
      </c>
      <c r="T54" s="18">
        <f t="shared" si="13"/>
        <v>1885077825.491297</v>
      </c>
      <c r="U54" s="18">
        <f t="shared" si="13"/>
        <v>2171920824.563118</v>
      </c>
      <c r="V54" s="18">
        <f t="shared" si="13"/>
        <v>2204653102.5166326</v>
      </c>
      <c r="W54" s="18">
        <f t="shared" si="13"/>
        <v>2333148818.9620047</v>
      </c>
      <c r="X54" s="18">
        <f t="shared" si="13"/>
        <v>2347775508.4421158</v>
      </c>
      <c r="Y54" s="18">
        <f t="shared" si="13"/>
        <v>2705024932.780015</v>
      </c>
      <c r="Z54" s="18">
        <f t="shared" si="13"/>
        <v>2745791440.918613</v>
      </c>
      <c r="AA54" s="18">
        <f t="shared" si="13"/>
        <v>2905826794.3298407</v>
      </c>
      <c r="AC54" s="22">
        <f>SUM(D54:G54)</f>
        <v>1362000000</v>
      </c>
      <c r="AD54" s="22">
        <f>SUM(H54:K54)</f>
        <v>3879987549.5020485</v>
      </c>
      <c r="AE54" s="22">
        <f>SUM(L54:O54)</f>
        <v>5170737855.6293545</v>
      </c>
      <c r="AF54" s="22">
        <f>SUM(P54:S54)</f>
        <v>6742004641.4277229</v>
      </c>
      <c r="AG54" s="22">
        <f>SUM(T54:W54)</f>
        <v>8594800571.5330505</v>
      </c>
      <c r="AH54" s="22">
        <f>SUM(U54:X54)</f>
        <v>9057498254.4838715</v>
      </c>
      <c r="AJ54" s="2" t="s">
        <v>90</v>
      </c>
    </row>
    <row r="55" spans="1:41" hidden="1" outlineLevel="1" x14ac:dyDescent="0.2">
      <c r="A55" s="2" t="s">
        <v>91</v>
      </c>
      <c r="D55" s="22">
        <f t="shared" ref="D55:AA55" si="14">D49-D54</f>
        <v>54800000</v>
      </c>
      <c r="E55" s="37">
        <f t="shared" si="14"/>
        <v>0</v>
      </c>
      <c r="F55" s="22">
        <f t="shared" si="14"/>
        <v>48266666.666666627</v>
      </c>
      <c r="G55" s="22">
        <f t="shared" si="14"/>
        <v>48266666.666666627</v>
      </c>
      <c r="H55" s="22">
        <f t="shared" si="14"/>
        <v>94554304.235383153</v>
      </c>
      <c r="I55" s="22">
        <f t="shared" si="14"/>
        <v>108942166.54815412</v>
      </c>
      <c r="J55" s="22">
        <f t="shared" si="14"/>
        <v>110583996.78247201</v>
      </c>
      <c r="K55" s="22">
        <f t="shared" si="14"/>
        <v>117029260.1564405</v>
      </c>
      <c r="L55" s="22">
        <f t="shared" si="14"/>
        <v>126009559.07328534</v>
      </c>
      <c r="M55" s="22">
        <f t="shared" si="14"/>
        <v>145183812.43700457</v>
      </c>
      <c r="N55" s="22">
        <f t="shared" si="14"/>
        <v>147371828.15530086</v>
      </c>
      <c r="O55" s="22">
        <f t="shared" si="14"/>
        <v>155961228.73767066</v>
      </c>
      <c r="P55" s="22">
        <f t="shared" si="14"/>
        <v>164300928.7758503</v>
      </c>
      <c r="Q55" s="22">
        <f t="shared" si="14"/>
        <v>189301791.08670354</v>
      </c>
      <c r="R55" s="22">
        <f t="shared" si="14"/>
        <v>192154693.81357646</v>
      </c>
      <c r="S55" s="22">
        <f t="shared" si="14"/>
        <v>203354213.14917231</v>
      </c>
      <c r="T55" s="22">
        <f t="shared" si="14"/>
        <v>209453091.7212553</v>
      </c>
      <c r="U55" s="22">
        <f t="shared" si="14"/>
        <v>241324536.06256866</v>
      </c>
      <c r="V55" s="22">
        <f t="shared" si="14"/>
        <v>244961455.83518124</v>
      </c>
      <c r="W55" s="22">
        <f t="shared" si="14"/>
        <v>259238757.66244507</v>
      </c>
      <c r="X55" s="22">
        <f t="shared" si="14"/>
        <v>260863945.38245726</v>
      </c>
      <c r="Y55" s="22">
        <f t="shared" si="14"/>
        <v>300558325.86444616</v>
      </c>
      <c r="Z55" s="22">
        <f t="shared" si="14"/>
        <v>305087937.87984562</v>
      </c>
      <c r="AA55" s="22">
        <f t="shared" si="14"/>
        <v>322869643.81442642</v>
      </c>
      <c r="AC55" s="22">
        <f>SUM(D55:G55)</f>
        <v>151333333.33333325</v>
      </c>
      <c r="AD55" s="22">
        <f>SUM(H55:K55)</f>
        <v>431109727.72244978</v>
      </c>
      <c r="AE55" s="22">
        <f>SUM(L55:O55)</f>
        <v>574526428.40326142</v>
      </c>
      <c r="AF55" s="22">
        <f>SUM(P55:S55)</f>
        <v>749111626.8253026</v>
      </c>
      <c r="AG55" s="22">
        <f>SUM(T55:W55)</f>
        <v>954977841.28145027</v>
      </c>
      <c r="AH55" s="22">
        <f>SUM(U55:X55)</f>
        <v>1006388694.9426522</v>
      </c>
      <c r="AJ55" s="2" t="s">
        <v>92</v>
      </c>
    </row>
    <row r="56" spans="1:41" hidden="1" outlineLevel="1" x14ac:dyDescent="0.2">
      <c r="A56" s="8"/>
    </row>
    <row r="57" spans="1:41" ht="17" collapsed="1" x14ac:dyDescent="0.2">
      <c r="A57" s="1" t="s">
        <v>93</v>
      </c>
      <c r="C57" s="18">
        <f>D57*4</f>
        <v>28094560</v>
      </c>
      <c r="D57" s="22">
        <f t="shared" ref="D57:Z57" si="15">D51*$C$47*(3/9)</f>
        <v>7023640</v>
      </c>
      <c r="E57" s="22">
        <f t="shared" si="15"/>
        <v>5609488.7654320979</v>
      </c>
      <c r="F57" s="22">
        <f t="shared" si="15"/>
        <v>5273628.6831275709</v>
      </c>
      <c r="G57" s="22">
        <f t="shared" si="15"/>
        <v>5888159.5473251017</v>
      </c>
      <c r="H57" s="22">
        <f t="shared" si="15"/>
        <v>7305042.2680049054</v>
      </c>
      <c r="I57" s="22">
        <f t="shared" si="15"/>
        <v>8820122.1363370903</v>
      </c>
      <c r="J57" s="22">
        <f t="shared" si="15"/>
        <v>9649119.9121390767</v>
      </c>
      <c r="K57" s="22">
        <f t="shared" si="15"/>
        <v>10046303.53911978</v>
      </c>
      <c r="L57" s="22">
        <f t="shared" si="15"/>
        <v>10442148.690864528</v>
      </c>
      <c r="M57" s="22">
        <f t="shared" si="15"/>
        <v>11153870.510271603</v>
      </c>
      <c r="N57" s="22">
        <f t="shared" si="15"/>
        <v>11761456.930769216</v>
      </c>
      <c r="O57" s="22">
        <f t="shared" si="15"/>
        <v>12206181.575133186</v>
      </c>
      <c r="P57" s="22">
        <f t="shared" si="15"/>
        <v>12652192.567758651</v>
      </c>
      <c r="Q57" s="22">
        <f t="shared" si="15"/>
        <v>13500935.271188654</v>
      </c>
      <c r="R57" s="22">
        <f t="shared" si="15"/>
        <v>14261003.821491875</v>
      </c>
      <c r="S57" s="22">
        <f t="shared" si="15"/>
        <v>14835462.082178485</v>
      </c>
      <c r="T57" s="22">
        <f t="shared" si="15"/>
        <v>15309713.908511508</v>
      </c>
      <c r="U57" s="22">
        <f t="shared" si="15"/>
        <v>16285088.53015361</v>
      </c>
      <c r="V57" s="22">
        <f t="shared" si="15"/>
        <v>17210786.965358153</v>
      </c>
      <c r="W57" s="22">
        <f t="shared" si="15"/>
        <v>17935839.603417538</v>
      </c>
      <c r="X57" s="22">
        <f t="shared" si="15"/>
        <v>18402242.879968099</v>
      </c>
      <c r="Y57" s="22">
        <f t="shared" si="15"/>
        <v>19476588.355609443</v>
      </c>
      <c r="Z57" s="22">
        <f t="shared" si="15"/>
        <v>20572534.423104003</v>
      </c>
      <c r="AA57" s="22">
        <f>AA51*$C$47*(3/9)</f>
        <v>21465970.712122753</v>
      </c>
      <c r="AC57" s="22">
        <f>SUM(D57:G57)</f>
        <v>23794916.995884769</v>
      </c>
      <c r="AD57" s="22">
        <f>SUM(H57:K57)</f>
        <v>35820587.855600849</v>
      </c>
      <c r="AE57" s="22">
        <f>SUM(L57:O57)</f>
        <v>45563657.707038537</v>
      </c>
      <c r="AF57" s="22">
        <f>SUM(P57:S57)</f>
        <v>55249593.742617667</v>
      </c>
      <c r="AG57" s="22">
        <f>SUM(T57:W57)</f>
        <v>66741429.007440813</v>
      </c>
      <c r="AH57" s="22">
        <f>SUM(X57:AA57)</f>
        <v>79917336.370804295</v>
      </c>
      <c r="AJ57" s="2" t="s">
        <v>94</v>
      </c>
    </row>
    <row r="58" spans="1:41" ht="17" x14ac:dyDescent="0.2">
      <c r="A58" s="1" t="s">
        <v>95</v>
      </c>
      <c r="C58" s="18">
        <f>D58*4</f>
        <v>114678000</v>
      </c>
      <c r="D58" s="22">
        <f>(D54*$C$45)+(((506700000+603900000+D54)*$C$46*(3/9)))</f>
        <v>28669500</v>
      </c>
      <c r="E58" s="22">
        <f>(E54*$C$45)+(((603900000+D54+E54)*$C$46*(3/9)))</f>
        <v>2742750</v>
      </c>
      <c r="F58" s="22">
        <f t="shared" ref="F58:AA58" si="16">(F54*$C$45)+(((D54+E54+F54)*$C$46*(3/9)))</f>
        <v>24039000</v>
      </c>
      <c r="G58" s="22">
        <f t="shared" si="16"/>
        <v>23892000</v>
      </c>
      <c r="H58" s="22">
        <f t="shared" si="16"/>
        <v>46848908.751218528</v>
      </c>
      <c r="I58" s="22">
        <f t="shared" si="16"/>
        <v>54688645.539298981</v>
      </c>
      <c r="J58" s="22">
        <f t="shared" si="16"/>
        <v>56829609.072347619</v>
      </c>
      <c r="K58" s="22">
        <f t="shared" si="16"/>
        <v>60235664.098857254</v>
      </c>
      <c r="L58" s="22">
        <f t="shared" si="16"/>
        <v>64660814.943252921</v>
      </c>
      <c r="M58" s="22">
        <f t="shared" si="16"/>
        <v>74067724.809153542</v>
      </c>
      <c r="N58" s="22">
        <f t="shared" si="16"/>
        <v>75735039.66236119</v>
      </c>
      <c r="O58" s="22">
        <f t="shared" si="16"/>
        <v>80274182.491876245</v>
      </c>
      <c r="P58" s="22">
        <f t="shared" si="16"/>
        <v>84457182.626681119</v>
      </c>
      <c r="Q58" s="22">
        <f t="shared" si="16"/>
        <v>96650994.832521647</v>
      </c>
      <c r="R58" s="22">
        <f t="shared" si="16"/>
        <v>98749154.023822308</v>
      </c>
      <c r="S58" s="22">
        <f t="shared" si="16"/>
        <v>104667636.62324026</v>
      </c>
      <c r="T58" s="22">
        <f t="shared" si="16"/>
        <v>107865536.24495494</v>
      </c>
      <c r="U58" s="22">
        <f t="shared" si="16"/>
        <v>123314007.64914833</v>
      </c>
      <c r="V58" s="22">
        <f t="shared" si="16"/>
        <v>125886784.50725925</v>
      </c>
      <c r="W58" s="22">
        <f t="shared" si="16"/>
        <v>133431747.81320463</v>
      </c>
      <c r="X58" s="22">
        <f t="shared" si="16"/>
        <v>134602718.99690768</v>
      </c>
      <c r="Y58" s="22">
        <f t="shared" si="16"/>
        <v>153716119.78946108</v>
      </c>
      <c r="Z58" s="22">
        <f t="shared" si="16"/>
        <v>156786051.75128251</v>
      </c>
      <c r="AA58" s="22">
        <f t="shared" si="16"/>
        <v>166182947.63656318</v>
      </c>
      <c r="AC58" s="22">
        <f>SUM(D58:G58)</f>
        <v>79343250</v>
      </c>
      <c r="AD58" s="22">
        <f>SUM(H58:K58)</f>
        <v>218602827.46172237</v>
      </c>
      <c r="AE58" s="22">
        <f>SUM(L58:O58)</f>
        <v>294737761.90664393</v>
      </c>
      <c r="AF58" s="22">
        <f>SUM(P58:S58)</f>
        <v>384524968.10626531</v>
      </c>
      <c r="AG58" s="22">
        <f>SUM(T58:W58)</f>
        <v>490498076.21456718</v>
      </c>
      <c r="AH58" s="22">
        <f>SUM(X58:AA58)</f>
        <v>611287838.17421436</v>
      </c>
      <c r="AJ58" s="2" t="s">
        <v>96</v>
      </c>
    </row>
    <row r="59" spans="1:41" ht="17" x14ac:dyDescent="0.2">
      <c r="A59" s="1" t="s">
        <v>97</v>
      </c>
      <c r="B59" s="16">
        <v>139216374</v>
      </c>
      <c r="C59" s="22">
        <f>(C57+C58)</f>
        <v>142772560</v>
      </c>
      <c r="D59" s="22">
        <f>SUM(D57:D58)</f>
        <v>35693140</v>
      </c>
      <c r="E59" s="22">
        <f t="shared" ref="E59:AA59" si="17">SUM(E57:E58)</f>
        <v>8352238.7654320979</v>
      </c>
      <c r="F59" s="22">
        <f t="shared" si="17"/>
        <v>29312628.683127571</v>
      </c>
      <c r="G59" s="22">
        <f t="shared" si="17"/>
        <v>29780159.547325101</v>
      </c>
      <c r="H59" s="22">
        <f t="shared" si="17"/>
        <v>54153951.019223437</v>
      </c>
      <c r="I59" s="22">
        <f t="shared" si="17"/>
        <v>63508767.675636068</v>
      </c>
      <c r="J59" s="22">
        <f t="shared" si="17"/>
        <v>66478728.984486699</v>
      </c>
      <c r="K59" s="22">
        <f t="shared" si="17"/>
        <v>70281967.637977034</v>
      </c>
      <c r="L59" s="22">
        <f t="shared" si="17"/>
        <v>75102963.634117454</v>
      </c>
      <c r="M59" s="22">
        <f t="shared" si="17"/>
        <v>85221595.319425151</v>
      </c>
      <c r="N59" s="22">
        <f t="shared" si="17"/>
        <v>87496496.59313041</v>
      </c>
      <c r="O59" s="22">
        <f t="shared" si="17"/>
        <v>92480364.067009434</v>
      </c>
      <c r="P59" s="22">
        <f t="shared" si="17"/>
        <v>97109375.194439769</v>
      </c>
      <c r="Q59" s="22">
        <f t="shared" si="17"/>
        <v>110151930.10371029</v>
      </c>
      <c r="R59" s="22">
        <f t="shared" si="17"/>
        <v>113010157.84531417</v>
      </c>
      <c r="S59" s="22">
        <f t="shared" si="17"/>
        <v>119503098.70541875</v>
      </c>
      <c r="T59" s="22">
        <f t="shared" si="17"/>
        <v>123175250.15346645</v>
      </c>
      <c r="U59" s="22">
        <f t="shared" si="17"/>
        <v>139599096.17930195</v>
      </c>
      <c r="V59" s="22">
        <f t="shared" si="17"/>
        <v>143097571.47261739</v>
      </c>
      <c r="W59" s="22">
        <f t="shared" si="17"/>
        <v>151367587.41662216</v>
      </c>
      <c r="X59" s="22">
        <f t="shared" si="17"/>
        <v>153004961.87687579</v>
      </c>
      <c r="Y59" s="22">
        <f t="shared" si="17"/>
        <v>173192708.14507052</v>
      </c>
      <c r="Z59" s="22">
        <f t="shared" si="17"/>
        <v>177358586.1743865</v>
      </c>
      <c r="AA59" s="22">
        <f t="shared" si="17"/>
        <v>187648918.34868592</v>
      </c>
      <c r="AC59" s="22">
        <f t="shared" ref="AC59:AG59" si="18">SUM(AC57:AC58)</f>
        <v>103138166.99588478</v>
      </c>
      <c r="AD59" s="22">
        <f t="shared" si="18"/>
        <v>254423415.31732321</v>
      </c>
      <c r="AE59" s="22">
        <f t="shared" si="18"/>
        <v>340301419.61368245</v>
      </c>
      <c r="AF59" s="22">
        <f t="shared" si="18"/>
        <v>439774561.84888297</v>
      </c>
      <c r="AG59" s="22">
        <f t="shared" si="18"/>
        <v>557239505.22200799</v>
      </c>
      <c r="AH59" s="22">
        <f>SUM(AH57:AH58)</f>
        <v>691205174.54501867</v>
      </c>
      <c r="AI59" s="13"/>
      <c r="AJ59" s="2" t="s">
        <v>98</v>
      </c>
      <c r="AO59" s="13"/>
    </row>
    <row r="60" spans="1:41" x14ac:dyDescent="0.2">
      <c r="C60" s="22"/>
    </row>
    <row r="61" spans="1:41" ht="17" x14ac:dyDescent="0.2">
      <c r="A61" s="25" t="s">
        <v>99</v>
      </c>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row>
    <row r="62" spans="1:41" ht="17" x14ac:dyDescent="0.2">
      <c r="A62" s="33" t="s">
        <v>100</v>
      </c>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row>
    <row r="63" spans="1:41" ht="17" x14ac:dyDescent="0.2">
      <c r="A63" s="19" t="s">
        <v>23</v>
      </c>
      <c r="B63" s="20">
        <v>1.7999999999999999E-2</v>
      </c>
      <c r="C63" s="20">
        <v>0.02</v>
      </c>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f t="shared" ref="AC63:AH63" si="19">AC11</f>
        <v>6.805555555555555E-2</v>
      </c>
      <c r="AD63" s="20">
        <f t="shared" si="19"/>
        <v>0.1211111111111111</v>
      </c>
      <c r="AE63" s="20">
        <f t="shared" si="19"/>
        <v>0.17416666666666664</v>
      </c>
      <c r="AF63" s="20">
        <f t="shared" si="19"/>
        <v>0.22722222222222219</v>
      </c>
      <c r="AG63" s="20">
        <f t="shared" si="19"/>
        <v>0.28027777777777774</v>
      </c>
      <c r="AH63" s="23">
        <f t="shared" si="19"/>
        <v>0.33333333333333331</v>
      </c>
      <c r="AJ63" s="55" t="s">
        <v>24</v>
      </c>
    </row>
    <row r="64" spans="1:41" ht="17" x14ac:dyDescent="0.2">
      <c r="A64" s="19" t="s">
        <v>101</v>
      </c>
      <c r="B64" s="36">
        <v>120</v>
      </c>
      <c r="C64" s="16">
        <v>120</v>
      </c>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18">
        <f>B64+(($AH$64-$B$64)/6)</f>
        <v>126.66666666666667</v>
      </c>
      <c r="AD64" s="18">
        <f>AC64+(($AH$64-$B$64)/6)</f>
        <v>133.33333333333334</v>
      </c>
      <c r="AE64" s="18">
        <f>AD64+(($AH$64-$B$64)/6)</f>
        <v>140</v>
      </c>
      <c r="AF64" s="18">
        <f>AE64+(($AH$64-$B$64)/6)</f>
        <v>146.66666666666666</v>
      </c>
      <c r="AG64" s="18">
        <f>AF64+(($AH$64-$B$64)/6)</f>
        <v>153.33333333333331</v>
      </c>
      <c r="AH64" s="75">
        <v>160</v>
      </c>
      <c r="AJ64" s="55" t="s">
        <v>102</v>
      </c>
    </row>
    <row r="65" spans="1:41" ht="17" x14ac:dyDescent="0.2">
      <c r="A65" s="19" t="s">
        <v>103</v>
      </c>
      <c r="B65" s="36">
        <f>B64*(B68/4)*4</f>
        <v>7731247.4999999991</v>
      </c>
      <c r="C65" s="36">
        <f>C64*(C68/4)*4</f>
        <v>8719129.125</v>
      </c>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36">
        <f t="shared" ref="AC65:AG65" si="20">AC64*(AC68/4)*4</f>
        <v>33424358.978736427</v>
      </c>
      <c r="AD65" s="36">
        <f t="shared" si="20"/>
        <v>67425902.188267559</v>
      </c>
      <c r="AE65" s="36">
        <f t="shared" si="20"/>
        <v>109079944.85170624</v>
      </c>
      <c r="AF65" s="36">
        <f t="shared" si="20"/>
        <v>159019095.94216529</v>
      </c>
      <c r="AG65" s="36">
        <f t="shared" si="20"/>
        <v>217875964.43275759</v>
      </c>
      <c r="AH65" s="36">
        <f>AH64*(AH68)</f>
        <v>293333333.33333331</v>
      </c>
      <c r="AI65" s="13"/>
      <c r="AJ65" s="55" t="s">
        <v>104</v>
      </c>
    </row>
    <row r="66" spans="1:41" hidden="1" outlineLevel="1" x14ac:dyDescent="0.2">
      <c r="A66" s="19"/>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1"/>
      <c r="AJ66" s="55"/>
    </row>
    <row r="67" spans="1:41" ht="17" hidden="1" outlineLevel="1" x14ac:dyDescent="0.2">
      <c r="A67" s="1" t="s">
        <v>37</v>
      </c>
      <c r="B67" s="22">
        <v>3579281.25</v>
      </c>
      <c r="C67" s="22">
        <v>3632970.46875</v>
      </c>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v>3877369.2478018627</v>
      </c>
      <c r="AD67" s="22">
        <v>4175457.2456037253</v>
      </c>
      <c r="AE67" s="22">
        <v>4473545.243405588</v>
      </c>
      <c r="AF67" s="22">
        <v>4771633.2412074506</v>
      </c>
      <c r="AG67" s="22">
        <v>5069721.2390093133</v>
      </c>
      <c r="AH67" s="22">
        <f>AH19</f>
        <v>5500000</v>
      </c>
      <c r="AJ67" s="2" t="s">
        <v>38</v>
      </c>
    </row>
    <row r="68" spans="1:41" ht="17" hidden="1" outlineLevel="1" x14ac:dyDescent="0.2">
      <c r="A68" s="1" t="s">
        <v>105</v>
      </c>
      <c r="B68" s="18">
        <f>B63*B67</f>
        <v>64427.062499999993</v>
      </c>
      <c r="C68" s="18">
        <f>C63*C67</f>
        <v>72659.409375000003</v>
      </c>
      <c r="D68" s="18"/>
      <c r="AC68" s="18">
        <f t="shared" ref="AC68:AH68" si="21">AC63*AC67</f>
        <v>263876.51825318229</v>
      </c>
      <c r="AD68" s="18">
        <f t="shared" si="21"/>
        <v>505694.26641200669</v>
      </c>
      <c r="AE68" s="18">
        <f t="shared" si="21"/>
        <v>779142.46322647308</v>
      </c>
      <c r="AF68" s="18">
        <f t="shared" si="21"/>
        <v>1084221.1086965816</v>
      </c>
      <c r="AG68" s="18">
        <f t="shared" si="21"/>
        <v>1420930.2028223323</v>
      </c>
      <c r="AH68" s="18">
        <f t="shared" si="21"/>
        <v>1833333.3333333333</v>
      </c>
      <c r="AJ68" s="2" t="s">
        <v>40</v>
      </c>
    </row>
    <row r="69" spans="1:41" collapsed="1" x14ac:dyDescent="0.2">
      <c r="C69" s="18"/>
      <c r="D69" s="18"/>
      <c r="AH69" s="18"/>
    </row>
    <row r="70" spans="1:41" ht="17" x14ac:dyDescent="0.2">
      <c r="A70" s="33" t="s">
        <v>106</v>
      </c>
    </row>
    <row r="71" spans="1:41" ht="17" x14ac:dyDescent="0.2">
      <c r="A71" s="1" t="s">
        <v>107</v>
      </c>
      <c r="B71" s="18">
        <f>C71-B72</f>
        <v>930000</v>
      </c>
      <c r="C71" s="16">
        <v>950000</v>
      </c>
      <c r="D71" s="16"/>
      <c r="E71" s="16"/>
      <c r="F71" s="16"/>
      <c r="G71" s="18"/>
      <c r="H71" s="18"/>
      <c r="I71" s="18"/>
      <c r="J71" s="18"/>
      <c r="K71" s="18"/>
      <c r="L71" s="18"/>
      <c r="M71" s="18"/>
      <c r="N71" s="18"/>
      <c r="O71" s="18"/>
      <c r="P71" s="18"/>
      <c r="Q71" s="18"/>
      <c r="R71" s="18"/>
      <c r="S71" s="18"/>
      <c r="T71" s="18"/>
      <c r="U71" s="18"/>
      <c r="V71" s="18"/>
      <c r="W71" s="18"/>
      <c r="X71" s="18"/>
      <c r="Y71" s="18"/>
      <c r="Z71" s="18"/>
      <c r="AA71" s="18"/>
      <c r="AB71" s="18"/>
      <c r="AC71" s="18">
        <f>B71+(($AH$71-$B$71)/6)</f>
        <v>1006666.6666666666</v>
      </c>
      <c r="AD71" s="18">
        <f>AC71+(($AH$71-$B$71)/6)</f>
        <v>1083333.3333333333</v>
      </c>
      <c r="AE71" s="18">
        <f>AD71+(($AH$71-$B$71)/6)</f>
        <v>1160000</v>
      </c>
      <c r="AF71" s="18">
        <f>AE71+(($AH$71-$B$71)/6)</f>
        <v>1236666.6666666667</v>
      </c>
      <c r="AG71" s="18">
        <f>AF71+(($AH$71-$B$71)/6)</f>
        <v>1313333.3333333335</v>
      </c>
      <c r="AH71" s="18">
        <f>C71+(B72*22)</f>
        <v>1390000</v>
      </c>
      <c r="AJ71" s="2" t="s">
        <v>108</v>
      </c>
    </row>
    <row r="72" spans="1:41" ht="17" x14ac:dyDescent="0.2">
      <c r="A72" s="1" t="s">
        <v>109</v>
      </c>
      <c r="B72" s="16">
        <v>20000</v>
      </c>
      <c r="AH72" s="16"/>
      <c r="AJ72" s="2" t="s">
        <v>110</v>
      </c>
    </row>
    <row r="73" spans="1:41" ht="17" x14ac:dyDescent="0.2">
      <c r="A73" s="1" t="s">
        <v>111</v>
      </c>
      <c r="B73" s="2">
        <v>120</v>
      </c>
      <c r="C73" s="2">
        <v>120</v>
      </c>
      <c r="AC73" s="18">
        <f>B73+(($AH$73-$B$73)/6)</f>
        <v>126.66666666666667</v>
      </c>
      <c r="AD73" s="18">
        <f>AC73+(($AH$73-$B$73)/6)</f>
        <v>133.33333333333334</v>
      </c>
      <c r="AE73" s="18">
        <f>AD73+(($AH$73-$B$73)/6)</f>
        <v>140</v>
      </c>
      <c r="AF73" s="18">
        <f>AE73+(($AH$73-$B$73)/6)</f>
        <v>146.66666666666666</v>
      </c>
      <c r="AG73" s="18">
        <f>AF73+(($AH$73-$B$73)/6)</f>
        <v>153.33333333333331</v>
      </c>
      <c r="AH73" s="76">
        <v>160</v>
      </c>
      <c r="AJ73" s="55" t="s">
        <v>102</v>
      </c>
    </row>
    <row r="74" spans="1:41" ht="17" x14ac:dyDescent="0.2">
      <c r="A74" s="1" t="s">
        <v>112</v>
      </c>
      <c r="B74" s="22">
        <f>B71*(B73/4)*4</f>
        <v>111600000</v>
      </c>
      <c r="C74" s="22">
        <f>C71*(C73/4)*4</f>
        <v>114000000</v>
      </c>
      <c r="AC74" s="22">
        <f t="shared" ref="AC74:AH74" si="22">AC71*(AC73/4)*4</f>
        <v>127511111.1111111</v>
      </c>
      <c r="AD74" s="22">
        <f t="shared" si="22"/>
        <v>144444444.44444445</v>
      </c>
      <c r="AE74" s="22">
        <f t="shared" si="22"/>
        <v>162400000</v>
      </c>
      <c r="AF74" s="22">
        <f t="shared" si="22"/>
        <v>181377777.77777779</v>
      </c>
      <c r="AG74" s="22">
        <f t="shared" si="22"/>
        <v>201377777.77777779</v>
      </c>
      <c r="AH74" s="22">
        <f t="shared" si="22"/>
        <v>222400000</v>
      </c>
      <c r="AI74" s="13"/>
      <c r="AJ74" s="55" t="s">
        <v>113</v>
      </c>
    </row>
    <row r="76" spans="1:41" ht="17" x14ac:dyDescent="0.2">
      <c r="A76" s="1" t="s">
        <v>114</v>
      </c>
      <c r="B76" s="22">
        <f>B65+B74</f>
        <v>119331247.5</v>
      </c>
      <c r="C76" s="22">
        <f>C65+C74</f>
        <v>122719129.125</v>
      </c>
      <c r="AC76" s="22">
        <f t="shared" ref="AC76:AH76" si="23">AC65+AC74</f>
        <v>160935470.08984753</v>
      </c>
      <c r="AD76" s="22">
        <f t="shared" si="23"/>
        <v>211870346.63271201</v>
      </c>
      <c r="AE76" s="22">
        <f t="shared" si="23"/>
        <v>271479944.85170627</v>
      </c>
      <c r="AF76" s="22">
        <f t="shared" si="23"/>
        <v>340396873.71994305</v>
      </c>
      <c r="AG76" s="22">
        <f t="shared" si="23"/>
        <v>419253742.21053541</v>
      </c>
      <c r="AH76" s="22">
        <f t="shared" si="23"/>
        <v>515733333.33333331</v>
      </c>
      <c r="AI76" s="13"/>
      <c r="AJ76" s="2" t="s">
        <v>115</v>
      </c>
      <c r="AO76" s="13"/>
    </row>
    <row r="77" spans="1:41" x14ac:dyDescent="0.2">
      <c r="C77" s="29"/>
    </row>
    <row r="78" spans="1:41" ht="17" x14ac:dyDescent="0.2">
      <c r="A78" s="25" t="s">
        <v>116</v>
      </c>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row>
    <row r="79" spans="1:41" ht="17" x14ac:dyDescent="0.2">
      <c r="A79" s="1" t="s">
        <v>117</v>
      </c>
      <c r="B79" s="22">
        <f>B81-B39-B59-B76</f>
        <v>242808378.5</v>
      </c>
      <c r="C79" s="18">
        <f>B79/4</f>
        <v>60702094.625</v>
      </c>
      <c r="AC79" s="22">
        <f>6%*AC17</f>
        <v>222475276.24999997</v>
      </c>
      <c r="AD79" s="22">
        <f>6%*AD17</f>
        <v>272003921.03529412</v>
      </c>
      <c r="AE79" s="22">
        <f>6%*AE17</f>
        <v>325802897.78823531</v>
      </c>
      <c r="AF79" s="22">
        <f>6%*AF17</f>
        <v>385763202.59999996</v>
      </c>
      <c r="AG79" s="22">
        <f>6%*AG17</f>
        <v>492169222.85590589</v>
      </c>
      <c r="AH79" s="22">
        <f>B79*((1+AI17)^6)</f>
        <v>686577783.42367053</v>
      </c>
      <c r="AI79" s="13">
        <f>(AH79/B79)^(1/6)-1</f>
        <v>0.18915284595496917</v>
      </c>
      <c r="AJ79" s="2" t="s">
        <v>118</v>
      </c>
      <c r="AO79" s="13"/>
    </row>
    <row r="80" spans="1:41" x14ac:dyDescent="0.2">
      <c r="AI80" s="13"/>
    </row>
    <row r="81" spans="1:36" ht="17" x14ac:dyDescent="0.2">
      <c r="A81" s="39" t="s">
        <v>119</v>
      </c>
      <c r="B81" s="18">
        <v>1031456000</v>
      </c>
      <c r="C81" s="22">
        <f>296235000*4</f>
        <v>1184940000</v>
      </c>
      <c r="AC81" s="22">
        <f t="shared" ref="AC81:AG81" si="24">AC79+AC76+AC59+AC39</f>
        <v>2577626446.0650992</v>
      </c>
      <c r="AD81" s="22">
        <f t="shared" si="24"/>
        <v>5008038816.8460903</v>
      </c>
      <c r="AE81" s="22">
        <f t="shared" si="24"/>
        <v>8062575065.6478071</v>
      </c>
      <c r="AF81" s="22">
        <f t="shared" si="24"/>
        <v>11822761179.498459</v>
      </c>
      <c r="AG81" s="22">
        <f t="shared" si="24"/>
        <v>16333910817.955559</v>
      </c>
      <c r="AH81" s="22">
        <f>AH79+AH76+AH59+AH39</f>
        <v>21643772513.708633</v>
      </c>
      <c r="AI81" s="13"/>
      <c r="AJ81" s="2" t="s">
        <v>120</v>
      </c>
    </row>
    <row r="82" spans="1:36" x14ac:dyDescent="0.2">
      <c r="B82" s="31"/>
      <c r="C82" s="31"/>
    </row>
    <row r="84" spans="1:36" ht="17" x14ac:dyDescent="0.2">
      <c r="A84" s="14" t="s">
        <v>121</v>
      </c>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row>
    <row r="85" spans="1:36" ht="17" x14ac:dyDescent="0.2">
      <c r="A85" s="1" t="s">
        <v>121</v>
      </c>
      <c r="B85" s="16">
        <v>84505000</v>
      </c>
      <c r="C85" s="16">
        <f>20675000*4</f>
        <v>82700000</v>
      </c>
      <c r="AC85" s="18">
        <f>AC15*2.75%</f>
        <v>101967834.94791666</v>
      </c>
      <c r="AD85" s="18">
        <f>AD15*2.75%</f>
        <v>124668463.80784315</v>
      </c>
      <c r="AE85" s="18">
        <f>AE15*2.75%</f>
        <v>149326328.1529412</v>
      </c>
      <c r="AF85" s="18">
        <f>AF15*2.75%</f>
        <v>176808134.52500001</v>
      </c>
      <c r="AG85" s="18">
        <f>AG15*2.75%</f>
        <v>206425106.88088238</v>
      </c>
      <c r="AH85" s="18">
        <f>B85*((1+AI17)^6)</f>
        <v>238950797.11270046</v>
      </c>
      <c r="AI85" s="13">
        <f>(AH85/B85)^(1/6)-1</f>
        <v>0.18915284595496917</v>
      </c>
      <c r="AJ85" s="2" t="s">
        <v>122</v>
      </c>
    </row>
    <row r="86" spans="1:36" x14ac:dyDescent="0.2">
      <c r="B86" s="31"/>
      <c r="C86" s="31"/>
    </row>
    <row r="88" spans="1:36" ht="17" x14ac:dyDescent="0.2">
      <c r="A88" s="14" t="s">
        <v>123</v>
      </c>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row>
    <row r="89" spans="1:36" ht="17" x14ac:dyDescent="0.2">
      <c r="A89" s="1" t="s">
        <v>123</v>
      </c>
      <c r="B89" s="16">
        <v>516465000</v>
      </c>
      <c r="C89" s="16">
        <f>306098000*4</f>
        <v>1224392000</v>
      </c>
      <c r="AC89" s="18">
        <f>$B$89*((1+$AI$39)^1)</f>
        <v>943865365.85558665</v>
      </c>
      <c r="AD89" s="18">
        <f>$B$89*((1+$AI$39)^2)</f>
        <v>1724960701.8127084</v>
      </c>
      <c r="AE89" s="18">
        <f>$B$89*((1+$AI$39)^3)</f>
        <v>3152451112.6658368</v>
      </c>
      <c r="AF89" s="18">
        <f>$B$89*((1+$AI$39)^4)</f>
        <v>5761260536.1412516</v>
      </c>
      <c r="AG89" s="18">
        <f>$B$89*((1+$AI$39)^5)</f>
        <v>10528988960.983446</v>
      </c>
      <c r="AH89" s="18">
        <f>$B$89*((1+$AI$39)^6)</f>
        <v>19242248783.06966</v>
      </c>
      <c r="AI89" s="13"/>
      <c r="AJ89" s="2" t="s">
        <v>124</v>
      </c>
    </row>
    <row r="90" spans="1:36" ht="17" x14ac:dyDescent="0.2">
      <c r="A90" s="1" t="s">
        <v>125</v>
      </c>
      <c r="B90" s="16">
        <v>8000000</v>
      </c>
      <c r="C90" s="18">
        <f>7000000*4</f>
        <v>28000000</v>
      </c>
      <c r="AC90" s="22">
        <f t="shared" ref="AC90:AG90" si="25">AC89*AC91</f>
        <v>15329881.391690169</v>
      </c>
      <c r="AD90" s="22">
        <f t="shared" si="25"/>
        <v>29312736.781929296</v>
      </c>
      <c r="AE90" s="22">
        <f t="shared" si="25"/>
        <v>55940114.218181215</v>
      </c>
      <c r="AF90" s="22">
        <f t="shared" si="25"/>
        <v>106563956.38365793</v>
      </c>
      <c r="AG90" s="22">
        <f t="shared" si="25"/>
        <v>202665343.58936846</v>
      </c>
      <c r="AH90" s="22">
        <f>AH89*AH91</f>
        <v>384844975.66139323</v>
      </c>
      <c r="AI90" s="13"/>
      <c r="AJ90" s="2" t="s">
        <v>126</v>
      </c>
    </row>
    <row r="91" spans="1:36" ht="17" x14ac:dyDescent="0.2">
      <c r="A91" s="1" t="s">
        <v>127</v>
      </c>
      <c r="B91" s="40">
        <f>B90/B89</f>
        <v>1.5489917032131897E-2</v>
      </c>
      <c r="C91" s="31">
        <f>C90/C89</f>
        <v>2.2868493096982013E-2</v>
      </c>
      <c r="AC91" s="31">
        <f>B91+(($AH$91-$B$91)/6)</f>
        <v>1.6241597526776581E-2</v>
      </c>
      <c r="AD91" s="31">
        <f>AC91+(($AH$91-$B$91)/6)</f>
        <v>1.6993278021421265E-2</v>
      </c>
      <c r="AE91" s="31">
        <f>AD91+(($AH$91-$B$91)/6)</f>
        <v>1.7744958516065949E-2</v>
      </c>
      <c r="AF91" s="31">
        <f>AE91+(($AH$91-$B$91)/6)</f>
        <v>1.8496639010710633E-2</v>
      </c>
      <c r="AG91" s="31">
        <f>AF91+(($AH$91-$B$91)/6)</f>
        <v>1.9248319505355316E-2</v>
      </c>
      <c r="AH91" s="77">
        <v>0.02</v>
      </c>
      <c r="AJ91" s="2" t="s">
        <v>128</v>
      </c>
    </row>
    <row r="93" spans="1:36" ht="17" x14ac:dyDescent="0.2">
      <c r="A93" s="14" t="s">
        <v>129</v>
      </c>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row>
    <row r="94" spans="1:36" ht="17" x14ac:dyDescent="0.2">
      <c r="A94" s="1" t="s">
        <v>129</v>
      </c>
      <c r="B94" s="22">
        <f>B17+B81+B85+B89</f>
        <v>4713500000</v>
      </c>
      <c r="C94" s="22">
        <f>C17+C81+C85+C89</f>
        <v>5524436000</v>
      </c>
      <c r="AC94" s="22">
        <f t="shared" ref="AC94:AH94" si="26">AC17+AC81+AC85+AC89</f>
        <v>7331380917.7019358</v>
      </c>
      <c r="AD94" s="22">
        <f t="shared" si="26"/>
        <v>11391066666.388208</v>
      </c>
      <c r="AE94" s="22">
        <f t="shared" si="26"/>
        <v>16794400802.937174</v>
      </c>
      <c r="AF94" s="22">
        <f t="shared" si="26"/>
        <v>24190216560.164711</v>
      </c>
      <c r="AG94" s="22">
        <f t="shared" si="26"/>
        <v>35272145266.751656</v>
      </c>
      <c r="AH94" s="22">
        <f t="shared" si="26"/>
        <v>49837179516.685104</v>
      </c>
      <c r="AI94" s="13"/>
      <c r="AJ94" s="2" t="s">
        <v>130</v>
      </c>
    </row>
    <row r="95" spans="1:36" ht="17" x14ac:dyDescent="0.2">
      <c r="A95" s="1" t="s">
        <v>131</v>
      </c>
      <c r="B95" s="22">
        <f>B17+B81+B85</f>
        <v>4197035000</v>
      </c>
      <c r="C95" s="22">
        <f>C17+C81+C85</f>
        <v>4300044000</v>
      </c>
      <c r="AC95" s="22">
        <f t="shared" ref="AC95:AH95" si="27">AC17+AC81+AC85</f>
        <v>6387515551.8463488</v>
      </c>
      <c r="AD95" s="22">
        <f t="shared" si="27"/>
        <v>9666105964.5755005</v>
      </c>
      <c r="AE95" s="22">
        <f t="shared" si="27"/>
        <v>13641949690.271338</v>
      </c>
      <c r="AF95" s="22">
        <f t="shared" si="27"/>
        <v>18428956024.02346</v>
      </c>
      <c r="AG95" s="22">
        <f t="shared" si="27"/>
        <v>24743156305.768208</v>
      </c>
      <c r="AH95" s="22">
        <f t="shared" si="27"/>
        <v>30594930733.615448</v>
      </c>
      <c r="AI95" s="13"/>
      <c r="AJ95" s="2" t="s">
        <v>132</v>
      </c>
    </row>
    <row r="98" spans="1:36" ht="17" customHeight="1" x14ac:dyDescent="0.2">
      <c r="A98" s="14" t="s">
        <v>133</v>
      </c>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row>
    <row r="99" spans="1:36" ht="17" x14ac:dyDescent="0.2">
      <c r="A99" s="1" t="s">
        <v>134</v>
      </c>
      <c r="B99" s="13">
        <v>0.40089999999999998</v>
      </c>
      <c r="C99" s="40">
        <v>0.38990000000000002</v>
      </c>
      <c r="AC99" s="61">
        <f>AD99</f>
        <v>0.5</v>
      </c>
      <c r="AD99" s="61">
        <f>AE99</f>
        <v>0.5</v>
      </c>
      <c r="AE99" s="61">
        <f>AF99</f>
        <v>0.5</v>
      </c>
      <c r="AF99" s="61">
        <f>AG99</f>
        <v>0.5</v>
      </c>
      <c r="AG99" s="61">
        <f>AH99</f>
        <v>0.5</v>
      </c>
      <c r="AH99" s="73">
        <v>0.5</v>
      </c>
      <c r="AJ99" s="2" t="s">
        <v>135</v>
      </c>
    </row>
    <row r="100" spans="1:36" ht="17" x14ac:dyDescent="0.2">
      <c r="A100" s="1" t="s">
        <v>136</v>
      </c>
      <c r="B100" s="18">
        <f>(B95*B99)+B90</f>
        <v>1690591331.5</v>
      </c>
      <c r="C100" s="40"/>
      <c r="AC100" s="61"/>
      <c r="AD100" s="61"/>
      <c r="AE100" s="61"/>
      <c r="AF100" s="61"/>
      <c r="AG100" s="61"/>
      <c r="AH100" s="18">
        <f>(AH95*AH99)+AH90</f>
        <v>15682310342.469118</v>
      </c>
      <c r="AJ100" s="2" t="s">
        <v>137</v>
      </c>
    </row>
    <row r="101" spans="1:36" ht="17" x14ac:dyDescent="0.2">
      <c r="A101" s="1" t="s">
        <v>138</v>
      </c>
      <c r="B101" s="17">
        <v>1.3899999999999999E-2</v>
      </c>
      <c r="AC101" s="61">
        <f>AD101</f>
        <v>0.3</v>
      </c>
      <c r="AD101" s="61">
        <f>AE101</f>
        <v>0.3</v>
      </c>
      <c r="AE101" s="61">
        <f>AF101</f>
        <v>0.3</v>
      </c>
      <c r="AF101" s="61">
        <f>AG101</f>
        <v>0.3</v>
      </c>
      <c r="AG101" s="61">
        <f>AH101</f>
        <v>0.3</v>
      </c>
      <c r="AH101" s="73">
        <v>0.3</v>
      </c>
      <c r="AJ101" s="2" t="s">
        <v>139</v>
      </c>
    </row>
    <row r="102" spans="1:36" ht="17" x14ac:dyDescent="0.2">
      <c r="A102" s="1" t="s">
        <v>140</v>
      </c>
      <c r="B102" s="18">
        <v>102160000</v>
      </c>
      <c r="C102" s="18">
        <f>-76090000*4</f>
        <v>-304360000</v>
      </c>
      <c r="AC102" s="22">
        <f>(AC95*AC101)+AC90</f>
        <v>1931584546.9455948</v>
      </c>
      <c r="AD102" s="22">
        <f t="shared" ref="AD102" si="28">(AD95*AD101)+AD90</f>
        <v>2929144526.1545796</v>
      </c>
      <c r="AE102" s="22">
        <f t="shared" ref="AE102" si="29">(AE95*AE101)+AE90</f>
        <v>4148525021.299582</v>
      </c>
      <c r="AF102" s="22">
        <f t="shared" ref="AF102" si="30">(AF95*AF101)+AF90</f>
        <v>5635250763.5906963</v>
      </c>
      <c r="AG102" s="22">
        <f t="shared" ref="AG102" si="31">(AG95*AG101)+AG90</f>
        <v>7625612235.3198309</v>
      </c>
      <c r="AH102" s="22">
        <f>(AH95*AH101)+AH90</f>
        <v>9563324195.7460289</v>
      </c>
      <c r="AJ102" s="2" t="s">
        <v>141</v>
      </c>
    </row>
    <row r="103" spans="1:36" ht="17" x14ac:dyDescent="0.2">
      <c r="A103" s="1" t="s">
        <v>142</v>
      </c>
      <c r="AC103" s="18">
        <f t="shared" ref="AC103:AF103" si="32">AD103</f>
        <v>18</v>
      </c>
      <c r="AD103" s="18">
        <f t="shared" si="32"/>
        <v>18</v>
      </c>
      <c r="AE103" s="18">
        <f t="shared" si="32"/>
        <v>18</v>
      </c>
      <c r="AF103" s="18">
        <f t="shared" si="32"/>
        <v>18</v>
      </c>
      <c r="AG103" s="18">
        <f>AH103</f>
        <v>18</v>
      </c>
      <c r="AH103" s="76">
        <v>18</v>
      </c>
      <c r="AJ103" s="2" t="s">
        <v>143</v>
      </c>
    </row>
    <row r="104" spans="1:36" ht="17" x14ac:dyDescent="0.2">
      <c r="A104" s="1" t="s">
        <v>144</v>
      </c>
      <c r="B104" s="18">
        <v>25800000000</v>
      </c>
      <c r="C104" s="18">
        <v>21310000000</v>
      </c>
      <c r="AC104" s="22">
        <f t="shared" ref="AC104:AG104" si="33">AC102*AC103</f>
        <v>34768521845.020706</v>
      </c>
      <c r="AD104" s="22">
        <f t="shared" si="33"/>
        <v>52724601470.782433</v>
      </c>
      <c r="AE104" s="22">
        <f t="shared" si="33"/>
        <v>74673450383.392471</v>
      </c>
      <c r="AF104" s="22">
        <f t="shared" si="33"/>
        <v>101434513744.63254</v>
      </c>
      <c r="AG104" s="22">
        <f t="shared" si="33"/>
        <v>137261020235.75696</v>
      </c>
      <c r="AH104" s="22">
        <f>AH102*AH103</f>
        <v>172139835523.42853</v>
      </c>
      <c r="AJ104" s="2" t="s">
        <v>145</v>
      </c>
    </row>
    <row r="105" spans="1:36" ht="18" customHeight="1" x14ac:dyDescent="0.2">
      <c r="A105" s="1" t="s">
        <v>146</v>
      </c>
      <c r="B105" s="13">
        <f>B106/B95</f>
        <v>9.6067819305771809E-2</v>
      </c>
      <c r="AC105" s="32">
        <f t="shared" ref="AC105:AG105" si="34">AD105</f>
        <v>9.6067819305771809E-2</v>
      </c>
      <c r="AD105" s="32">
        <f t="shared" si="34"/>
        <v>9.6067819305771809E-2</v>
      </c>
      <c r="AE105" s="32">
        <f t="shared" si="34"/>
        <v>9.6067819305771809E-2</v>
      </c>
      <c r="AF105" s="32">
        <f t="shared" si="34"/>
        <v>9.6067819305771809E-2</v>
      </c>
      <c r="AG105" s="32">
        <f t="shared" si="34"/>
        <v>9.6067819305771809E-2</v>
      </c>
      <c r="AH105" s="32">
        <f>B105</f>
        <v>9.6067819305771809E-2</v>
      </c>
      <c r="AJ105" s="2" t="s">
        <v>147</v>
      </c>
    </row>
    <row r="106" spans="1:36" ht="17" x14ac:dyDescent="0.2">
      <c r="A106" s="1" t="s">
        <v>148</v>
      </c>
      <c r="B106" s="18">
        <v>403200000</v>
      </c>
      <c r="C106" s="18">
        <f>484080000*4</f>
        <v>1936320000</v>
      </c>
      <c r="AC106" s="22">
        <f t="shared" ref="AC106:AH106" si="35">AC95*AC105</f>
        <v>613634689.84758234</v>
      </c>
      <c r="AD106" s="22">
        <f t="shared" si="35"/>
        <v>928601721.19528234</v>
      </c>
      <c r="AE106" s="22">
        <f t="shared" si="35"/>
        <v>1310552357.8234165</v>
      </c>
      <c r="AF106" s="22">
        <f t="shared" si="35"/>
        <v>1770429617.3099008</v>
      </c>
      <c r="AG106" s="22">
        <f t="shared" si="35"/>
        <v>2377021069.0370083</v>
      </c>
      <c r="AH106" s="22">
        <f t="shared" si="35"/>
        <v>2939188277.3895736</v>
      </c>
      <c r="AJ106" s="2" t="s">
        <v>149</v>
      </c>
    </row>
    <row r="107" spans="1:36" ht="17" x14ac:dyDescent="0.2">
      <c r="A107" s="1" t="s">
        <v>150</v>
      </c>
      <c r="B107" s="18">
        <v>1047000000</v>
      </c>
      <c r="C107" s="18">
        <v>1926000000</v>
      </c>
      <c r="AC107" s="22">
        <f>AC106+B107</f>
        <v>1660634689.8475823</v>
      </c>
      <c r="AD107" s="22">
        <f>AC107+AD106</f>
        <v>2589236411.0428648</v>
      </c>
      <c r="AE107" s="22">
        <f>AD107+AE106</f>
        <v>3899788768.8662815</v>
      </c>
      <c r="AF107" s="22">
        <f>AE107+AF106</f>
        <v>5670218386.1761818</v>
      </c>
      <c r="AG107" s="22">
        <f>AF107+AG106</f>
        <v>8047239455.2131901</v>
      </c>
      <c r="AH107" s="22">
        <f>AG107+AH106</f>
        <v>10986427732.602764</v>
      </c>
      <c r="AJ107" s="2" t="s">
        <v>151</v>
      </c>
    </row>
    <row r="108" spans="1:36" ht="17" x14ac:dyDescent="0.2">
      <c r="A108" s="1" t="s">
        <v>152</v>
      </c>
      <c r="B108" s="18">
        <v>983300000</v>
      </c>
      <c r="C108" s="18">
        <v>1761000000</v>
      </c>
      <c r="AC108" s="22">
        <f t="shared" ref="AC108:AG108" si="36">$C$108</f>
        <v>1761000000</v>
      </c>
      <c r="AD108" s="22">
        <f t="shared" si="36"/>
        <v>1761000000</v>
      </c>
      <c r="AE108" s="22">
        <f t="shared" si="36"/>
        <v>1761000000</v>
      </c>
      <c r="AF108" s="22">
        <f t="shared" si="36"/>
        <v>1761000000</v>
      </c>
      <c r="AG108" s="22">
        <f t="shared" si="36"/>
        <v>1761000000</v>
      </c>
      <c r="AH108" s="22">
        <f>B108</f>
        <v>983300000</v>
      </c>
      <c r="AJ108" s="2" t="s">
        <v>153</v>
      </c>
    </row>
    <row r="109" spans="1:36" ht="17" x14ac:dyDescent="0.2">
      <c r="A109" s="1" t="s">
        <v>154</v>
      </c>
      <c r="B109" s="16">
        <v>27080000000</v>
      </c>
      <c r="C109" s="16">
        <v>22980000000</v>
      </c>
      <c r="AC109" s="22">
        <f t="shared" ref="AC109:AH109" si="37">AC104+AC107-AC108</f>
        <v>34668156534.868286</v>
      </c>
      <c r="AD109" s="22">
        <f t="shared" si="37"/>
        <v>53552837881.825294</v>
      </c>
      <c r="AE109" s="22">
        <f t="shared" si="37"/>
        <v>76812239152.258759</v>
      </c>
      <c r="AF109" s="22">
        <f t="shared" si="37"/>
        <v>105343732130.80872</v>
      </c>
      <c r="AG109" s="22">
        <f t="shared" si="37"/>
        <v>143547259690.97015</v>
      </c>
      <c r="AH109" s="22">
        <f t="shared" si="37"/>
        <v>182142963256.03128</v>
      </c>
      <c r="AJ109" s="2" t="s">
        <v>155</v>
      </c>
    </row>
    <row r="110" spans="1:36" ht="17" x14ac:dyDescent="0.2">
      <c r="A110" s="1" t="s">
        <v>156</v>
      </c>
      <c r="B110" s="16">
        <v>432800000</v>
      </c>
      <c r="C110" s="16">
        <v>438760000</v>
      </c>
      <c r="AC110" s="18">
        <f>$B$110*((1+$AH$111)^1)</f>
        <v>441456000</v>
      </c>
      <c r="AD110" s="18">
        <f>$B$110*((1+$AH$111)^2)</f>
        <v>450285120</v>
      </c>
      <c r="AE110" s="18">
        <f>$B$110*((1+$AH$111)^3)</f>
        <v>459290822.39999998</v>
      </c>
      <c r="AF110" s="18">
        <f>$B$110*((1+$AH$111)^4)</f>
        <v>468476638.84799999</v>
      </c>
      <c r="AG110" s="18">
        <f>$B$110*((1+$AH$111)^5)</f>
        <v>477846171.62496001</v>
      </c>
      <c r="AH110" s="18">
        <f>$B$110*((1+$AH$111)^6)</f>
        <v>487403095.05745924</v>
      </c>
      <c r="AJ110" s="2" t="s">
        <v>157</v>
      </c>
    </row>
    <row r="111" spans="1:36" ht="17" x14ac:dyDescent="0.2">
      <c r="A111" s="1" t="s">
        <v>158</v>
      </c>
      <c r="C111" s="32">
        <v>0.02</v>
      </c>
      <c r="AH111" s="28">
        <v>0.02</v>
      </c>
      <c r="AJ111" s="2" t="s">
        <v>159</v>
      </c>
    </row>
    <row r="112" spans="1:36" ht="17" x14ac:dyDescent="0.2">
      <c r="A112" s="1" t="s">
        <v>160</v>
      </c>
      <c r="B112" s="30"/>
      <c r="AC112" s="30"/>
      <c r="AD112" s="30"/>
      <c r="AE112" s="30"/>
      <c r="AF112" s="30"/>
      <c r="AG112" s="30"/>
      <c r="AH112" s="30">
        <f>AH109/AH110</f>
        <v>373.70087531873122</v>
      </c>
      <c r="AJ112" s="2" t="s">
        <v>161</v>
      </c>
    </row>
    <row r="114" ht="17" customHeight="1" x14ac:dyDescent="0.2"/>
  </sheetData>
  <sheetProtection algorithmName="SHA-512" hashValue="n4487Wrp2x/At0Vtqmj3WuE6pN+0HR7m+aPO+T9pEYdbZrcH1Qj/65maoVsCzjP1JWtcK+h81uoI0r3pPZ9XMg==" saltValue="OijmTRxBAZk5roG+EIH+7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7CD5F-C23B-3A4D-85FA-FE7789CB1133}">
  <dimension ref="A1:G51"/>
  <sheetViews>
    <sheetView showGridLines="0" workbookViewId="0">
      <selection activeCell="B10" sqref="B10"/>
    </sheetView>
  </sheetViews>
  <sheetFormatPr baseColWidth="10" defaultColWidth="10.83203125" defaultRowHeight="16" x14ac:dyDescent="0.2"/>
  <cols>
    <col min="1" max="1" width="56.33203125" style="41" customWidth="1"/>
    <col min="2" max="2" width="32.1640625" style="41" customWidth="1"/>
    <col min="3" max="3" width="51.33203125" style="41" customWidth="1"/>
    <col min="4" max="4" width="10.83203125" style="41"/>
    <col min="5" max="5" width="99" style="41" customWidth="1"/>
    <col min="6" max="16384" width="10.83203125" style="41"/>
  </cols>
  <sheetData>
    <row r="1" spans="1:5" s="88" customFormat="1" x14ac:dyDescent="0.2">
      <c r="A1" s="88" t="s">
        <v>162</v>
      </c>
    </row>
    <row r="2" spans="1:5" x14ac:dyDescent="0.2">
      <c r="C2" s="43" t="s">
        <v>14</v>
      </c>
      <c r="D2" s="43" t="s">
        <v>163</v>
      </c>
    </row>
    <row r="3" spans="1:5" x14ac:dyDescent="0.2">
      <c r="A3" s="49" t="s">
        <v>164</v>
      </c>
      <c r="B3" s="78">
        <v>0.75</v>
      </c>
      <c r="C3" s="49" t="s">
        <v>165</v>
      </c>
      <c r="D3" s="49"/>
      <c r="E3" s="49"/>
    </row>
    <row r="4" spans="1:5" x14ac:dyDescent="0.2">
      <c r="A4" s="49" t="s">
        <v>166</v>
      </c>
      <c r="B4" s="78">
        <v>0.2</v>
      </c>
      <c r="C4" s="49" t="s">
        <v>167</v>
      </c>
      <c r="D4" s="49"/>
      <c r="E4" s="49"/>
    </row>
    <row r="5" spans="1:5" x14ac:dyDescent="0.2">
      <c r="A5" s="49" t="s">
        <v>168</v>
      </c>
      <c r="B5" s="78">
        <v>0.01</v>
      </c>
      <c r="C5" s="49" t="s">
        <v>169</v>
      </c>
      <c r="D5" s="49"/>
      <c r="E5" s="49"/>
    </row>
    <row r="7" spans="1:5" x14ac:dyDescent="0.2">
      <c r="C7" s="43"/>
      <c r="D7" s="43"/>
    </row>
    <row r="8" spans="1:5" x14ac:dyDescent="0.2">
      <c r="A8" s="46" t="s">
        <v>170</v>
      </c>
      <c r="B8" s="47"/>
      <c r="C8" s="48"/>
      <c r="D8" s="54"/>
      <c r="E8" s="49"/>
    </row>
    <row r="9" spans="1:5" x14ac:dyDescent="0.2">
      <c r="A9" s="49" t="s">
        <v>171</v>
      </c>
      <c r="B9" s="47">
        <v>55883000000</v>
      </c>
      <c r="C9" s="49" t="s">
        <v>172</v>
      </c>
      <c r="D9" s="48" t="s">
        <v>173</v>
      </c>
      <c r="E9" s="49"/>
    </row>
    <row r="10" spans="1:5" x14ac:dyDescent="0.2">
      <c r="A10" s="49" t="s">
        <v>174</v>
      </c>
      <c r="B10" s="50">
        <f>3859000000+2499000000</f>
        <v>6358000000</v>
      </c>
      <c r="C10" s="49" t="s">
        <v>175</v>
      </c>
      <c r="D10" s="48" t="s">
        <v>173</v>
      </c>
      <c r="E10" s="49"/>
    </row>
    <row r="11" spans="1:5" x14ac:dyDescent="0.2">
      <c r="A11" s="49" t="s">
        <v>176</v>
      </c>
      <c r="B11" s="51">
        <f>B9-(B3*B10)</f>
        <v>51114500000</v>
      </c>
      <c r="C11" s="49" t="s">
        <v>177</v>
      </c>
      <c r="D11" s="49"/>
      <c r="E11" s="49"/>
    </row>
    <row r="12" spans="1:5" x14ac:dyDescent="0.2">
      <c r="A12" s="49" t="s">
        <v>178</v>
      </c>
      <c r="B12" s="50">
        <f>B11*(1-B4)</f>
        <v>40891600000</v>
      </c>
      <c r="C12" s="49" t="s">
        <v>179</v>
      </c>
      <c r="D12" s="49"/>
      <c r="E12" s="49"/>
    </row>
    <row r="13" spans="1:5" x14ac:dyDescent="0.2">
      <c r="A13" s="49" t="s">
        <v>180</v>
      </c>
      <c r="B13" s="50">
        <f>52421000*(1-B5)</f>
        <v>51896790</v>
      </c>
      <c r="C13" s="49" t="s">
        <v>181</v>
      </c>
      <c r="D13" s="48" t="s">
        <v>173</v>
      </c>
      <c r="E13" s="49"/>
    </row>
    <row r="14" spans="1:5" x14ac:dyDescent="0.2">
      <c r="A14" s="49" t="s">
        <v>182</v>
      </c>
      <c r="B14" s="52">
        <f>B12/B13</f>
        <v>787.94083410553912</v>
      </c>
      <c r="C14" s="49" t="s">
        <v>183</v>
      </c>
      <c r="D14" s="49"/>
      <c r="E14" s="49"/>
    </row>
    <row r="15" spans="1:5" x14ac:dyDescent="0.2">
      <c r="A15" s="49"/>
      <c r="B15" s="47"/>
      <c r="C15" s="47"/>
      <c r="D15" s="49"/>
      <c r="E15" s="49"/>
    </row>
    <row r="16" spans="1:5" x14ac:dyDescent="0.2">
      <c r="A16" s="46" t="s">
        <v>184</v>
      </c>
      <c r="B16" s="47"/>
      <c r="C16" s="48"/>
      <c r="D16" s="48"/>
      <c r="E16" s="49"/>
    </row>
    <row r="17" spans="1:5" x14ac:dyDescent="0.2">
      <c r="A17" s="49" t="s">
        <v>171</v>
      </c>
      <c r="B17" s="47">
        <v>45316000000</v>
      </c>
      <c r="C17" s="49" t="s">
        <v>185</v>
      </c>
      <c r="D17" s="48" t="s">
        <v>186</v>
      </c>
      <c r="E17" s="49"/>
    </row>
    <row r="18" spans="1:5" x14ac:dyDescent="0.2">
      <c r="A18" s="49" t="s">
        <v>174</v>
      </c>
      <c r="B18" s="50">
        <v>5559000000</v>
      </c>
      <c r="C18" s="49" t="s">
        <v>187</v>
      </c>
      <c r="D18" s="49"/>
      <c r="E18" s="49"/>
    </row>
    <row r="19" spans="1:5" x14ac:dyDescent="0.2">
      <c r="A19" s="49" t="s">
        <v>176</v>
      </c>
      <c r="B19" s="51">
        <f>B17-(B3*B18)</f>
        <v>41146750000</v>
      </c>
      <c r="C19" s="49" t="s">
        <v>177</v>
      </c>
      <c r="D19" s="49"/>
      <c r="E19" s="49"/>
    </row>
    <row r="20" spans="1:5" x14ac:dyDescent="0.2">
      <c r="A20" s="49" t="s">
        <v>178</v>
      </c>
      <c r="B20" s="50">
        <f>B19*(1-B4)</f>
        <v>32917400000</v>
      </c>
      <c r="C20" s="49" t="s">
        <v>179</v>
      </c>
      <c r="D20" s="49"/>
      <c r="E20" s="49"/>
    </row>
    <row r="21" spans="1:5" x14ac:dyDescent="0.2">
      <c r="A21" s="49" t="s">
        <v>180</v>
      </c>
      <c r="B21" s="50">
        <f>30300000*(1-B5)</f>
        <v>29997000</v>
      </c>
      <c r="C21" s="49" t="s">
        <v>181</v>
      </c>
      <c r="D21" s="53" t="s">
        <v>188</v>
      </c>
      <c r="E21" s="49"/>
    </row>
    <row r="22" spans="1:5" x14ac:dyDescent="0.2">
      <c r="A22" s="49" t="s">
        <v>182</v>
      </c>
      <c r="B22" s="52">
        <f>B20/B21</f>
        <v>1097.3564023068973</v>
      </c>
      <c r="C22" s="49" t="s">
        <v>189</v>
      </c>
      <c r="D22" s="49"/>
      <c r="E22" s="49"/>
    </row>
    <row r="23" spans="1:5" x14ac:dyDescent="0.2">
      <c r="A23" s="49"/>
      <c r="B23" s="49"/>
      <c r="C23" s="49"/>
      <c r="D23" s="49"/>
      <c r="E23" s="49"/>
    </row>
    <row r="24" spans="1:5" x14ac:dyDescent="0.2">
      <c r="A24" s="46" t="s">
        <v>190</v>
      </c>
      <c r="B24" s="47"/>
      <c r="C24" s="47"/>
      <c r="D24" s="49"/>
      <c r="E24" s="49"/>
    </row>
    <row r="25" spans="1:5" x14ac:dyDescent="0.2">
      <c r="A25" s="49" t="s">
        <v>171</v>
      </c>
      <c r="B25" s="47">
        <v>38587000000</v>
      </c>
      <c r="C25" s="49" t="s">
        <v>191</v>
      </c>
      <c r="D25" s="48" t="s">
        <v>192</v>
      </c>
      <c r="E25" s="49"/>
    </row>
    <row r="26" spans="1:5" x14ac:dyDescent="0.2">
      <c r="A26" s="49" t="s">
        <v>174</v>
      </c>
      <c r="B26" s="50">
        <v>4217000000</v>
      </c>
      <c r="C26" s="49" t="s">
        <v>193</v>
      </c>
      <c r="D26" s="49"/>
      <c r="E26" s="49"/>
    </row>
    <row r="27" spans="1:5" x14ac:dyDescent="0.2">
      <c r="A27" s="49" t="s">
        <v>176</v>
      </c>
      <c r="B27" s="51">
        <f>B25-(B3*B26)</f>
        <v>35424250000</v>
      </c>
      <c r="C27" s="49" t="s">
        <v>177</v>
      </c>
      <c r="D27" s="49"/>
      <c r="E27" s="49"/>
    </row>
    <row r="28" spans="1:5" x14ac:dyDescent="0.2">
      <c r="A28" s="49" t="s">
        <v>178</v>
      </c>
      <c r="B28" s="50">
        <f>B27*(1-B4)</f>
        <v>28339400000</v>
      </c>
      <c r="C28" s="49" t="s">
        <v>179</v>
      </c>
      <c r="D28" s="49"/>
      <c r="E28" s="49"/>
    </row>
    <row r="29" spans="1:5" x14ac:dyDescent="0.2">
      <c r="A29" s="49" t="s">
        <v>180</v>
      </c>
      <c r="B29" s="51">
        <f>38266000*(1-B5)</f>
        <v>37883340</v>
      </c>
      <c r="C29" s="49" t="s">
        <v>181</v>
      </c>
      <c r="D29" s="48" t="s">
        <v>192</v>
      </c>
      <c r="E29" s="49"/>
    </row>
    <row r="30" spans="1:5" x14ac:dyDescent="0.2">
      <c r="A30" s="49" t="s">
        <v>182</v>
      </c>
      <c r="B30" s="52">
        <f>B28/B29</f>
        <v>748.07025990844522</v>
      </c>
      <c r="C30" s="68" t="s">
        <v>183</v>
      </c>
      <c r="D30" s="49"/>
      <c r="E30" s="49"/>
    </row>
    <row r="31" spans="1:5" x14ac:dyDescent="0.2">
      <c r="B31" s="44"/>
    </row>
    <row r="32" spans="1:5" x14ac:dyDescent="0.2">
      <c r="A32" s="46" t="s">
        <v>194</v>
      </c>
      <c r="B32" s="58">
        <f>AVERAGE(B14,B22,B30)</f>
        <v>877.7891654402938</v>
      </c>
      <c r="C32" s="49" t="s">
        <v>195</v>
      </c>
      <c r="D32" s="49"/>
      <c r="E32" s="49"/>
    </row>
    <row r="33" spans="1:7" x14ac:dyDescent="0.2">
      <c r="B33" s="42"/>
    </row>
    <row r="34" spans="1:7" x14ac:dyDescent="0.2">
      <c r="B34" s="42"/>
    </row>
    <row r="36" spans="1:7" x14ac:dyDescent="0.2">
      <c r="A36" s="46" t="s">
        <v>170</v>
      </c>
      <c r="B36" s="49"/>
      <c r="C36" s="49"/>
      <c r="D36" s="49"/>
      <c r="E36" s="49"/>
    </row>
    <row r="37" spans="1:7" ht="17" x14ac:dyDescent="0.2">
      <c r="A37" s="64" t="s">
        <v>129</v>
      </c>
      <c r="B37" s="65">
        <v>115627000000</v>
      </c>
      <c r="C37" s="49" t="s">
        <v>196</v>
      </c>
      <c r="D37" s="48" t="s">
        <v>173</v>
      </c>
      <c r="E37" s="49"/>
    </row>
    <row r="38" spans="1:7" x14ac:dyDescent="0.2">
      <c r="A38" s="49" t="s">
        <v>197</v>
      </c>
      <c r="B38" s="50">
        <v>44545000000</v>
      </c>
      <c r="C38" s="49" t="s">
        <v>198</v>
      </c>
      <c r="D38" s="48" t="s">
        <v>173</v>
      </c>
      <c r="E38" s="49"/>
    </row>
    <row r="39" spans="1:7" x14ac:dyDescent="0.2">
      <c r="A39" s="49" t="s">
        <v>199</v>
      </c>
      <c r="B39" s="66">
        <f>B38/B37</f>
        <v>0.38524739031541078</v>
      </c>
      <c r="C39" s="49" t="s">
        <v>200</v>
      </c>
      <c r="D39" s="49"/>
      <c r="E39" s="49"/>
    </row>
    <row r="40" spans="1:7" x14ac:dyDescent="0.2">
      <c r="A40" s="49"/>
      <c r="B40" s="49"/>
      <c r="C40" s="49"/>
      <c r="D40" s="49"/>
      <c r="E40" s="49"/>
    </row>
    <row r="41" spans="1:7" x14ac:dyDescent="0.2">
      <c r="A41" s="46" t="s">
        <v>184</v>
      </c>
      <c r="B41" s="49"/>
      <c r="C41" s="49"/>
      <c r="D41" s="49"/>
      <c r="E41" s="49"/>
    </row>
    <row r="42" spans="1:7" ht="17" x14ac:dyDescent="0.2">
      <c r="A42" s="64" t="s">
        <v>129</v>
      </c>
      <c r="B42" s="65">
        <f>47231000000+37832000000</f>
        <v>85063000000</v>
      </c>
      <c r="C42" s="49" t="s">
        <v>196</v>
      </c>
      <c r="D42" s="48" t="s">
        <v>186</v>
      </c>
      <c r="E42" s="49"/>
    </row>
    <row r="43" spans="1:7" x14ac:dyDescent="0.2">
      <c r="A43" s="49" t="s">
        <v>197</v>
      </c>
      <c r="B43" s="50">
        <v>24198000000</v>
      </c>
      <c r="C43" s="49" t="s">
        <v>198</v>
      </c>
      <c r="D43" s="48" t="s">
        <v>186</v>
      </c>
      <c r="E43" s="49"/>
    </row>
    <row r="44" spans="1:7" x14ac:dyDescent="0.2">
      <c r="A44" s="49" t="s">
        <v>199</v>
      </c>
      <c r="B44" s="66">
        <f>B43/B42</f>
        <v>0.28447150935189214</v>
      </c>
      <c r="C44" s="49" t="s">
        <v>200</v>
      </c>
      <c r="D44" s="67"/>
      <c r="E44" s="49"/>
    </row>
    <row r="45" spans="1:7" x14ac:dyDescent="0.2">
      <c r="A45" s="49"/>
      <c r="B45" s="49"/>
      <c r="C45" s="49"/>
      <c r="D45" s="49"/>
      <c r="E45" s="49"/>
    </row>
    <row r="46" spans="1:7" x14ac:dyDescent="0.2">
      <c r="A46" s="46" t="s">
        <v>190</v>
      </c>
      <c r="B46" s="49"/>
      <c r="C46" s="49"/>
      <c r="D46" s="49"/>
      <c r="E46" s="49"/>
    </row>
    <row r="47" spans="1:7" ht="17" x14ac:dyDescent="0.2">
      <c r="A47" s="64" t="s">
        <v>129</v>
      </c>
      <c r="B47" s="65">
        <v>91244000000</v>
      </c>
      <c r="C47" s="49" t="s">
        <v>196</v>
      </c>
      <c r="D47" s="48" t="s">
        <v>192</v>
      </c>
      <c r="E47" s="49"/>
    </row>
    <row r="48" spans="1:7" x14ac:dyDescent="0.2">
      <c r="A48" s="49" t="s">
        <v>197</v>
      </c>
      <c r="B48" s="50">
        <v>32754000000</v>
      </c>
      <c r="C48" s="49" t="s">
        <v>198</v>
      </c>
      <c r="D48" s="48" t="s">
        <v>192</v>
      </c>
      <c r="E48" s="49"/>
      <c r="G48" s="63"/>
    </row>
    <row r="49" spans="1:7" x14ac:dyDescent="0.2">
      <c r="A49" s="49" t="s">
        <v>199</v>
      </c>
      <c r="B49" s="66">
        <f>B48/B47</f>
        <v>0.3589715488141686</v>
      </c>
      <c r="C49" s="49" t="s">
        <v>200</v>
      </c>
      <c r="D49" s="49"/>
      <c r="E49" s="49"/>
      <c r="G49" s="63"/>
    </row>
    <row r="50" spans="1:7" x14ac:dyDescent="0.2">
      <c r="G50" s="63"/>
    </row>
    <row r="51" spans="1:7" x14ac:dyDescent="0.2">
      <c r="A51" s="46" t="s">
        <v>201</v>
      </c>
      <c r="B51" s="69">
        <f>AVERAGE(B39,B44,B49)</f>
        <v>0.34289681616049056</v>
      </c>
      <c r="C51" s="46"/>
      <c r="D51" s="46"/>
      <c r="E51" s="46"/>
      <c r="G51" s="63"/>
    </row>
  </sheetData>
  <sheetProtection algorithmName="SHA-512" hashValue="93+ahbM0i0Qt4Jj+MHs9G92LoQNTtEGH/Ft6PWF76cxiMLquX9RqLJvQCHVvw8gsx96BkRNLf5hFCtnwT1HOaA==" saltValue="anTf92kiBk5cJvaJPsBF5g==" spinCount="100000" sheet="1" objects="1" scenarios="1"/>
  <hyperlinks>
    <hyperlink ref="D9" r:id="rId1" xr:uid="{34C2DDF6-F146-A943-8213-1C2DA9279922}"/>
    <hyperlink ref="D10" r:id="rId2" xr:uid="{3699DA91-7606-A547-A3B7-122A873887AB}"/>
    <hyperlink ref="D13" r:id="rId3" xr:uid="{60EA702E-1E14-C54D-9203-6C436D14F863}"/>
    <hyperlink ref="D21" r:id="rId4" xr:uid="{F4894DBB-2E2F-EC45-A1C2-3817D86F548B}"/>
    <hyperlink ref="D25" r:id="rId5" xr:uid="{6D13A2BA-2147-5342-8078-70160E9133F9}"/>
    <hyperlink ref="D17" r:id="rId6" xr:uid="{52AF54A3-718C-7E43-800D-9F4FCB42CE23}"/>
    <hyperlink ref="D29" r:id="rId7" xr:uid="{B9C84CD4-9B6E-3843-9C1F-D7AC42E90A99}"/>
    <hyperlink ref="D48" r:id="rId8" xr:uid="{774C2772-B786-7347-84BA-1FE4ED7E03DB}"/>
    <hyperlink ref="D38" r:id="rId9" xr:uid="{2BFAE897-4771-7145-BE54-421DBA5A2E18}"/>
    <hyperlink ref="D42:D43" r:id="rId10" display="https://www08.wellsfargomedia.com/assets/pdf/about/investor-relations/annual-reports/2019-annual-report.pdf" xr:uid="{4DD8F3DB-50B2-0945-9C4E-C8EAA6E93D17}"/>
    <hyperlink ref="D37" r:id="rId11" xr:uid="{C62509EA-1683-9F41-B2DC-28E441A207E5}"/>
    <hyperlink ref="D47" r:id="rId12" xr:uid="{CC6F433E-D7DB-764D-B1BE-887ABD0C0C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ARK Disclosure</vt:lpstr>
      <vt:lpstr>Instructive Note</vt:lpstr>
      <vt:lpstr>Square Valuation Extract</vt:lpstr>
      <vt:lpstr>Bank 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Friedrich</dc:creator>
  <cp:keywords/>
  <dc:description/>
  <cp:lastModifiedBy>Max Friedrich</cp:lastModifiedBy>
  <cp:revision/>
  <dcterms:created xsi:type="dcterms:W3CDTF">2020-06-16T08:22:33Z</dcterms:created>
  <dcterms:modified xsi:type="dcterms:W3CDTF">2020-09-25T18:06:14Z</dcterms:modified>
  <cp:category/>
  <cp:contentStatus/>
</cp:coreProperties>
</file>