
<file path=[Content_Types].xml><?xml version="1.0" encoding="utf-8"?>
<Types xmlns="http://schemas.openxmlformats.org/package/2006/content-types">
  <Default Extension="img"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showInkAnnotation="0" hidePivotFieldList="1" autoCompressPictures="0"/>
  <mc:AlternateContent xmlns:mc="http://schemas.openxmlformats.org/markup-compatibility/2006">
    <mc:Choice Requires="x15">
      <x15ac:absPath xmlns:x15ac="http://schemas.microsoft.com/office/spreadsheetml/2010/11/ac" url="/Users/anastasiakeeney/Desktop/"/>
    </mc:Choice>
  </mc:AlternateContent>
  <xr:revisionPtr revIDLastSave="0" documentId="8_{E0CC5E3D-E2A9-E548-A3A9-8A5ED4D9B23D}" xr6:coauthVersionLast="43" xr6:coauthVersionMax="43" xr10:uidLastSave="{00000000-0000-0000-0000-000000000000}"/>
  <bookViews>
    <workbookView xWindow="-100" yWindow="460" windowWidth="28800" windowHeight="16520" tabRatio="500" activeTab="1" xr2:uid="{00000000-000D-0000-FFFF-FFFF00000000}"/>
  </bookViews>
  <sheets>
    <sheet name="ARK Disclosure " sheetId="3" r:id="rId1"/>
    <sheet name="Tesla Model" sheetId="11" r:id="rId2"/>
  </sheets>
  <externalReferences>
    <externalReference r:id="rId3"/>
  </externalReferences>
  <definedNames>
    <definedName name="Penetration">OFFSET([1]S_Curve!$B$11,0,0,COUNTA([1]S_Curve!$B$11:$B$110),1)</definedName>
    <definedName name="Saturation">OFFSET([1]S_Curve!$C$11,0,0,COUNTA([1]S_Curve!$C$11:$C$110),1)</definedName>
    <definedName name="Year">OFFSET([1]S_Curve!$A$11,0,0,COUNTA([1]S_Curve!$A$11:$A$110),1)</definedName>
  </definedNames>
  <calcPr calcId="191029" calcMode="autoNoTable"/>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40" i="11" l="1"/>
  <c r="G47" i="11" l="1"/>
  <c r="G11" i="11"/>
  <c r="F11" i="11"/>
  <c r="F13" i="11" l="1"/>
  <c r="G13" i="11"/>
  <c r="G14" i="11"/>
  <c r="G16" i="11"/>
  <c r="F30" i="11"/>
  <c r="G38" i="11"/>
  <c r="G39" i="11"/>
  <c r="F47" i="11"/>
  <c r="F35" i="11" l="1"/>
  <c r="F36" i="11" s="1"/>
  <c r="G18" i="11"/>
  <c r="G21" i="11" s="1"/>
  <c r="G43" i="11" s="1"/>
  <c r="G44" i="11" s="1"/>
  <c r="G48" i="11" s="1"/>
  <c r="G49" i="11" s="1"/>
  <c r="F14" i="11"/>
  <c r="F39" i="11"/>
  <c r="F16" i="11"/>
  <c r="F38" i="11"/>
  <c r="F18" i="11" l="1"/>
  <c r="F40" i="11" s="1"/>
  <c r="F21" i="11" l="1"/>
  <c r="F43" i="11" l="1"/>
  <c r="F44" i="11" s="1"/>
  <c r="F48" i="11" s="1"/>
  <c r="F49" i="11" s="1"/>
</calcChain>
</file>

<file path=xl/sharedStrings.xml><?xml version="1.0" encoding="utf-8"?>
<sst xmlns="http://schemas.openxmlformats.org/spreadsheetml/2006/main" count="110" uniqueCount="96">
  <si>
    <t>This material is for informational purposes only and does not constitute, either explicitly or implicitly, any provision of services or products by ARK. Nothing contained herein constitutes investment, legal, tax or other advice and is not to be relied on in making an investment or other decision. Investors should determine for themselves whether a particular service or product is suitable for their investment needs or should seek such professional advice for their particular situation.</t>
  </si>
  <si>
    <t>All statements made herein are strictly beliefs and points of view held by ARK. ARK assumes no obligation to update any forward-looking information contained herein. Although ARK has taken reasonable care to ensure that the information contained herein is accurate, no representation or warranty (including liability towards third parties), expressed or implied, is made by ARK as to its accuracy, reliability or completeness.</t>
  </si>
  <si>
    <t>This work is licensed under a Creative Commons Attribution-NonCommercial 4.0 International License.</t>
  </si>
  <si>
    <r>
      <t>ARK's statements are not an endorsement of any company or a recommendation to buy, sell or hold any security. For a list of all purchases and sales made by ARK for client accounts during the past year that could be considered by the SEC as recommendations, </t>
    </r>
    <r>
      <rPr>
        <b/>
        <u/>
        <sz val="11"/>
        <rFont val="Calibri"/>
        <family val="2"/>
      </rPr>
      <t>click here</t>
    </r>
    <r>
      <rPr>
        <b/>
        <sz val="11"/>
        <rFont val="Calibri"/>
        <family val="2"/>
      </rPr>
      <t>. It should not be assumed that recommendations made in the future will be profitable or will equal the performance of the securities in this list. For full disclosures, </t>
    </r>
    <r>
      <rPr>
        <b/>
        <u/>
        <sz val="11"/>
        <rFont val="Calibri"/>
        <family val="2"/>
      </rPr>
      <t>click here</t>
    </r>
    <r>
      <rPr>
        <b/>
        <sz val="11"/>
        <rFont val="Calibri"/>
        <family val="2"/>
      </rPr>
      <t>.</t>
    </r>
  </si>
  <si>
    <t>You may not use the material for commercial purposes without  first obtaining written permission.</t>
  </si>
  <si>
    <t xml:space="preserve">2018-2019, ARK Investment Management LLC. All content is original and has been researched and produced by ARK Investment Management LLC (“ARK”) unless otherwise stated herein. </t>
  </si>
  <si>
    <t xml:space="preserve">CAGR </t>
  </si>
  <si>
    <t>Equity Raise</t>
  </si>
  <si>
    <t>Weighted average market Cap at which equity raised</t>
  </si>
  <si>
    <t>Market Cap</t>
  </si>
  <si>
    <t>Enterprise Value</t>
  </si>
  <si>
    <t>Average internet software company has multiple of 19</t>
  </si>
  <si>
    <t>EV/EBITDAR&amp;D for MaaS</t>
  </si>
  <si>
    <t>EV/EBITDAR&amp;D for Auto</t>
  </si>
  <si>
    <t>https://ycharts.com/companies/TSLA/shares_outstanding</t>
  </si>
  <si>
    <t>Total EBITDA Margin</t>
  </si>
  <si>
    <t>Assumes gross margin on autonomous business is 80%</t>
  </si>
  <si>
    <t>Total Gross Margin</t>
  </si>
  <si>
    <t>Elon Musk says the model can support without a capital raise but will get tight, so if they have some equity appreciation assume will raise risk capital.</t>
  </si>
  <si>
    <t>Total Revenue</t>
  </si>
  <si>
    <t>Tesla Consolidated</t>
  </si>
  <si>
    <t>Cumulative Cash from 2021 launch</t>
  </si>
  <si>
    <t>([gross billings] x [% ex china] x [ex china platform fee] + [gross billings] x [% china] x [china platform fee]) x [EBITDA margin] x [FCF to EBITDA]</t>
  </si>
  <si>
    <t>Cash from autonomous</t>
  </si>
  <si>
    <t>FCF/EBITDA</t>
  </si>
  <si>
    <t>Vehicle owner is responsible for operating costs of the vehicle. Implies opex of $0.15 per mile ~= Lyft opex ex insurance.</t>
  </si>
  <si>
    <t>EBITDA/net Sales</t>
  </si>
  <si>
    <t>Assumes that Chinese partners capture some of the China monetization</t>
  </si>
  <si>
    <t>Platform cut in China</t>
  </si>
  <si>
    <t>Lyft is at 27%</t>
  </si>
  <si>
    <t>Platform cut</t>
  </si>
  <si>
    <t>North America + Europe is more than 20% of ex china</t>
  </si>
  <si>
    <t>[fully autonomous fleet] x [miles per year] x [% Teslas on platform] x [price per mile]</t>
  </si>
  <si>
    <t>Gross Autonomous Billings</t>
  </si>
  <si>
    <t>Price per mile ($/mile)</t>
  </si>
  <si>
    <t>assumption. Multiple for an OEM today is 0.5. We assume the market for Evs will be more concentrated. Amazon P/S is 3.4 as of June 2017</t>
  </si>
  <si>
    <t>Would be very financially compelling to put your car on platform (or sell it to someone who is going to)</t>
  </si>
  <si>
    <t>% of Teslas on platform</t>
  </si>
  <si>
    <t>500k by 2020 is the stated goal</t>
  </si>
  <si>
    <t>This is assuming a 53% utilization rate traveling 25mph</t>
  </si>
  <si>
    <t>Miles per Taxi (not in millions)</t>
  </si>
  <si>
    <t>Assuming that China is roughly 10% of sales in 2019 and scaling to 30% of sales by 2023</t>
  </si>
  <si>
    <t>% of fleet in China</t>
  </si>
  <si>
    <t>Fully Autonomous Fleet (not in millions)</t>
  </si>
  <si>
    <t>assumption based on current share today</t>
  </si>
  <si>
    <t>Taxis</t>
  </si>
  <si>
    <t>Autonomous Mobility as a Service Business</t>
  </si>
  <si>
    <t>Long-term debt obligations after 2023</t>
  </si>
  <si>
    <t>Total long term debt</t>
  </si>
  <si>
    <t>Notes</t>
  </si>
  <si>
    <t>Assuming 5 year average Depreciation/PPE</t>
  </si>
  <si>
    <t>EBITDA R&amp;D</t>
  </si>
  <si>
    <t>Depreciation/PP&amp;E</t>
  </si>
  <si>
    <t>Gross property, plant and equipment</t>
  </si>
  <si>
    <t>[gross profit]-[SG&amp;A]-[R&amp;D]</t>
  </si>
  <si>
    <t>EBIT</t>
  </si>
  <si>
    <t>Average of past 5 years</t>
  </si>
  <si>
    <t>R&amp;D/Sales</t>
  </si>
  <si>
    <t>From Autonomous Truck Model</t>
  </si>
  <si>
    <t>[sales]*[R&amp;D to sales margin]</t>
  </si>
  <si>
    <t>R&amp;D</t>
  </si>
  <si>
    <t>risk adjusted is 2x takeover time, 3 years later</t>
  </si>
  <si>
    <t>Comparable to other premium auto companies</t>
  </si>
  <si>
    <t>SG&amp;A/Sales</t>
  </si>
  <si>
    <t>[sales]*[SG&amp;A to sales margin]</t>
  </si>
  <si>
    <t>SG&amp;A</t>
  </si>
  <si>
    <t>[sales]*[gross profit margin]</t>
  </si>
  <si>
    <t>Gross Profit</t>
  </si>
  <si>
    <t>From Autonomous Master Model</t>
  </si>
  <si>
    <t>Tesla is guiding to an auto gross margin of 25%. Long term it should be able to achieve higher margins as traditional premium auto companies have ~20% margin, and car dealerships have ~15% margins. Tesla's direct sales model and service structure should be net positive for margins.</t>
  </si>
  <si>
    <t>Gross Margin</t>
  </si>
  <si>
    <t>Assuming ASP of $48,250</t>
  </si>
  <si>
    <t>Revenue</t>
  </si>
  <si>
    <t>ARK expects 26.4 million EVs to be sold in 2023. In 2018 Tesla had 17% of the BEV market, 3 million vehicles in 2023 would shrink its market share to 11%, 1.7 million would be 6%</t>
  </si>
  <si>
    <t>Cars Sold (units, not in millions)</t>
  </si>
  <si>
    <t>Electric Vehicle Business</t>
  </si>
  <si>
    <t>From Autonomous and Electric Market Cap Analysis file</t>
  </si>
  <si>
    <t>2023 Bear</t>
  </si>
  <si>
    <t>2023 Bull</t>
  </si>
  <si>
    <t>Sources</t>
  </si>
  <si>
    <t>Excerpt from ARK's Tesla Valuation Model</t>
  </si>
  <si>
    <t>Key:</t>
  </si>
  <si>
    <t xml:space="preserve">   Blue text indicates assumptions that can be altered</t>
  </si>
  <si>
    <t xml:space="preserve">   Black text indicates cells with formulas</t>
  </si>
  <si>
    <t>ASP (not in millions)</t>
  </si>
  <si>
    <t>This is cumulative over 3 years and can be changed manually if needed using the logic from above for prior years</t>
  </si>
  <si>
    <t>GM produces ~8mm vehicles on 60bln PP&amp;E: 7.5k per vehicle. Ford 6mm vehicles on 35bln: 6k per vehicle. Bear case Tesla: 10k per vehicle, bull case 6k per vehicle</t>
  </si>
  <si>
    <t>Average auto company has multiple of 7.3</t>
  </si>
  <si>
    <t>Today's share price as of 5/22/2019</t>
  </si>
  <si>
    <t>Everything is formatted in millions unless otherwise specified and for per share amounts</t>
  </si>
  <si>
    <t>Rounded to the nearest 100,000. This is the install base of Teslas that are autonomous capable in 2023.</t>
  </si>
  <si>
    <t>Stock Price</t>
  </si>
  <si>
    <t>Shares Outstanding</t>
  </si>
  <si>
    <t>If Tesla is first to market it could price equivalent to Uber and Lyft in the first year of service at roughly $2.50/mile, and as competition increased bring down prices to $1/mile</t>
  </si>
  <si>
    <t>Shares outstanding as of 5/22/19</t>
  </si>
  <si>
    <t>~72,000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</si>
</sst>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00_-;\-* #,##0.00_-;_-* &quot;-&quot;??_-;_-@_-"/>
    <numFmt numFmtId="165" formatCode="#,##0,,;\-#,##0,,"/>
    <numFmt numFmtId="166" formatCode="_-&quot;$&quot;* #,##0.00_-;\-&quot;$&quot;* #,##0.00_-;_-&quot;$&quot;* &quot;-&quot;??_-;_-@_-"/>
    <numFmt numFmtId="167" formatCode="&quot;$&quot;#,##0.00"/>
    <numFmt numFmtId="168" formatCode="_-* #,##0_-;\-* #,##0_-;_-* &quot;-&quot;??_-;_-@_-"/>
  </numFmts>
  <fonts count="35">
    <font>
      <sz val="12"/>
      <color theme="1"/>
      <name val="Calibri"/>
      <family val="2"/>
      <charset val="134"/>
      <scheme val="minor"/>
    </font>
    <font>
      <sz val="12"/>
      <color theme="1"/>
      <name val="Calibri"/>
      <family val="2"/>
      <scheme val="minor"/>
    </font>
    <font>
      <b/>
      <sz val="11"/>
      <color rgb="FF000000"/>
      <name val="Calibri"/>
      <family val="2"/>
    </font>
    <font>
      <sz val="11"/>
      <color rgb="FF000000"/>
      <name val="Calibri"/>
      <family val="2"/>
    </font>
    <font>
      <u/>
      <sz val="12"/>
      <color theme="10"/>
      <name val="Calibri"/>
      <family val="2"/>
      <scheme val="minor"/>
    </font>
    <font>
      <u/>
      <sz val="10"/>
      <color theme="10"/>
      <name val="Calibri"/>
      <family val="2"/>
      <scheme val="minor"/>
    </font>
    <font>
      <b/>
      <sz val="11"/>
      <name val="Calibri"/>
      <family val="2"/>
    </font>
    <font>
      <b/>
      <u/>
      <sz val="11"/>
      <name val="Calibri"/>
      <family val="2"/>
    </font>
    <font>
      <u/>
      <sz val="12"/>
      <color theme="11"/>
      <name val="Calibri"/>
      <family val="2"/>
      <scheme val="minor"/>
    </font>
    <font>
      <b/>
      <sz val="10"/>
      <name val="Calibri"/>
      <family val="2"/>
      <scheme val="minor"/>
    </font>
    <font>
      <sz val="12"/>
      <color theme="1"/>
      <name val="Calibri"/>
      <family val="2"/>
      <charset val="134"/>
      <scheme val="minor"/>
    </font>
    <font>
      <sz val="12"/>
      <color indexed="8"/>
      <name val="Verdana"/>
      <family val="2"/>
    </font>
    <font>
      <sz val="12"/>
      <color theme="1" tint="0.499984740745262"/>
      <name val="Verdana"/>
      <family val="2"/>
    </font>
    <font>
      <b/>
      <sz val="14"/>
      <color indexed="8"/>
      <name val="Verdana"/>
      <family val="2"/>
    </font>
    <font>
      <sz val="10"/>
      <color indexed="8"/>
      <name val="Verdana"/>
      <family val="2"/>
    </font>
    <font>
      <sz val="10"/>
      <color theme="2" tint="-9.9978637043366805E-2"/>
      <name val="Verdana"/>
      <family val="2"/>
    </font>
    <font>
      <sz val="12"/>
      <color rgb="FF000000"/>
      <name val="Verdana"/>
      <family val="2"/>
    </font>
    <font>
      <b/>
      <sz val="12"/>
      <color theme="0"/>
      <name val="Verdana"/>
      <family val="2"/>
    </font>
    <font>
      <u/>
      <sz val="10"/>
      <color theme="2" tint="-9.9978637043366805E-2"/>
      <name val="Verdana"/>
      <family val="2"/>
    </font>
    <font>
      <b/>
      <sz val="12"/>
      <color rgb="FF000000"/>
      <name val="Calibri"/>
      <family val="2"/>
      <scheme val="minor"/>
    </font>
    <font>
      <sz val="12"/>
      <name val="Calibri"/>
      <family val="2"/>
      <scheme val="minor"/>
    </font>
    <font>
      <sz val="12"/>
      <color theme="3" tint="0.39997558519241921"/>
      <name val="Calibri"/>
      <family val="2"/>
      <scheme val="minor"/>
    </font>
    <font>
      <b/>
      <sz val="14"/>
      <color theme="0"/>
      <name val="Calibri"/>
      <family val="2"/>
    </font>
    <font>
      <sz val="12"/>
      <color indexed="8"/>
      <name val="Calibri"/>
      <family val="2"/>
    </font>
    <font>
      <sz val="12"/>
      <color theme="1" tint="0.499984740745262"/>
      <name val="Calibri"/>
      <family val="2"/>
    </font>
    <font>
      <sz val="12"/>
      <color theme="0" tint="-0.499984740745262"/>
      <name val="Calibri"/>
      <family val="2"/>
    </font>
    <font>
      <b/>
      <sz val="12"/>
      <color theme="0"/>
      <name val="Calibri"/>
      <family val="2"/>
    </font>
    <font>
      <b/>
      <u/>
      <sz val="12"/>
      <color theme="1" tint="0.499984740745262"/>
      <name val="Calibri"/>
      <family val="2"/>
    </font>
    <font>
      <b/>
      <sz val="12"/>
      <color theme="1"/>
      <name val="Calibri"/>
      <family val="2"/>
    </font>
    <font>
      <sz val="12"/>
      <color theme="0"/>
      <name val="Calibri"/>
      <family val="2"/>
    </font>
    <font>
      <sz val="12"/>
      <color theme="1"/>
      <name val="Calibri"/>
      <family val="2"/>
    </font>
    <font>
      <sz val="12"/>
      <color theme="3" tint="0.39997558519241921"/>
      <name val="Calibri"/>
      <family val="2"/>
    </font>
    <font>
      <b/>
      <sz val="12"/>
      <color indexed="8"/>
      <name val="Calibri"/>
      <family val="2"/>
    </font>
    <font>
      <sz val="12"/>
      <color theme="8"/>
      <name val="Calibri"/>
      <family val="2"/>
    </font>
    <font>
      <sz val="8"/>
      <color theme="1"/>
      <name val="TimesNewRomanPSMT"/>
    </font>
  </fonts>
  <fills count="9">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1"/>
        <bgColor indexed="64"/>
      </patternFill>
    </fill>
    <fill>
      <patternFill patternType="solid">
        <fgColor theme="1" tint="0.499984740745262"/>
        <bgColor indexed="64"/>
      </patternFill>
    </fill>
  </fills>
  <borders count="10">
    <border>
      <left/>
      <right/>
      <top/>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indexed="64"/>
      </right>
      <top/>
      <bottom style="thin">
        <color indexed="64"/>
      </bottom>
      <diagonal/>
    </border>
  </borders>
  <cellStyleXfs count="14">
    <xf numFmtId="0" fontId="0" fillId="0" borderId="0"/>
    <xf numFmtId="0" fontId="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0" fillId="0" borderId="0" applyFont="0" applyFill="0" applyBorder="0" applyAlignment="0" applyProtection="0"/>
    <xf numFmtId="0" fontId="11" fillId="0" borderId="0" applyNumberFormat="0" applyFill="0" applyBorder="0" applyProtection="0">
      <alignment vertical="top" wrapText="1"/>
    </xf>
    <xf numFmtId="9" fontId="11" fillId="0" borderId="0" applyFont="0" applyFill="0" applyBorder="0" applyAlignment="0" applyProtection="0"/>
    <xf numFmtId="164" fontId="11" fillId="0" borderId="0" applyFont="0" applyFill="0" applyBorder="0" applyAlignment="0" applyProtection="0"/>
    <xf numFmtId="166" fontId="11" fillId="0" borderId="0" applyFont="0" applyFill="0" applyBorder="0" applyAlignment="0" applyProtection="0"/>
  </cellStyleXfs>
  <cellXfs count="103">
    <xf numFmtId="0" fontId="0" fillId="0" borderId="0" xfId="0"/>
    <xf numFmtId="0" fontId="5" fillId="0" borderId="0" xfId="1" applyFont="1" applyAlignment="1">
      <alignment vertical="center"/>
    </xf>
    <xf numFmtId="0" fontId="9" fillId="0" borderId="0" xfId="1" applyFont="1" applyAlignment="1">
      <alignment vertical="center"/>
    </xf>
    <xf numFmtId="0" fontId="1" fillId="0" borderId="0" xfId="5"/>
    <xf numFmtId="0" fontId="2" fillId="0" borderId="0" xfId="5" applyFont="1" applyAlignment="1">
      <alignment vertical="center" wrapText="1"/>
    </xf>
    <xf numFmtId="0" fontId="3" fillId="0" borderId="0" xfId="5" applyFont="1" applyAlignment="1">
      <alignment vertical="center" wrapText="1"/>
    </xf>
    <xf numFmtId="0" fontId="6" fillId="0" borderId="0" xfId="5" applyFont="1" applyAlignment="1">
      <alignment vertical="center" wrapText="1"/>
    </xf>
    <xf numFmtId="0" fontId="1" fillId="0" borderId="0" xfId="5" applyAlignment="1">
      <alignment vertical="center"/>
    </xf>
    <xf numFmtId="0" fontId="11" fillId="2" borderId="0" xfId="10" applyFont="1" applyFill="1" applyAlignment="1">
      <alignment vertical="top" wrapText="1"/>
    </xf>
    <xf numFmtId="0" fontId="12" fillId="2" borderId="0" xfId="10" applyFont="1" applyFill="1" applyAlignment="1">
      <alignment vertical="top"/>
    </xf>
    <xf numFmtId="0" fontId="11" fillId="2" borderId="0" xfId="10" applyFont="1" applyFill="1" applyAlignment="1">
      <alignment vertical="top"/>
    </xf>
    <xf numFmtId="0" fontId="11" fillId="2" borderId="0" xfId="10" applyFont="1" applyFill="1" applyAlignment="1">
      <alignment vertical="center" wrapText="1"/>
    </xf>
    <xf numFmtId="0" fontId="12" fillId="2" borderId="0" xfId="10" applyFont="1" applyFill="1" applyAlignment="1">
      <alignment vertical="center"/>
    </xf>
    <xf numFmtId="0" fontId="11" fillId="2" borderId="0" xfId="10" applyFont="1" applyFill="1" applyAlignment="1">
      <alignment vertical="center"/>
    </xf>
    <xf numFmtId="0" fontId="13" fillId="2" borderId="0" xfId="10" applyFont="1" applyFill="1" applyBorder="1" applyAlignment="1">
      <alignment vertical="top"/>
    </xf>
    <xf numFmtId="164" fontId="0" fillId="2" borderId="0" xfId="12" applyFont="1" applyFill="1" applyAlignment="1">
      <alignment vertical="center" wrapText="1"/>
    </xf>
    <xf numFmtId="0" fontId="11" fillId="2" borderId="0" xfId="10" applyFont="1" applyFill="1" applyBorder="1" applyAlignment="1">
      <alignment vertical="center" wrapText="1"/>
    </xf>
    <xf numFmtId="0" fontId="14" fillId="2" borderId="0" xfId="10" applyNumberFormat="1" applyFont="1" applyFill="1" applyAlignment="1">
      <alignment vertical="center"/>
    </xf>
    <xf numFmtId="0" fontId="15" fillId="2" borderId="0" xfId="10" applyNumberFormat="1" applyFont="1" applyFill="1" applyAlignment="1">
      <alignment vertical="center"/>
    </xf>
    <xf numFmtId="168" fontId="0" fillId="2" borderId="0" xfId="12" applyNumberFormat="1" applyFont="1" applyFill="1" applyBorder="1" applyAlignment="1">
      <alignment vertical="top"/>
    </xf>
    <xf numFmtId="43" fontId="11" fillId="2" borderId="0" xfId="10" applyNumberFormat="1" applyFont="1" applyFill="1" applyAlignment="1">
      <alignment vertical="center" wrapText="1"/>
    </xf>
    <xf numFmtId="43" fontId="16" fillId="5" borderId="0" xfId="10" applyNumberFormat="1" applyFont="1" applyFill="1" applyBorder="1" applyAlignment="1">
      <alignment vertical="top"/>
    </xf>
    <xf numFmtId="0" fontId="14" fillId="2" borderId="0" xfId="10" applyNumberFormat="1" applyFont="1" applyFill="1" applyAlignment="1">
      <alignment horizontal="center" vertical="center"/>
    </xf>
    <xf numFmtId="165" fontId="11" fillId="2" borderId="0" xfId="10" applyNumberFormat="1" applyFont="1" applyFill="1" applyBorder="1" applyAlignment="1">
      <alignment vertical="center" wrapText="1"/>
    </xf>
    <xf numFmtId="0" fontId="15" fillId="2" borderId="0" xfId="10" applyNumberFormat="1" applyFont="1" applyFill="1" applyBorder="1" applyAlignment="1">
      <alignment vertical="center"/>
    </xf>
    <xf numFmtId="164" fontId="0" fillId="2" borderId="0" xfId="12" applyFont="1" applyFill="1" applyBorder="1" applyAlignment="1">
      <alignment vertical="center" wrapText="1"/>
    </xf>
    <xf numFmtId="0" fontId="18" fillId="2" borderId="0" xfId="10" applyNumberFormat="1" applyFont="1" applyFill="1" applyAlignment="1">
      <alignment vertical="center"/>
    </xf>
    <xf numFmtId="0" fontId="17" fillId="7" borderId="0" xfId="10" applyFont="1" applyFill="1" applyAlignment="1">
      <alignment vertical="center"/>
    </xf>
    <xf numFmtId="0" fontId="20" fillId="5" borderId="0" xfId="0" applyFont="1" applyFill="1" applyBorder="1" applyAlignment="1">
      <alignment horizontal="left"/>
    </xf>
    <xf numFmtId="0" fontId="19" fillId="5" borderId="7" xfId="0" applyFont="1" applyFill="1" applyBorder="1" applyAlignment="1">
      <alignment horizontal="left"/>
    </xf>
    <xf numFmtId="0" fontId="11" fillId="2" borderId="5" xfId="10" applyFont="1" applyFill="1" applyBorder="1" applyAlignment="1">
      <alignment vertical="top" wrapText="1"/>
    </xf>
    <xf numFmtId="0" fontId="11" fillId="2" borderId="3" xfId="10" applyFont="1" applyFill="1" applyBorder="1" applyAlignment="1">
      <alignment vertical="top" wrapText="1"/>
    </xf>
    <xf numFmtId="0" fontId="20" fillId="5" borderId="2" xfId="0" applyFont="1" applyFill="1" applyBorder="1" applyAlignment="1">
      <alignment horizontal="left"/>
    </xf>
    <xf numFmtId="0" fontId="11" fillId="2" borderId="9" xfId="10" applyFont="1" applyFill="1" applyBorder="1" applyAlignment="1">
      <alignment vertical="top" wrapText="1"/>
    </xf>
    <xf numFmtId="0" fontId="21" fillId="5" borderId="4" xfId="0" applyFont="1" applyFill="1" applyBorder="1" applyAlignment="1">
      <alignment horizontal="left"/>
    </xf>
    <xf numFmtId="0" fontId="22" fillId="7" borderId="0" xfId="10" applyFont="1" applyFill="1" applyAlignment="1">
      <alignment vertical="center"/>
    </xf>
    <xf numFmtId="0" fontId="23" fillId="7" borderId="0" xfId="10" applyFont="1" applyFill="1" applyAlignment="1">
      <alignment vertical="center" wrapText="1"/>
    </xf>
    <xf numFmtId="0" fontId="23" fillId="2" borderId="0" xfId="10" applyFont="1" applyFill="1" applyAlignment="1">
      <alignment vertical="center" wrapText="1"/>
    </xf>
    <xf numFmtId="0" fontId="24" fillId="2" borderId="0" xfId="10" applyFont="1" applyFill="1" applyAlignment="1">
      <alignment vertical="center"/>
    </xf>
    <xf numFmtId="0" fontId="25" fillId="2" borderId="0" xfId="10" applyFont="1" applyFill="1" applyAlignment="1">
      <alignment vertical="center"/>
    </xf>
    <xf numFmtId="0" fontId="23" fillId="2" borderId="0" xfId="10" applyFont="1" applyFill="1" applyAlignment="1">
      <alignment vertical="center"/>
    </xf>
    <xf numFmtId="0" fontId="26" fillId="8" borderId="8" xfId="10" applyFont="1" applyFill="1" applyBorder="1" applyAlignment="1">
      <alignment vertical="center"/>
    </xf>
    <xf numFmtId="0" fontId="26" fillId="8" borderId="8" xfId="10" applyFont="1" applyFill="1" applyBorder="1" applyAlignment="1">
      <alignment horizontal="right" vertical="center"/>
    </xf>
    <xf numFmtId="0" fontId="27" fillId="2" borderId="0" xfId="10" applyFont="1" applyFill="1" applyAlignment="1">
      <alignment vertical="center"/>
    </xf>
    <xf numFmtId="0" fontId="28" fillId="4" borderId="7" xfId="10" applyFont="1" applyFill="1" applyBorder="1" applyAlignment="1">
      <alignment vertical="center"/>
    </xf>
    <xf numFmtId="0" fontId="29" fillId="4" borderId="6" xfId="10" applyFont="1" applyFill="1" applyBorder="1" applyAlignment="1">
      <alignment vertical="center"/>
    </xf>
    <xf numFmtId="0" fontId="23" fillId="4" borderId="6" xfId="10" applyFont="1" applyFill="1" applyBorder="1" applyAlignment="1">
      <alignment vertical="center" wrapText="1"/>
    </xf>
    <xf numFmtId="0" fontId="29" fillId="4" borderId="5" xfId="10" applyFont="1" applyFill="1" applyBorder="1" applyAlignment="1">
      <alignment vertical="center"/>
    </xf>
    <xf numFmtId="0" fontId="30" fillId="2" borderId="4" xfId="10" applyFont="1" applyFill="1" applyBorder="1" applyAlignment="1">
      <alignment vertical="center"/>
    </xf>
    <xf numFmtId="0" fontId="23" fillId="2" borderId="4" xfId="10" applyFont="1" applyFill="1" applyBorder="1" applyAlignment="1">
      <alignment vertical="center"/>
    </xf>
    <xf numFmtId="165" fontId="30" fillId="2" borderId="0" xfId="12" applyNumberFormat="1" applyFont="1" applyFill="1" applyBorder="1" applyAlignment="1">
      <alignment vertical="center"/>
    </xf>
    <xf numFmtId="165" fontId="30" fillId="2" borderId="3" xfId="12" applyNumberFormat="1" applyFont="1" applyFill="1" applyBorder="1" applyAlignment="1">
      <alignment vertical="center"/>
    </xf>
    <xf numFmtId="9" fontId="30" fillId="2" borderId="0" xfId="11" applyFont="1" applyFill="1" applyBorder="1" applyAlignment="1">
      <alignment vertical="center"/>
    </xf>
    <xf numFmtId="9" fontId="31" fillId="2" borderId="0" xfId="11" applyFont="1" applyFill="1" applyBorder="1" applyAlignment="1">
      <alignment vertical="center"/>
    </xf>
    <xf numFmtId="9" fontId="31" fillId="2" borderId="3" xfId="11" applyFont="1" applyFill="1" applyBorder="1" applyAlignment="1">
      <alignment vertical="center"/>
    </xf>
    <xf numFmtId="0" fontId="23" fillId="2" borderId="4" xfId="10" applyFont="1" applyFill="1" applyBorder="1" applyAlignment="1"/>
    <xf numFmtId="165" fontId="31" fillId="0" borderId="0" xfId="12" applyNumberFormat="1" applyFont="1" applyFill="1" applyBorder="1" applyAlignment="1">
      <alignment vertical="center"/>
    </xf>
    <xf numFmtId="165" fontId="31" fillId="0" borderId="3" xfId="12" applyNumberFormat="1" applyFont="1" applyFill="1" applyBorder="1" applyAlignment="1">
      <alignment vertical="center"/>
    </xf>
    <xf numFmtId="0" fontId="24" fillId="0" borderId="0" xfId="10" applyFont="1" applyFill="1" applyAlignment="1">
      <alignment vertical="center"/>
    </xf>
    <xf numFmtId="165" fontId="31" fillId="2" borderId="0" xfId="12" applyNumberFormat="1" applyFont="1" applyFill="1" applyBorder="1" applyAlignment="1">
      <alignment vertical="center"/>
    </xf>
    <xf numFmtId="165" fontId="31" fillId="2" borderId="3" xfId="12" applyNumberFormat="1" applyFont="1" applyFill="1" applyBorder="1" applyAlignment="1">
      <alignment vertical="center"/>
    </xf>
    <xf numFmtId="0" fontId="32" fillId="4" borderId="4" xfId="10" applyFont="1" applyFill="1" applyBorder="1" applyAlignment="1">
      <alignment vertical="center"/>
    </xf>
    <xf numFmtId="168" fontId="23" fillId="4" borderId="0" xfId="10" applyNumberFormat="1" applyFont="1" applyFill="1" applyBorder="1" applyAlignment="1">
      <alignment vertical="center"/>
    </xf>
    <xf numFmtId="165" fontId="32" fillId="4" borderId="0" xfId="12" applyNumberFormat="1" applyFont="1" applyFill="1" applyBorder="1" applyAlignment="1">
      <alignment horizontal="right" vertical="center"/>
    </xf>
    <xf numFmtId="0" fontId="32" fillId="4" borderId="3" xfId="10" applyFont="1" applyFill="1" applyBorder="1" applyAlignment="1">
      <alignment horizontal="right" vertical="center" wrapText="1"/>
    </xf>
    <xf numFmtId="0" fontId="32" fillId="6" borderId="4" xfId="10" applyFont="1" applyFill="1" applyBorder="1" applyAlignment="1">
      <alignment vertical="center"/>
    </xf>
    <xf numFmtId="168" fontId="23" fillId="6" borderId="0" xfId="10" applyNumberFormat="1" applyFont="1" applyFill="1" applyBorder="1" applyAlignment="1">
      <alignment vertical="center"/>
    </xf>
    <xf numFmtId="165" fontId="30" fillId="6" borderId="0" xfId="12" applyNumberFormat="1" applyFont="1" applyFill="1" applyBorder="1" applyAlignment="1">
      <alignment vertical="center"/>
    </xf>
    <xf numFmtId="0" fontId="23" fillId="6" borderId="3" xfId="10" applyFont="1" applyFill="1" applyBorder="1" applyAlignment="1">
      <alignment vertical="center" wrapText="1"/>
    </xf>
    <xf numFmtId="168" fontId="30" fillId="2" borderId="0" xfId="12" applyNumberFormat="1" applyFont="1" applyFill="1" applyBorder="1" applyAlignment="1">
      <alignment vertical="center"/>
    </xf>
    <xf numFmtId="3" fontId="31" fillId="2" borderId="0" xfId="12" applyNumberFormat="1" applyFont="1" applyFill="1" applyBorder="1" applyAlignment="1">
      <alignment vertical="center"/>
    </xf>
    <xf numFmtId="3" fontId="31" fillId="2" borderId="0" xfId="10" applyNumberFormat="1" applyFont="1" applyFill="1" applyBorder="1" applyAlignment="1">
      <alignment vertical="center"/>
    </xf>
    <xf numFmtId="0" fontId="23" fillId="2" borderId="0" xfId="10" applyFont="1" applyFill="1" applyBorder="1" applyAlignment="1">
      <alignment vertical="center"/>
    </xf>
    <xf numFmtId="167" fontId="31" fillId="2" borderId="0" xfId="13" applyNumberFormat="1" applyFont="1" applyFill="1" applyBorder="1" applyAlignment="1">
      <alignment vertical="center"/>
    </xf>
    <xf numFmtId="9" fontId="31" fillId="5" borderId="0" xfId="10" applyNumberFormat="1" applyFont="1" applyFill="1" applyBorder="1" applyAlignment="1">
      <alignment vertical="center"/>
    </xf>
    <xf numFmtId="0" fontId="23" fillId="4" borderId="0" xfId="10" applyFont="1" applyFill="1" applyBorder="1" applyAlignment="1">
      <alignment vertical="center"/>
    </xf>
    <xf numFmtId="0" fontId="23" fillId="4" borderId="3" xfId="10" applyFont="1" applyFill="1" applyBorder="1" applyAlignment="1">
      <alignment vertical="center" wrapText="1"/>
    </xf>
    <xf numFmtId="0" fontId="23" fillId="2" borderId="4" xfId="10" applyFont="1" applyFill="1" applyBorder="1" applyAlignment="1">
      <alignment vertical="center" wrapText="1"/>
    </xf>
    <xf numFmtId="0" fontId="23" fillId="2" borderId="0" xfId="10" applyFont="1" applyFill="1" applyBorder="1" applyAlignment="1">
      <alignment vertical="center" wrapText="1"/>
    </xf>
    <xf numFmtId="9" fontId="30" fillId="2" borderId="3" xfId="11" applyFont="1" applyFill="1" applyBorder="1" applyAlignment="1">
      <alignment vertical="center"/>
    </xf>
    <xf numFmtId="9" fontId="30" fillId="2" borderId="3" xfId="11" applyFont="1" applyFill="1" applyBorder="1" applyAlignment="1">
      <alignment vertical="center" wrapText="1"/>
    </xf>
    <xf numFmtId="0" fontId="31" fillId="2" borderId="0" xfId="10" applyFont="1" applyFill="1" applyBorder="1" applyAlignment="1">
      <alignment vertical="center"/>
    </xf>
    <xf numFmtId="0" fontId="31" fillId="2" borderId="3" xfId="10" applyFont="1" applyFill="1" applyBorder="1" applyAlignment="1">
      <alignment vertical="center" wrapText="1"/>
    </xf>
    <xf numFmtId="0" fontId="31" fillId="0" borderId="3" xfId="10" applyFont="1" applyFill="1" applyBorder="1" applyAlignment="1">
      <alignment vertical="center" wrapText="1"/>
    </xf>
    <xf numFmtId="165" fontId="30" fillId="0" borderId="0" xfId="12" applyNumberFormat="1" applyFont="1" applyFill="1" applyBorder="1" applyAlignment="1">
      <alignment vertical="center"/>
    </xf>
    <xf numFmtId="165" fontId="31" fillId="2" borderId="3" xfId="10" applyNumberFormat="1" applyFont="1" applyFill="1" applyBorder="1" applyAlignment="1">
      <alignment vertical="center" wrapText="1"/>
    </xf>
    <xf numFmtId="0" fontId="33" fillId="2" borderId="0" xfId="10" applyFont="1" applyFill="1" applyAlignment="1">
      <alignment vertical="center"/>
    </xf>
    <xf numFmtId="14" fontId="24" fillId="2" borderId="0" xfId="10" applyNumberFormat="1" applyFont="1" applyFill="1" applyAlignment="1">
      <alignment vertical="center"/>
    </xf>
    <xf numFmtId="3" fontId="23" fillId="2" borderId="0" xfId="10" applyNumberFormat="1" applyFont="1" applyFill="1" applyBorder="1" applyAlignment="1">
      <alignment vertical="center" wrapText="1"/>
    </xf>
    <xf numFmtId="3" fontId="23" fillId="2" borderId="3" xfId="10" applyNumberFormat="1" applyFont="1" applyFill="1" applyBorder="1" applyAlignment="1">
      <alignment vertical="center" wrapText="1"/>
    </xf>
    <xf numFmtId="0" fontId="23" fillId="3" borderId="1" xfId="10" applyFont="1" applyFill="1" applyBorder="1" applyAlignment="1">
      <alignment vertical="center"/>
    </xf>
    <xf numFmtId="0" fontId="32" fillId="3" borderId="2" xfId="10" applyFont="1" applyFill="1" applyBorder="1" applyAlignment="1">
      <alignment vertical="center"/>
    </xf>
    <xf numFmtId="9" fontId="32" fillId="3" borderId="1" xfId="11" applyFont="1" applyFill="1" applyBorder="1" applyAlignment="1">
      <alignment vertical="center"/>
    </xf>
    <xf numFmtId="168" fontId="23" fillId="2" borderId="0" xfId="10" applyNumberFormat="1" applyFont="1" applyFill="1" applyBorder="1" applyAlignment="1">
      <alignment horizontal="right" vertical="center" wrapText="1"/>
    </xf>
    <xf numFmtId="43" fontId="24" fillId="2" borderId="0" xfId="9" applyFont="1" applyFill="1" applyAlignment="1">
      <alignment vertical="center"/>
    </xf>
    <xf numFmtId="1" fontId="31" fillId="2" borderId="0" xfId="12" applyNumberFormat="1" applyFont="1" applyFill="1" applyBorder="1" applyAlignment="1">
      <alignment vertical="center"/>
    </xf>
    <xf numFmtId="37" fontId="31" fillId="2" borderId="0" xfId="10" applyNumberFormat="1" applyFont="1" applyFill="1" applyBorder="1" applyAlignment="1">
      <alignment vertical="center" wrapText="1"/>
    </xf>
    <xf numFmtId="3" fontId="31" fillId="2" borderId="3" xfId="10" applyNumberFormat="1" applyFont="1" applyFill="1" applyBorder="1" applyAlignment="1">
      <alignment vertical="center"/>
    </xf>
    <xf numFmtId="9" fontId="32" fillId="3" borderId="9" xfId="11" applyFont="1" applyFill="1" applyBorder="1" applyAlignment="1">
      <alignment vertical="center"/>
    </xf>
    <xf numFmtId="3" fontId="30" fillId="2" borderId="0" xfId="10" applyNumberFormat="1" applyFont="1" applyFill="1" applyBorder="1" applyAlignment="1">
      <alignment vertical="center" wrapText="1"/>
    </xf>
    <xf numFmtId="9" fontId="30" fillId="2" borderId="0" xfId="11" applyFont="1" applyFill="1" applyBorder="1" applyAlignment="1">
      <alignment vertical="center" wrapText="1"/>
    </xf>
    <xf numFmtId="0" fontId="34" fillId="0" borderId="0" xfId="0" applyFont="1"/>
    <xf numFmtId="1" fontId="23" fillId="2" borderId="0" xfId="10" applyNumberFormat="1" applyFont="1" applyFill="1" applyBorder="1" applyAlignment="1">
      <alignment vertical="center" wrapText="1"/>
    </xf>
  </cellXfs>
  <cellStyles count="14">
    <cellStyle name="Comma" xfId="9" builtinId="3"/>
    <cellStyle name="Comma 2" xfId="6" xr:uid="{56061E8A-8475-2A44-ABF5-3D5428A528FC}"/>
    <cellStyle name="Comma 3" xfId="12" xr:uid="{FF45DAF1-4A96-D94E-8E92-26599C983290}"/>
    <cellStyle name="Currency 2" xfId="7" xr:uid="{DC28283E-A594-DF43-A7E6-96AA8A1091FD}"/>
    <cellStyle name="Currency 3" xfId="13" xr:uid="{E604DA20-D219-7A4B-98EF-5D6D5038F79F}"/>
    <cellStyle name="Followed Hyperlink" xfId="2" builtinId="9" hidden="1"/>
    <cellStyle name="Followed Hyperlink" xfId="3" builtinId="9" hidden="1"/>
    <cellStyle name="Followed Hyperlink" xfId="4" builtinId="9" hidden="1"/>
    <cellStyle name="Hyperlink" xfId="1" builtinId="8"/>
    <cellStyle name="Normal" xfId="0" builtinId="0"/>
    <cellStyle name="Normal 2" xfId="5" xr:uid="{FE555931-3859-E84A-A015-8C435AE279C1}"/>
    <cellStyle name="Normal 3" xfId="10" xr:uid="{64527D30-5564-3C42-A540-EB3F67B5AFF9}"/>
    <cellStyle name="Percent 2" xfId="8" xr:uid="{602011E6-8963-E64C-AD25-DF291DFBDB41}"/>
    <cellStyle name="Percent 3" xfId="11" xr:uid="{B7386E34-7CC9-464F-94F8-E7AFE5164A5D}"/>
  </cellStyles>
  <dxfs count="0"/>
  <tableStyles count="0" defaultTableStyle="TableStyleMedium9" defaultPivotStyle="PivotStyleMedium4"/>
  <colors>
    <mruColors>
      <color rgb="FF009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creativecommons.org/licenses/by-nc/4.0/" TargetMode="External"/><Relationship Id="rId2" Type="http://schemas.openxmlformats.org/officeDocument/2006/relationships/image" Target="../media/image1.png"/><Relationship Id="rId1" Type="http://schemas.openxmlformats.org/officeDocument/2006/relationships/hyperlink" Target="https://ark-invest.com" TargetMode="External"/><Relationship Id="rId4" Type="http://schemas.openxmlformats.org/officeDocument/2006/relationships/image" Target="../media/image2.img"/></Relationships>
</file>

<file path=xl/drawings/drawing1.xml><?xml version="1.0" encoding="utf-8"?>
<xdr:wsDr xmlns:xdr="http://schemas.openxmlformats.org/drawingml/2006/spreadsheetDrawing" xmlns:a="http://schemas.openxmlformats.org/drawingml/2006/main">
  <xdr:oneCellAnchor>
    <xdr:from>
      <xdr:col>0</xdr:col>
      <xdr:colOff>114299</xdr:colOff>
      <xdr:row>0</xdr:row>
      <xdr:rowOff>88900</xdr:rowOff>
    </xdr:from>
    <xdr:ext cx="1480745" cy="584200"/>
    <xdr:pic>
      <xdr:nvPicPr>
        <xdr:cNvPr id="2" name="Picture 1">
          <a:hlinkClick xmlns:r="http://schemas.openxmlformats.org/officeDocument/2006/relationships" r:id="rId1"/>
          <a:extLst>
            <a:ext uri="{FF2B5EF4-FFF2-40B4-BE49-F238E27FC236}">
              <a16:creationId xmlns:a16="http://schemas.microsoft.com/office/drawing/2014/main" id="{AE7309F0-E8D7-4842-B584-B31D1E599B54}"/>
            </a:ext>
          </a:extLst>
        </xdr:cNvPr>
        <xdr:cNvPicPr>
          <a:picLocks noChangeAspect="1"/>
        </xdr:cNvPicPr>
      </xdr:nvPicPr>
      <xdr:blipFill>
        <a:blip xmlns:r="http://schemas.openxmlformats.org/officeDocument/2006/relationships" r:embed="rId2"/>
        <a:stretch>
          <a:fillRect/>
        </a:stretch>
      </xdr:blipFill>
      <xdr:spPr>
        <a:xfrm>
          <a:off x="114299" y="88900"/>
          <a:ext cx="1480745" cy="584200"/>
        </a:xfrm>
        <a:prstGeom prst="rect">
          <a:avLst/>
        </a:prstGeom>
      </xdr:spPr>
    </xdr:pic>
    <xdr:clientData/>
  </xdr:oneCellAnchor>
  <xdr:oneCellAnchor>
    <xdr:from>
      <xdr:col>0</xdr:col>
      <xdr:colOff>4533900</xdr:colOff>
      <xdr:row>0</xdr:row>
      <xdr:rowOff>152400</xdr:rowOff>
    </xdr:from>
    <xdr:ext cx="1308100" cy="464988"/>
    <xdr:pic>
      <xdr:nvPicPr>
        <xdr:cNvPr id="3" name="Picture 2">
          <a:hlinkClick xmlns:r="http://schemas.openxmlformats.org/officeDocument/2006/relationships" r:id="rId3"/>
          <a:extLst>
            <a:ext uri="{FF2B5EF4-FFF2-40B4-BE49-F238E27FC236}">
              <a16:creationId xmlns:a16="http://schemas.microsoft.com/office/drawing/2014/main" id="{68438790-5D7A-2848-BCDB-BD12D1EB34C0}"/>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25500" y="152400"/>
          <a:ext cx="1308100" cy="464988"/>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TASHA%20K/personal/ARK/simple-s-cur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_Curve (2)"/>
      <sheetName val="S_Curve"/>
    </sheetNames>
    <sheetDataSet>
      <sheetData sheetId="0"/>
      <sheetData sheetId="1">
        <row r="11">
          <cell r="A11">
            <v>2011</v>
          </cell>
          <cell r="B11">
            <v>0.12328767123287669</v>
          </cell>
          <cell r="C11">
            <v>90</v>
          </cell>
        </row>
        <row r="12">
          <cell r="A12">
            <v>2012</v>
          </cell>
          <cell r="B12">
            <v>0.17770393402630352</v>
          </cell>
          <cell r="C12">
            <v>90</v>
          </cell>
        </row>
        <row r="13">
          <cell r="A13">
            <v>2013</v>
          </cell>
          <cell r="B13">
            <v>0.25606981809120444</v>
          </cell>
          <cell r="C13">
            <v>90</v>
          </cell>
        </row>
        <row r="14">
          <cell r="A14">
            <v>2014</v>
          </cell>
          <cell r="B14">
            <v>0.36885245901639319</v>
          </cell>
          <cell r="C14">
            <v>90</v>
          </cell>
        </row>
        <row r="15">
          <cell r="A15">
            <v>2015</v>
          </cell>
          <cell r="B15">
            <v>0.53101483706617747</v>
          </cell>
          <cell r="C15">
            <v>90</v>
          </cell>
        </row>
        <row r="16">
          <cell r="A16">
            <v>2016</v>
          </cell>
          <cell r="B16">
            <v>0.76386273888267209</v>
          </cell>
          <cell r="C16">
            <v>90</v>
          </cell>
        </row>
        <row r="17">
          <cell r="A17">
            <v>2017</v>
          </cell>
          <cell r="B17">
            <v>1.0975609756097562</v>
          </cell>
          <cell r="C17">
            <v>90</v>
          </cell>
        </row>
        <row r="18">
          <cell r="A18">
            <v>2018</v>
          </cell>
          <cell r="B18">
            <v>1.5744653015195824</v>
          </cell>
          <cell r="C18">
            <v>90</v>
          </cell>
        </row>
        <row r="19">
          <cell r="A19">
            <v>2019</v>
          </cell>
          <cell r="B19">
            <v>2.2533384110853234</v>
          </cell>
          <cell r="C19">
            <v>90</v>
          </cell>
        </row>
        <row r="20">
          <cell r="A20">
            <v>2020</v>
          </cell>
          <cell r="B20">
            <v>3.2142857142857144</v>
          </cell>
          <cell r="C20">
            <v>90</v>
          </cell>
        </row>
        <row r="21">
          <cell r="A21">
            <v>2021</v>
          </cell>
          <cell r="B21">
            <v>4.5637199338541574</v>
          </cell>
          <cell r="C21">
            <v>90</v>
          </cell>
        </row>
        <row r="22">
          <cell r="A22">
            <v>2022</v>
          </cell>
          <cell r="B22">
            <v>6.4376548985828963</v>
          </cell>
          <cell r="C22">
            <v>90</v>
          </cell>
        </row>
        <row r="23">
          <cell r="A23">
            <v>2023</v>
          </cell>
          <cell r="B23">
            <v>9</v>
          </cell>
          <cell r="C23">
            <v>90</v>
          </cell>
        </row>
        <row r="24">
          <cell r="A24">
            <v>2024</v>
          </cell>
          <cell r="B24">
            <v>12.430507473864703</v>
          </cell>
          <cell r="C24">
            <v>90</v>
          </cell>
        </row>
        <row r="25">
          <cell r="A25">
            <v>2025</v>
          </cell>
          <cell r="B25">
            <v>16.895859910841978</v>
          </cell>
          <cell r="C25">
            <v>90</v>
          </cell>
        </row>
        <row r="26">
          <cell r="A26">
            <v>2026</v>
          </cell>
          <cell r="B26">
            <v>22.5</v>
          </cell>
          <cell r="C26">
            <v>90</v>
          </cell>
        </row>
        <row r="27">
          <cell r="A27">
            <v>2027</v>
          </cell>
          <cell r="B27">
            <v>29.21998399083289</v>
          </cell>
          <cell r="C27">
            <v>90</v>
          </cell>
        </row>
        <row r="28">
          <cell r="A28">
            <v>2028</v>
          </cell>
          <cell r="B28">
            <v>36.851270686751157</v>
          </cell>
          <cell r="C28">
            <v>90</v>
          </cell>
        </row>
        <row r="29">
          <cell r="A29">
            <v>2029</v>
          </cell>
          <cell r="B29">
            <v>45</v>
          </cell>
          <cell r="C29">
            <v>90</v>
          </cell>
        </row>
        <row r="30">
          <cell r="A30">
            <v>2030</v>
          </cell>
          <cell r="B30">
            <v>53.148729313248843</v>
          </cell>
          <cell r="C30">
            <v>90</v>
          </cell>
        </row>
        <row r="31">
          <cell r="A31">
            <v>2031</v>
          </cell>
          <cell r="B31">
            <v>60.780016009167106</v>
          </cell>
          <cell r="C31">
            <v>90</v>
          </cell>
        </row>
        <row r="32">
          <cell r="A32">
            <v>2032</v>
          </cell>
          <cell r="B32">
            <v>67.5</v>
          </cell>
          <cell r="C32">
            <v>90</v>
          </cell>
        </row>
        <row r="33">
          <cell r="A33">
            <v>2033</v>
          </cell>
          <cell r="B33">
            <v>73.104140089158022</v>
          </cell>
          <cell r="C33">
            <v>90</v>
          </cell>
        </row>
        <row r="34">
          <cell r="A34">
            <v>2034</v>
          </cell>
          <cell r="B34">
            <v>77.569492526135292</v>
          </cell>
          <cell r="C34">
            <v>90</v>
          </cell>
        </row>
        <row r="35">
          <cell r="A35">
            <v>2035</v>
          </cell>
          <cell r="B35">
            <v>81</v>
          </cell>
          <cell r="C35">
            <v>90</v>
          </cell>
        </row>
        <row r="36">
          <cell r="A36">
            <v>2036</v>
          </cell>
          <cell r="B36">
            <v>83.562345101417094</v>
          </cell>
          <cell r="C36">
            <v>90</v>
          </cell>
        </row>
        <row r="37">
          <cell r="A37">
            <v>2037</v>
          </cell>
          <cell r="B37">
            <v>85.436280066145841</v>
          </cell>
          <cell r="C37">
            <v>90</v>
          </cell>
        </row>
        <row r="38">
          <cell r="A38">
            <v>2038</v>
          </cell>
          <cell r="B38">
            <v>86.785714285714292</v>
          </cell>
          <cell r="C38">
            <v>90</v>
          </cell>
        </row>
        <row r="39">
          <cell r="A39">
            <v>2039</v>
          </cell>
          <cell r="B39">
            <v>87.746661588914662</v>
          </cell>
          <cell r="C39">
            <v>90</v>
          </cell>
        </row>
        <row r="40">
          <cell r="A40">
            <v>2040</v>
          </cell>
          <cell r="B40">
            <v>88.425534698480405</v>
          </cell>
          <cell r="C40">
            <v>90</v>
          </cell>
        </row>
        <row r="41">
          <cell r="A41">
            <v>2041</v>
          </cell>
          <cell r="B41">
            <v>88.902439024390233</v>
          </cell>
          <cell r="C41">
            <v>90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nc/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79176-F689-D24B-A76B-B4801B16174F}">
  <dimension ref="A1:A11"/>
  <sheetViews>
    <sheetView workbookViewId="0">
      <selection activeCell="A29" sqref="A29"/>
    </sheetView>
  </sheetViews>
  <sheetFormatPr baseColWidth="10" defaultRowHeight="16"/>
  <cols>
    <col min="1" max="1" width="78.33203125" style="3" customWidth="1"/>
    <col min="2" max="16384" width="10.83203125" style="3"/>
  </cols>
  <sheetData>
    <row r="1" spans="1:1" ht="56" customHeight="1"/>
    <row r="2" spans="1:1">
      <c r="A2" s="1" t="s">
        <v>2</v>
      </c>
    </row>
    <row r="3" spans="1:1">
      <c r="A3" s="2" t="s">
        <v>4</v>
      </c>
    </row>
    <row r="4" spans="1:1">
      <c r="A4" s="7"/>
    </row>
    <row r="5" spans="1:1" ht="32">
      <c r="A5" s="4" t="s">
        <v>5</v>
      </c>
    </row>
    <row r="6" spans="1:1">
      <c r="A6" s="5"/>
    </row>
    <row r="7" spans="1:1" ht="84" customHeight="1">
      <c r="A7" s="4" t="s">
        <v>0</v>
      </c>
    </row>
    <row r="8" spans="1:1">
      <c r="A8" s="4"/>
    </row>
    <row r="9" spans="1:1" ht="82" customHeight="1">
      <c r="A9" s="6" t="s">
        <v>3</v>
      </c>
    </row>
    <row r="10" spans="1:1">
      <c r="A10" s="5"/>
    </row>
    <row r="11" spans="1:1" ht="78" customHeight="1">
      <c r="A11" s="4" t="s">
        <v>1</v>
      </c>
    </row>
  </sheetData>
  <sheetProtection algorithmName="SHA-512" hashValue="Jp2NPGDxq4ipKSvZio8u5uepMuatkqRKF2qMIacR4bE5gWPmZT21uodFWqY5BWjSr4pWny6SqQj/aPP07qNQwA==" saltValue="0YkILgcRRcpUdMz8SnZf+w==" spinCount="100000" sheet="1" objects="1" scenarios="1"/>
  <hyperlinks>
    <hyperlink ref="A2" r:id="rId1" xr:uid="{DBD7CCD0-C104-D04D-AB99-AF81BA5F0C02}"/>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4B299-9816-7C47-B4AA-B23CDEFAB33A}">
  <dimension ref="A1:M71"/>
  <sheetViews>
    <sheetView tabSelected="1" topLeftCell="C1" zoomScale="130" zoomScaleNormal="130" workbookViewId="0">
      <selection activeCell="F40" sqref="F40"/>
    </sheetView>
  </sheetViews>
  <sheetFormatPr baseColWidth="10" defaultColWidth="14.1640625" defaultRowHeight="16"/>
  <cols>
    <col min="1" max="2" width="0" style="10" hidden="1" customWidth="1"/>
    <col min="3" max="3" width="3.33203125" style="8" customWidth="1"/>
    <col min="4" max="4" width="41.5" style="8" customWidth="1"/>
    <col min="5" max="5" width="18.6640625" style="8" customWidth="1"/>
    <col min="6" max="6" width="24.5" style="8" customWidth="1"/>
    <col min="7" max="7" width="22.33203125" style="8" customWidth="1"/>
    <col min="8" max="8" width="14.1640625" style="9" customWidth="1"/>
    <col min="9" max="9" width="14.1640625" style="8"/>
    <col min="10" max="10" width="23.33203125" style="8" bestFit="1" customWidth="1"/>
    <col min="11" max="11" width="15.1640625" style="8" bestFit="1" customWidth="1"/>
    <col min="12" max="12" width="18.33203125" style="8" bestFit="1" customWidth="1"/>
    <col min="13" max="13" width="16.83203125" style="8" bestFit="1" customWidth="1"/>
    <col min="14" max="16384" width="14.1640625" style="8"/>
  </cols>
  <sheetData>
    <row r="1" spans="1:13">
      <c r="D1" s="29" t="s">
        <v>81</v>
      </c>
      <c r="E1" s="30"/>
    </row>
    <row r="2" spans="1:13">
      <c r="D2" s="34" t="s">
        <v>82</v>
      </c>
      <c r="E2" s="31"/>
    </row>
    <row r="3" spans="1:13">
      <c r="D3" s="32" t="s">
        <v>83</v>
      </c>
      <c r="E3" s="33"/>
    </row>
    <row r="4" spans="1:13">
      <c r="D4" s="28"/>
      <c r="H4" s="101"/>
    </row>
    <row r="5" spans="1:13" s="11" customFormat="1" ht="19">
      <c r="A5" s="27"/>
      <c r="B5" s="27"/>
      <c r="D5" s="35" t="s">
        <v>80</v>
      </c>
      <c r="E5" s="36"/>
      <c r="F5" s="36"/>
      <c r="G5" s="37"/>
      <c r="H5" s="38"/>
    </row>
    <row r="6" spans="1:13" s="11" customFormat="1">
      <c r="A6" s="17"/>
      <c r="B6" s="17"/>
      <c r="D6" s="39" t="s">
        <v>89</v>
      </c>
      <c r="E6" s="40"/>
      <c r="F6" s="40"/>
      <c r="G6" s="37"/>
      <c r="H6" s="38"/>
    </row>
    <row r="7" spans="1:13" s="11" customFormat="1">
      <c r="A7" s="26" t="s">
        <v>49</v>
      </c>
      <c r="B7" s="26" t="s">
        <v>79</v>
      </c>
      <c r="D7" s="41"/>
      <c r="E7" s="41">
        <v>2018</v>
      </c>
      <c r="F7" s="42" t="s">
        <v>78</v>
      </c>
      <c r="G7" s="42" t="s">
        <v>77</v>
      </c>
      <c r="H7" s="43" t="s">
        <v>49</v>
      </c>
    </row>
    <row r="8" spans="1:13" s="11" customFormat="1">
      <c r="A8" s="18"/>
      <c r="B8" s="18" t="s">
        <v>76</v>
      </c>
      <c r="D8" s="44" t="s">
        <v>75</v>
      </c>
      <c r="E8" s="45"/>
      <c r="F8" s="46"/>
      <c r="G8" s="47"/>
      <c r="H8" s="38"/>
    </row>
    <row r="9" spans="1:13" s="11" customFormat="1">
      <c r="A9" s="18" t="s">
        <v>61</v>
      </c>
      <c r="B9" s="18" t="s">
        <v>68</v>
      </c>
      <c r="D9" s="48" t="s">
        <v>74</v>
      </c>
      <c r="E9" s="102">
        <v>245240</v>
      </c>
      <c r="F9" s="96">
        <v>3000000</v>
      </c>
      <c r="G9" s="97">
        <v>1700000</v>
      </c>
      <c r="H9" s="39" t="s">
        <v>73</v>
      </c>
    </row>
    <row r="10" spans="1:13" s="11" customFormat="1" ht="17">
      <c r="A10" s="18"/>
      <c r="B10" s="18"/>
      <c r="D10" s="48" t="s">
        <v>84</v>
      </c>
      <c r="E10" s="93" t="s">
        <v>95</v>
      </c>
      <c r="F10" s="96">
        <v>48250</v>
      </c>
      <c r="G10" s="97">
        <v>48250</v>
      </c>
      <c r="H10" s="39"/>
    </row>
    <row r="11" spans="1:13" s="11" customFormat="1">
      <c r="A11" s="18" t="s">
        <v>61</v>
      </c>
      <c r="B11" s="18" t="s">
        <v>68</v>
      </c>
      <c r="D11" s="49" t="s">
        <v>72</v>
      </c>
      <c r="E11" s="50">
        <v>21461000000</v>
      </c>
      <c r="F11" s="50">
        <f>F9*F10</f>
        <v>144750000000</v>
      </c>
      <c r="G11" s="51">
        <f>G9*G10</f>
        <v>82025000000</v>
      </c>
      <c r="H11" s="38" t="s">
        <v>71</v>
      </c>
      <c r="K11" s="16"/>
      <c r="L11" s="16"/>
      <c r="M11" s="16"/>
    </row>
    <row r="12" spans="1:13" s="11" customFormat="1">
      <c r="A12" s="18" t="s">
        <v>61</v>
      </c>
      <c r="B12" s="18" t="s">
        <v>68</v>
      </c>
      <c r="D12" s="49" t="s">
        <v>70</v>
      </c>
      <c r="E12" s="52">
        <v>0.188</v>
      </c>
      <c r="F12" s="53">
        <v>0.3</v>
      </c>
      <c r="G12" s="54">
        <v>0.25</v>
      </c>
      <c r="H12" s="39" t="s">
        <v>69</v>
      </c>
      <c r="K12" s="16"/>
      <c r="L12" s="16"/>
      <c r="M12" s="16"/>
    </row>
    <row r="13" spans="1:13" s="11" customFormat="1">
      <c r="A13" s="18" t="s">
        <v>61</v>
      </c>
      <c r="B13" s="18" t="s">
        <v>68</v>
      </c>
      <c r="D13" s="49" t="s">
        <v>67</v>
      </c>
      <c r="E13" s="50">
        <v>4042000000</v>
      </c>
      <c r="F13" s="50">
        <f>F12*F11</f>
        <v>43425000000</v>
      </c>
      <c r="G13" s="51">
        <f>G12*G11</f>
        <v>20506250000</v>
      </c>
      <c r="H13" s="38" t="s">
        <v>66</v>
      </c>
      <c r="K13" s="16"/>
      <c r="L13" s="16"/>
      <c r="M13" s="16"/>
    </row>
    <row r="14" spans="1:13" s="11" customFormat="1">
      <c r="A14" s="18" t="s">
        <v>61</v>
      </c>
      <c r="B14" s="18" t="s">
        <v>58</v>
      </c>
      <c r="D14" s="49" t="s">
        <v>65</v>
      </c>
      <c r="E14" s="50">
        <v>2834000000</v>
      </c>
      <c r="F14" s="50">
        <f>F15*F11</f>
        <v>14475000000</v>
      </c>
      <c r="G14" s="51">
        <f>G15*G11</f>
        <v>8202500000</v>
      </c>
      <c r="H14" s="38" t="s">
        <v>64</v>
      </c>
      <c r="K14" s="16"/>
      <c r="L14" s="25"/>
      <c r="M14" s="16"/>
    </row>
    <row r="15" spans="1:13" s="11" customFormat="1">
      <c r="A15" s="18" t="s">
        <v>61</v>
      </c>
      <c r="B15" s="18" t="s">
        <v>58</v>
      </c>
      <c r="D15" s="49" t="s">
        <v>63</v>
      </c>
      <c r="E15" s="52">
        <v>0.13205349238152927</v>
      </c>
      <c r="F15" s="53">
        <v>0.1</v>
      </c>
      <c r="G15" s="54">
        <v>0.1</v>
      </c>
      <c r="H15" s="39" t="s">
        <v>62</v>
      </c>
      <c r="K15" s="16"/>
      <c r="L15" s="16"/>
      <c r="M15" s="16"/>
    </row>
    <row r="16" spans="1:13" s="11" customFormat="1">
      <c r="A16" s="18" t="s">
        <v>61</v>
      </c>
      <c r="B16" s="18" t="s">
        <v>58</v>
      </c>
      <c r="D16" s="49" t="s">
        <v>60</v>
      </c>
      <c r="E16" s="50">
        <v>1460000000</v>
      </c>
      <c r="F16" s="50">
        <f>F17*F11</f>
        <v>18158347848.807186</v>
      </c>
      <c r="G16" s="51">
        <f>G17*G11</f>
        <v>10289730447.657406</v>
      </c>
      <c r="H16" s="38" t="s">
        <v>59</v>
      </c>
      <c r="K16" s="16"/>
      <c r="L16" s="16"/>
      <c r="M16" s="16"/>
    </row>
    <row r="17" spans="1:13" s="11" customFormat="1">
      <c r="A17" s="18"/>
      <c r="B17" s="18" t="s">
        <v>58</v>
      </c>
      <c r="D17" s="49" t="s">
        <v>57</v>
      </c>
      <c r="E17" s="52">
        <v>6.8030380690554962E-2</v>
      </c>
      <c r="F17" s="53">
        <v>0.1254462718397733</v>
      </c>
      <c r="G17" s="54">
        <v>0.1254462718397733</v>
      </c>
      <c r="H17" s="39" t="s">
        <v>56</v>
      </c>
      <c r="K17" s="16"/>
      <c r="L17" s="16"/>
      <c r="M17" s="16"/>
    </row>
    <row r="18" spans="1:13" s="11" customFormat="1">
      <c r="A18" s="24"/>
      <c r="B18" s="24"/>
      <c r="D18" s="49" t="s">
        <v>55</v>
      </c>
      <c r="E18" s="50">
        <v>-252800000</v>
      </c>
      <c r="F18" s="50">
        <f>F13-F14-F16</f>
        <v>10791652151.192814</v>
      </c>
      <c r="G18" s="51">
        <f>G13-G14-G16</f>
        <v>2014019552.3425941</v>
      </c>
      <c r="H18" s="38" t="s">
        <v>54</v>
      </c>
      <c r="K18" s="16"/>
      <c r="L18" s="16"/>
      <c r="M18" s="16"/>
    </row>
    <row r="19" spans="1:13" s="11" customFormat="1">
      <c r="A19" s="24"/>
      <c r="B19" s="24"/>
      <c r="D19" s="55" t="s">
        <v>53</v>
      </c>
      <c r="E19" s="50">
        <v>14029200000</v>
      </c>
      <c r="F19" s="95">
        <v>19000</v>
      </c>
      <c r="G19" s="57">
        <v>17000000000</v>
      </c>
      <c r="H19" s="58" t="s">
        <v>86</v>
      </c>
      <c r="K19" s="16"/>
      <c r="L19" s="16"/>
      <c r="M19" s="16"/>
    </row>
    <row r="20" spans="1:13" s="11" customFormat="1">
      <c r="A20" s="24"/>
      <c r="B20" s="24"/>
      <c r="D20" s="55" t="s">
        <v>52</v>
      </c>
      <c r="E20" s="52">
        <v>0.19239158326918143</v>
      </c>
      <c r="F20" s="53">
        <v>0.15271410409158626</v>
      </c>
      <c r="G20" s="54">
        <v>0.15271410409158626</v>
      </c>
      <c r="H20" s="38"/>
      <c r="K20" s="16"/>
      <c r="L20" s="16"/>
      <c r="M20" s="16"/>
    </row>
    <row r="21" spans="1:13" s="11" customFormat="1">
      <c r="A21" s="17"/>
      <c r="B21" s="17"/>
      <c r="D21" s="49" t="s">
        <v>51</v>
      </c>
      <c r="E21" s="50">
        <v>3108200000</v>
      </c>
      <c r="F21" s="50">
        <f>F18+F16+F19*F20</f>
        <v>28950002901.567978</v>
      </c>
      <c r="G21" s="51">
        <f>G18+G16+G19*G20</f>
        <v>14899889769.556967</v>
      </c>
      <c r="H21" s="38" t="s">
        <v>50</v>
      </c>
      <c r="K21" s="23"/>
      <c r="L21" s="16"/>
      <c r="M21" s="16"/>
    </row>
    <row r="22" spans="1:13" s="11" customFormat="1">
      <c r="A22" s="18" t="s">
        <v>49</v>
      </c>
      <c r="B22" s="22"/>
      <c r="D22" s="49" t="s">
        <v>48</v>
      </c>
      <c r="E22" s="50">
        <v>12570082000</v>
      </c>
      <c r="F22" s="59">
        <v>5140000000</v>
      </c>
      <c r="G22" s="60">
        <v>5140000000</v>
      </c>
      <c r="H22" s="39" t="s">
        <v>47</v>
      </c>
      <c r="J22" s="21"/>
      <c r="K22" s="16"/>
      <c r="L22" s="16"/>
      <c r="M22" s="16"/>
    </row>
    <row r="23" spans="1:13" s="11" customFormat="1">
      <c r="A23" s="18"/>
      <c r="B23" s="17"/>
      <c r="D23" s="61" t="s">
        <v>46</v>
      </c>
      <c r="E23" s="62"/>
      <c r="F23" s="63"/>
      <c r="G23" s="64"/>
      <c r="H23" s="38"/>
      <c r="J23" s="20"/>
      <c r="K23" s="16"/>
      <c r="L23" s="16"/>
      <c r="M23" s="16"/>
    </row>
    <row r="24" spans="1:13" s="11" customFormat="1">
      <c r="A24" s="18"/>
      <c r="B24" s="17"/>
      <c r="D24" s="65" t="s">
        <v>45</v>
      </c>
      <c r="E24" s="66"/>
      <c r="F24" s="67"/>
      <c r="G24" s="68"/>
      <c r="H24" s="38"/>
      <c r="K24" s="16"/>
      <c r="L24" s="19"/>
      <c r="M24" s="16"/>
    </row>
    <row r="25" spans="1:13" s="11" customFormat="1">
      <c r="A25" s="18" t="s">
        <v>44</v>
      </c>
      <c r="B25" s="17"/>
      <c r="D25" s="49" t="s">
        <v>43</v>
      </c>
      <c r="E25" s="69"/>
      <c r="F25" s="70">
        <v>7200000</v>
      </c>
      <c r="G25" s="51">
        <v>0</v>
      </c>
      <c r="H25" s="39" t="s">
        <v>90</v>
      </c>
      <c r="K25" s="16"/>
      <c r="L25" s="16"/>
      <c r="M25" s="16"/>
    </row>
    <row r="26" spans="1:13" s="11" customFormat="1">
      <c r="A26" s="18"/>
      <c r="B26" s="17"/>
      <c r="D26" s="49" t="s">
        <v>42</v>
      </c>
      <c r="E26" s="69"/>
      <c r="F26" s="53">
        <v>0.22655672629716056</v>
      </c>
      <c r="G26" s="51">
        <v>0</v>
      </c>
      <c r="H26" s="39" t="s">
        <v>41</v>
      </c>
      <c r="K26" s="16"/>
      <c r="L26" s="16"/>
      <c r="M26" s="16"/>
    </row>
    <row r="27" spans="1:13" s="11" customFormat="1">
      <c r="A27" s="18"/>
      <c r="B27" s="17"/>
      <c r="D27" s="49" t="s">
        <v>40</v>
      </c>
      <c r="E27" s="69"/>
      <c r="F27" s="71">
        <v>116100</v>
      </c>
      <c r="G27" s="51">
        <v>0</v>
      </c>
      <c r="H27" s="39" t="s">
        <v>39</v>
      </c>
      <c r="K27" s="16"/>
      <c r="L27" s="16"/>
      <c r="M27" s="16"/>
    </row>
    <row r="28" spans="1:13" s="11" customFormat="1">
      <c r="A28" s="18" t="s">
        <v>38</v>
      </c>
      <c r="B28" s="17"/>
      <c r="D28" s="49" t="s">
        <v>37</v>
      </c>
      <c r="E28" s="69"/>
      <c r="F28" s="53">
        <v>0.7</v>
      </c>
      <c r="G28" s="51">
        <v>0</v>
      </c>
      <c r="H28" s="39" t="s">
        <v>36</v>
      </c>
      <c r="K28" s="16"/>
      <c r="L28" s="16"/>
      <c r="M28" s="16"/>
    </row>
    <row r="29" spans="1:13" s="11" customFormat="1">
      <c r="A29" s="18" t="s">
        <v>35</v>
      </c>
      <c r="B29" s="17"/>
      <c r="D29" s="49" t="s">
        <v>34</v>
      </c>
      <c r="E29" s="72"/>
      <c r="F29" s="73">
        <v>1</v>
      </c>
      <c r="G29" s="51">
        <v>0</v>
      </c>
      <c r="H29" s="39" t="s">
        <v>93</v>
      </c>
      <c r="K29" s="16"/>
      <c r="L29" s="16"/>
      <c r="M29" s="16"/>
    </row>
    <row r="30" spans="1:13" s="11" customFormat="1">
      <c r="A30" s="18"/>
      <c r="B30" s="17"/>
      <c r="D30" s="49" t="s">
        <v>33</v>
      </c>
      <c r="E30" s="72"/>
      <c r="F30" s="50">
        <f>F29*F28*F27*F25</f>
        <v>585144000000</v>
      </c>
      <c r="G30" s="51">
        <v>0</v>
      </c>
      <c r="H30" s="39" t="s">
        <v>32</v>
      </c>
      <c r="K30" s="16"/>
      <c r="L30" s="16"/>
      <c r="M30" s="16"/>
    </row>
    <row r="31" spans="1:13" s="11" customFormat="1">
      <c r="A31" s="18" t="s">
        <v>31</v>
      </c>
      <c r="B31" s="17"/>
      <c r="D31" s="49" t="s">
        <v>30</v>
      </c>
      <c r="E31" s="72"/>
      <c r="F31" s="53">
        <v>0.3</v>
      </c>
      <c r="G31" s="51">
        <v>0</v>
      </c>
      <c r="H31" s="39" t="s">
        <v>29</v>
      </c>
      <c r="K31" s="16"/>
      <c r="L31" s="16"/>
      <c r="M31" s="16"/>
    </row>
    <row r="32" spans="1:13" s="11" customFormat="1">
      <c r="A32" s="18"/>
      <c r="B32" s="17"/>
      <c r="D32" s="49" t="s">
        <v>28</v>
      </c>
      <c r="E32" s="72"/>
      <c r="F32" s="53">
        <v>0.1</v>
      </c>
      <c r="G32" s="51">
        <v>0</v>
      </c>
      <c r="H32" s="39" t="s">
        <v>27</v>
      </c>
      <c r="K32" s="16"/>
      <c r="L32" s="16"/>
      <c r="M32" s="16"/>
    </row>
    <row r="33" spans="1:13" s="11" customFormat="1" ht="20" customHeight="1">
      <c r="A33" s="18"/>
      <c r="B33" s="17"/>
      <c r="D33" s="49" t="s">
        <v>26</v>
      </c>
      <c r="E33" s="72"/>
      <c r="F33" s="74">
        <v>0.5</v>
      </c>
      <c r="G33" s="51">
        <v>0</v>
      </c>
      <c r="H33" s="39" t="s">
        <v>25</v>
      </c>
      <c r="K33" s="16"/>
      <c r="L33" s="16"/>
      <c r="M33" s="16"/>
    </row>
    <row r="34" spans="1:13" s="11" customFormat="1">
      <c r="A34" s="18"/>
      <c r="B34" s="17"/>
      <c r="D34" s="49" t="s">
        <v>24</v>
      </c>
      <c r="E34" s="72"/>
      <c r="F34" s="53">
        <v>0.7</v>
      </c>
      <c r="G34" s="51">
        <v>0</v>
      </c>
      <c r="H34" s="39"/>
      <c r="K34" s="16"/>
      <c r="L34" s="16"/>
      <c r="M34" s="16"/>
    </row>
    <row r="35" spans="1:13" s="11" customFormat="1">
      <c r="A35" s="18"/>
      <c r="B35" s="17"/>
      <c r="D35" s="49" t="s">
        <v>23</v>
      </c>
      <c r="E35" s="72"/>
      <c r="F35" s="50">
        <f>(F30*F26*F32+F30*(1-F26)*F31)*F33*F34</f>
        <v>52160338366.330185</v>
      </c>
      <c r="G35" s="51">
        <v>0</v>
      </c>
      <c r="H35" s="39" t="s">
        <v>22</v>
      </c>
      <c r="K35" s="16"/>
      <c r="L35" s="16"/>
      <c r="M35" s="16"/>
    </row>
    <row r="36" spans="1:13" s="11" customFormat="1">
      <c r="A36" s="18"/>
      <c r="B36" s="17"/>
      <c r="D36" s="49" t="s">
        <v>21</v>
      </c>
      <c r="E36" s="72"/>
      <c r="F36" s="56">
        <f>31093764148.19+F35</f>
        <v>83254102514.520187</v>
      </c>
      <c r="G36" s="51">
        <v>0</v>
      </c>
      <c r="H36" s="39" t="s">
        <v>85</v>
      </c>
      <c r="K36" s="16"/>
      <c r="L36" s="16"/>
      <c r="M36" s="16"/>
    </row>
    <row r="37" spans="1:13" s="11" customFormat="1">
      <c r="A37" s="18"/>
      <c r="B37" s="17"/>
      <c r="D37" s="61" t="s">
        <v>20</v>
      </c>
      <c r="E37" s="75"/>
      <c r="F37" s="75"/>
      <c r="G37" s="76"/>
      <c r="H37" s="94"/>
      <c r="K37" s="16"/>
      <c r="L37" s="16"/>
      <c r="M37" s="16"/>
    </row>
    <row r="38" spans="1:13" s="11" customFormat="1" ht="17">
      <c r="A38" s="18"/>
      <c r="B38" s="17"/>
      <c r="D38" s="77" t="s">
        <v>19</v>
      </c>
      <c r="E38" s="78"/>
      <c r="F38" s="50">
        <f>F11+F30*F26*F32+F30*(1-F26)*F31</f>
        <v>293779538189.51483</v>
      </c>
      <c r="G38" s="51">
        <f>G11+G30*G26*G32+G30*(1-G26)*G31</f>
        <v>82025000000</v>
      </c>
      <c r="H38" s="38"/>
      <c r="K38" s="16"/>
      <c r="L38" s="16"/>
      <c r="M38" s="16"/>
    </row>
    <row r="39" spans="1:13" s="11" customFormat="1" ht="17">
      <c r="A39" s="18" t="s">
        <v>18</v>
      </c>
      <c r="B39" s="17"/>
      <c r="D39" s="77" t="s">
        <v>17</v>
      </c>
      <c r="E39" s="78"/>
      <c r="F39" s="52">
        <f>F11/(F30*F26*F32+F30*(1-F26)*F31+F11)*F12+(F30*F26*F32+F30*(1-F26)*F31)/(F30*F26*F32+F30*(1-F26)*F31+F11)*80%</f>
        <v>0.55364179395873558</v>
      </c>
      <c r="G39" s="79">
        <f>G12</f>
        <v>0.25</v>
      </c>
      <c r="H39" s="38" t="s">
        <v>16</v>
      </c>
    </row>
    <row r="40" spans="1:13" s="11" customFormat="1" ht="19" customHeight="1">
      <c r="A40" s="18"/>
      <c r="B40" s="17"/>
      <c r="D40" s="77" t="s">
        <v>15</v>
      </c>
      <c r="E40" s="78"/>
      <c r="F40" s="100">
        <f>F11/(F30*F26*F32+F30*(1-F26)*F31+F11)*(F18+F19*F20)/F11+(F30*F26*F32+F30*(1-F26)*F31)/(F30*F26*F32+F30*(1-F26)*F31+F11)*F33</f>
        <v>0.29037564928190374</v>
      </c>
      <c r="G40" s="80">
        <f>G11/(G30*G26*G32+G30*(1-G26)*G31+G11)*(G18+G19*G20)/G11+(G30*G26*G32+G30*(1-G26)*G31)/(G30*G26*G32+G30*(1-G26)*G31+G11)*G33</f>
        <v>5.6204319681798974E-2</v>
      </c>
      <c r="H40" s="38"/>
    </row>
    <row r="41" spans="1:13" s="11" customFormat="1">
      <c r="A41" s="18" t="s">
        <v>14</v>
      </c>
      <c r="B41" s="17"/>
      <c r="D41" s="49" t="s">
        <v>13</v>
      </c>
      <c r="E41" s="72"/>
      <c r="F41" s="81">
        <v>8</v>
      </c>
      <c r="G41" s="82">
        <v>8</v>
      </c>
      <c r="H41" s="38" t="s">
        <v>87</v>
      </c>
    </row>
    <row r="42" spans="1:13" s="11" customFormat="1">
      <c r="A42" s="18"/>
      <c r="B42" s="17"/>
      <c r="D42" s="49" t="s">
        <v>12</v>
      </c>
      <c r="E42" s="72"/>
      <c r="F42" s="81">
        <v>14</v>
      </c>
      <c r="G42" s="83">
        <v>14</v>
      </c>
      <c r="H42" s="38" t="s">
        <v>11</v>
      </c>
    </row>
    <row r="43" spans="1:13" s="11" customFormat="1">
      <c r="A43" s="18"/>
      <c r="B43" s="17"/>
      <c r="D43" s="49" t="s">
        <v>10</v>
      </c>
      <c r="E43" s="50"/>
      <c r="F43" s="84">
        <f>F21*F41+(F30*F26*F32+F30*(1-F26)*F31)*F33*F42</f>
        <v>1274806790539.1475</v>
      </c>
      <c r="G43" s="51">
        <f>G21*G41+(G30*G26*G32+G30*(1-G26)*G31)*G33*G42</f>
        <v>119199118156.45573</v>
      </c>
      <c r="H43" s="38"/>
    </row>
    <row r="44" spans="1:13" s="11" customFormat="1">
      <c r="A44" s="18"/>
      <c r="B44" s="17"/>
      <c r="D44" s="49" t="s">
        <v>9</v>
      </c>
      <c r="E44" s="72"/>
      <c r="F44" s="50">
        <f>F43-F22+F36</f>
        <v>1352920893053.6677</v>
      </c>
      <c r="G44" s="51">
        <f>G43-G22+G36</f>
        <v>114059118156.45573</v>
      </c>
      <c r="H44" s="38"/>
    </row>
    <row r="45" spans="1:13" s="11" customFormat="1">
      <c r="A45" s="13"/>
      <c r="B45" s="13"/>
      <c r="D45" s="49" t="s">
        <v>8</v>
      </c>
      <c r="E45" s="72"/>
      <c r="F45" s="59">
        <v>70000000000</v>
      </c>
      <c r="G45" s="85">
        <v>70000000000</v>
      </c>
      <c r="H45" s="86"/>
    </row>
    <row r="46" spans="1:13" s="11" customFormat="1">
      <c r="A46" s="13"/>
      <c r="B46" s="13"/>
      <c r="D46" s="49" t="s">
        <v>7</v>
      </c>
      <c r="E46" s="72"/>
      <c r="F46" s="59">
        <v>20000000000</v>
      </c>
      <c r="G46" s="60">
        <v>10000000000</v>
      </c>
      <c r="H46" s="38"/>
    </row>
    <row r="47" spans="1:13" s="11" customFormat="1">
      <c r="A47" s="13"/>
      <c r="B47" s="13"/>
      <c r="D47" s="49" t="s">
        <v>92</v>
      </c>
      <c r="E47" s="50">
        <v>178190000</v>
      </c>
      <c r="F47" s="50">
        <f>F46/(F45/E47)+E47</f>
        <v>229101428.57142857</v>
      </c>
      <c r="G47" s="51">
        <f>G46/(G45/E47)+E47</f>
        <v>203645714.2857143</v>
      </c>
      <c r="H47" s="38" t="s">
        <v>94</v>
      </c>
    </row>
    <row r="48" spans="1:13" s="11" customFormat="1">
      <c r="A48" s="13"/>
      <c r="B48" s="13"/>
      <c r="D48" s="49" t="s">
        <v>91</v>
      </c>
      <c r="E48" s="99">
        <v>195</v>
      </c>
      <c r="F48" s="88">
        <f>F44/F47</f>
        <v>5905.3359094697134</v>
      </c>
      <c r="G48" s="89">
        <f>G44/G47</f>
        <v>560.0860227111441</v>
      </c>
      <c r="H48" s="87" t="s">
        <v>88</v>
      </c>
      <c r="M48" s="15"/>
    </row>
    <row r="49" spans="1:8" s="11" customFormat="1">
      <c r="A49" s="13"/>
      <c r="B49" s="13"/>
      <c r="D49" s="91" t="s">
        <v>6</v>
      </c>
      <c r="E49" s="90"/>
      <c r="F49" s="92">
        <f>(F48/E48)^(1/5)-1</f>
        <v>0.97807156060602107</v>
      </c>
      <c r="G49" s="98">
        <f>(G48/E48)^(1/5)-1</f>
        <v>0.23493478753513375</v>
      </c>
      <c r="H49" s="38"/>
    </row>
    <row r="50" spans="1:8" s="11" customFormat="1">
      <c r="A50" s="13"/>
      <c r="B50" s="13"/>
      <c r="H50" s="12"/>
    </row>
    <row r="51" spans="1:8" s="11" customFormat="1">
      <c r="A51" s="13"/>
      <c r="B51" s="13"/>
      <c r="H51" s="12"/>
    </row>
    <row r="52" spans="1:8" s="11" customFormat="1">
      <c r="A52" s="13"/>
      <c r="B52" s="13"/>
      <c r="H52" s="12"/>
    </row>
    <row r="53" spans="1:8" s="11" customFormat="1">
      <c r="A53" s="13"/>
      <c r="B53" s="13"/>
      <c r="H53" s="12"/>
    </row>
    <row r="54" spans="1:8" s="11" customFormat="1">
      <c r="A54" s="13"/>
      <c r="B54" s="13"/>
    </row>
    <row r="55" spans="1:8" s="11" customFormat="1">
      <c r="A55" s="13"/>
      <c r="B55" s="13"/>
      <c r="H55" s="12"/>
    </row>
    <row r="56" spans="1:8" s="11" customFormat="1" ht="18">
      <c r="A56" s="13"/>
      <c r="B56" s="13"/>
      <c r="D56" s="8"/>
      <c r="E56" s="14"/>
      <c r="F56" s="8"/>
      <c r="G56" s="8"/>
      <c r="H56" s="12"/>
    </row>
    <row r="57" spans="1:8" s="11" customFormat="1">
      <c r="A57" s="13"/>
      <c r="B57" s="13"/>
      <c r="D57" s="8"/>
      <c r="E57" s="8"/>
      <c r="F57" s="8"/>
      <c r="G57" s="8"/>
      <c r="H57" s="12"/>
    </row>
    <row r="58" spans="1:8" s="11" customFormat="1">
      <c r="A58" s="13"/>
      <c r="B58" s="13"/>
      <c r="D58" s="8"/>
      <c r="E58" s="8"/>
      <c r="F58" s="8"/>
      <c r="G58" s="8"/>
      <c r="H58" s="12"/>
    </row>
    <row r="59" spans="1:8" s="11" customFormat="1">
      <c r="A59" s="13"/>
      <c r="B59" s="13"/>
      <c r="D59" s="8"/>
      <c r="E59" s="8"/>
      <c r="F59" s="8"/>
      <c r="G59" s="8"/>
      <c r="H59" s="12"/>
    </row>
    <row r="60" spans="1:8" s="11" customFormat="1">
      <c r="A60" s="13"/>
      <c r="B60" s="13"/>
      <c r="D60" s="8"/>
      <c r="E60" s="8"/>
      <c r="F60" s="8"/>
      <c r="G60" s="8"/>
      <c r="H60" s="12"/>
    </row>
    <row r="61" spans="1:8" s="11" customFormat="1">
      <c r="A61" s="13"/>
      <c r="B61" s="13"/>
      <c r="D61" s="8"/>
      <c r="E61" s="8"/>
      <c r="F61" s="8"/>
      <c r="G61" s="8"/>
      <c r="H61" s="12"/>
    </row>
    <row r="62" spans="1:8" s="11" customFormat="1">
      <c r="A62" s="13"/>
      <c r="B62" s="13"/>
      <c r="D62" s="8"/>
      <c r="E62" s="8"/>
      <c r="F62" s="8"/>
      <c r="G62" s="8"/>
      <c r="H62" s="12"/>
    </row>
    <row r="63" spans="1:8" s="11" customFormat="1">
      <c r="A63" s="13"/>
      <c r="B63" s="13"/>
      <c r="D63" s="8"/>
      <c r="E63" s="8"/>
      <c r="F63" s="8"/>
      <c r="G63" s="8"/>
      <c r="H63" s="12"/>
    </row>
    <row r="64" spans="1:8" s="11" customFormat="1">
      <c r="A64" s="13"/>
      <c r="B64" s="13"/>
      <c r="D64" s="8"/>
      <c r="E64" s="8"/>
      <c r="F64" s="8"/>
      <c r="G64" s="8"/>
      <c r="H64" s="12"/>
    </row>
    <row r="65" spans="1:8" s="11" customFormat="1">
      <c r="A65" s="13"/>
      <c r="B65" s="13"/>
      <c r="D65" s="8"/>
      <c r="E65" s="8"/>
      <c r="F65" s="8"/>
      <c r="G65" s="8"/>
      <c r="H65" s="12"/>
    </row>
    <row r="66" spans="1:8" s="11" customFormat="1">
      <c r="A66" s="13"/>
      <c r="B66" s="13"/>
      <c r="D66" s="8"/>
      <c r="E66" s="8"/>
      <c r="F66" s="8"/>
      <c r="G66" s="8"/>
      <c r="H66" s="12"/>
    </row>
    <row r="67" spans="1:8" s="11" customFormat="1">
      <c r="A67" s="13"/>
      <c r="B67" s="13"/>
      <c r="D67" s="8"/>
      <c r="E67" s="8"/>
      <c r="F67" s="8"/>
      <c r="G67" s="8"/>
      <c r="H67" s="12"/>
    </row>
    <row r="68" spans="1:8" s="11" customFormat="1">
      <c r="A68" s="13"/>
      <c r="B68" s="13"/>
      <c r="D68" s="8"/>
      <c r="E68" s="8"/>
      <c r="F68" s="8"/>
      <c r="G68" s="8"/>
      <c r="H68" s="12"/>
    </row>
    <row r="71" spans="1:8">
      <c r="A71" s="8"/>
      <c r="B71" s="8"/>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ARK Disclosure </vt:lpstr>
      <vt:lpstr>Tesla Model</vt:lpstr>
    </vt:vector>
  </TitlesOfParts>
  <Company>Ark-Invest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Benkert</dc:creator>
  <cp:lastModifiedBy>Microsoft Office User</cp:lastModifiedBy>
  <cp:lastPrinted>2017-09-27T13:36:41Z</cp:lastPrinted>
  <dcterms:created xsi:type="dcterms:W3CDTF">2017-09-26T14:14:52Z</dcterms:created>
  <dcterms:modified xsi:type="dcterms:W3CDTF">2019-05-23T18:49:40Z</dcterms:modified>
</cp:coreProperties>
</file>