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showInkAnnotation="0" hidePivotFieldList="1" autoCompressPictures="0"/>
  <mc:AlternateContent xmlns:mc="http://schemas.openxmlformats.org/markup-compatibility/2006">
    <mc:Choice Requires="x15">
      <x15ac:absPath xmlns:x15ac="http://schemas.microsoft.com/office/spreadsheetml/2010/11/ac" url="/Users/anastasiakeeney/Desktop/"/>
    </mc:Choice>
  </mc:AlternateContent>
  <xr:revisionPtr revIDLastSave="0" documentId="13_ncr:1_{1AC6D8BB-13C5-E445-A648-A9ED62C3AA9C}" xr6:coauthVersionLast="43" xr6:coauthVersionMax="43" xr10:uidLastSave="{00000000-0000-0000-0000-000000000000}"/>
  <bookViews>
    <workbookView xWindow="980" yWindow="860" windowWidth="26660" windowHeight="16100" tabRatio="500" activeTab="1" xr2:uid="{00000000-000D-0000-FFFF-FFFF00000000}"/>
  </bookViews>
  <sheets>
    <sheet name="ARK Disclosure " sheetId="3" r:id="rId1"/>
    <sheet name="Tesla Model" sheetId="11" r:id="rId2"/>
  </sheets>
  <externalReferences>
    <externalReference r:id="rId3"/>
  </externalReferences>
  <definedNames>
    <definedName name="Penetration">OFFSET([1]S_Curve!$B$11,0,0,COUNTA([1]S_Curve!$B$11:$B$110),1)</definedName>
    <definedName name="Saturation">OFFSET([1]S_Curve!$C$11,0,0,COUNTA([1]S_Curve!$C$11:$C$110),1)</definedName>
    <definedName name="Year">OFFSET([1]S_Curve!$A$11,0,0,COUNTA([1]S_Curve!$A$11:$A$110),1)</definedName>
  </definedNames>
  <calcPr calcId="191029" calcMode="autoNoTable"/>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7" i="11" l="1"/>
  <c r="G11" i="11"/>
  <c r="F11" i="11"/>
  <c r="F13" i="11" l="1"/>
  <c r="G13" i="11"/>
  <c r="G14" i="11"/>
  <c r="G16" i="11"/>
  <c r="F30" i="11"/>
  <c r="G38" i="11"/>
  <c r="G39" i="11"/>
  <c r="G40" i="11"/>
  <c r="F47" i="11"/>
  <c r="F35" i="11" l="1"/>
  <c r="F36" i="11" s="1"/>
  <c r="G18" i="11"/>
  <c r="G21" i="11" s="1"/>
  <c r="G43" i="11" s="1"/>
  <c r="G44" i="11" s="1"/>
  <c r="G48" i="11" s="1"/>
  <c r="G49" i="11" s="1"/>
  <c r="F14" i="11"/>
  <c r="F39" i="11"/>
  <c r="F16" i="11"/>
  <c r="F38" i="11"/>
  <c r="F18" i="11" l="1"/>
  <c r="F40" i="11" s="1"/>
  <c r="F21" i="11" l="1"/>
  <c r="F43" i="11" l="1"/>
  <c r="F44" i="11" s="1"/>
  <c r="F48" i="11" s="1"/>
  <c r="F49" i="11" s="1"/>
</calcChain>
</file>

<file path=xl/sharedStrings.xml><?xml version="1.0" encoding="utf-8"?>
<sst xmlns="http://schemas.openxmlformats.org/spreadsheetml/2006/main" count="110" uniqueCount="96">
  <si>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</si>
  <si>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</si>
  <si>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This work is licensed under a Creative Commons Attribution-NonCommercial 4.0 International License.</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</si>
  <si>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</si>
  <si>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</si>
  <si>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</si>
  <si>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CAGR </t>
  </si>
  <si>
    <t>Equity Raise</t>
  </si>
  <si>
    <t>Weighted average market Cap at which equity raised</t>
  </si>
  <si>
    <t>Market Cap</t>
  </si>
  <si>
    <t>Enterprise Value</t>
  </si>
  <si>
    <t>Average internet software company has multiple of 19</t>
  </si>
  <si>
    <t>EV/EBITDAR&amp;D for MaaS</t>
  </si>
  <si>
    <t>EV/EBITDAR&amp;D for Auto</t>
  </si>
  <si>
    <t>https://ycharts.com/companies/TSLA/shares_outstanding</t>
  </si>
  <si>
    <t>Total EBITDA Margin</t>
  </si>
  <si>
    <t>Assumes gross margin on autonomous business is 80%</t>
  </si>
  <si>
    <t>Total Gross Margin</t>
  </si>
  <si>
    <t>Elon Musk says the model can support without a capital raise but will get tight, so if they have some equity appreciation assume will raise risk capital.</t>
  </si>
  <si>
    <t>Total Revenue</t>
  </si>
  <si>
    <t>Tesla Consolidated</t>
  </si>
  <si>
    <t>Cumulative Cash from 2021 launch</t>
  </si>
  <si>
    <t>([gross billings] x [% ex china] x [ex china platform fee] + [gross billings] x [% china] x [china platform fee]) x [EBITDA margin] x [FCF to EBITDA]</t>
  </si>
  <si>
    <t>Cash from autonomous</t>
  </si>
  <si>
    <t>FCF/EBITDA</t>
  </si>
  <si>
    <t>Vehicle owner is responsible for operating costs of the vehicle. Implies opex of $0.15 per mile ~= Lyft opex ex insurance.</t>
  </si>
  <si>
    <t>EBITDA/net Sales</t>
  </si>
  <si>
    <t>Assumes that Chinese partners capture some of the China monetization</t>
  </si>
  <si>
    <t>Platform cut in China</t>
  </si>
  <si>
    <t>Lyft is at 27%</t>
  </si>
  <si>
    <t>Platform cut</t>
  </si>
  <si>
    <t>North America + Europe is more than 20% of ex china</t>
  </si>
  <si>
    <t>[fully autonomous fleet] x [miles per year] x [% Teslas on platform] x [price per mile]</t>
  </si>
  <si>
    <t>Gross Autonomous Billings</t>
  </si>
  <si>
    <t>Price per mile ($/mile)</t>
  </si>
  <si>
    <t>assumption. Multiple for an OEM today is 0.5. We assume the market for Evs will be more concentrated. Amazon P/S is 3.4 as of June 2017</t>
  </si>
  <si>
    <t>Would be very financially compelling to put your car on platform (or sell it to someone who is going to)</t>
  </si>
  <si>
    <t>% of Teslas on platform</t>
  </si>
  <si>
    <t>500k by 2020 is the stated goal</t>
  </si>
  <si>
    <t>This is assuming a 53% utilization rate traveling 25mph</t>
  </si>
  <si>
    <t>Miles per Taxi (not in millions)</t>
  </si>
  <si>
    <t>Assuming that China is roughly 10% of sales in 2019 and scaling to 30% of sales by 2023</t>
  </si>
  <si>
    <t>% of fleet in China</t>
  </si>
  <si>
    <t>Fully Autonomous Fleet (not in millions)</t>
  </si>
  <si>
    <t>assumption based on current share today</t>
  </si>
  <si>
    <t>Taxis</t>
  </si>
  <si>
    <t>Autonomous Mobility as a Service Business</t>
  </si>
  <si>
    <t>Long-term debt obligations after 2023</t>
  </si>
  <si>
    <t>Total long term debt</t>
  </si>
  <si>
    <t>Notes</t>
  </si>
  <si>
    <t>Assuming 5 year average Depreciation/PPE</t>
  </si>
  <si>
    <t>EBITDA R&amp;D</t>
  </si>
  <si>
    <t>Depreciation/PP&amp;E</t>
  </si>
  <si>
    <t>Gross property, plant and equipment</t>
  </si>
  <si>
    <t>[gross profit]-[SG&amp;A]-[R&amp;D]</t>
  </si>
  <si>
    <t>EBIT</t>
  </si>
  <si>
    <t>Average of past 5 years</t>
  </si>
  <si>
    <t>R&amp;D/Sales</t>
  </si>
  <si>
    <t>From Autonomous Truck Model</t>
  </si>
  <si>
    <t>[sales]*[R&amp;D to sales margin]</t>
  </si>
  <si>
    <t>R&amp;D</t>
  </si>
  <si>
    <t>risk adjusted is 2x takeover time, 3 years later</t>
  </si>
  <si>
    <t>Comparable to other premium auto companies</t>
  </si>
  <si>
    <t>SG&amp;A/Sales</t>
  </si>
  <si>
    <t>[sales]*[SG&amp;A to sales margin]</t>
  </si>
  <si>
    <t>SG&amp;A</t>
  </si>
  <si>
    <t>[sales]*[gross profit margin]</t>
  </si>
  <si>
    <t>Gross Profit</t>
  </si>
  <si>
    <t>From Autonomous Master Model</t>
  </si>
  <si>
    <t>Tesla is guiding to an auto gross margin of 25%. Long term it should be able to achieve higher margins as traditional premium auto companies have ~20% margin, and car dealerships have ~15% margins. Tesla's direct sales model and service structure should be net positive for margins.</t>
  </si>
  <si>
    <t>Gross Margin</t>
  </si>
  <si>
    <t>Assuming ASP of $48,250</t>
  </si>
  <si>
    <t>Revenue</t>
  </si>
  <si>
    <t>ARK expects 26.4 million EVs to be sold in 2023. In 2018 Tesla had 17% of the BEV market, 3 million vehicles in 2023 would shrink its market share to 11%, 1.7 million would be 6%</t>
  </si>
  <si>
    <t>Cars Sold (units, not in millions)</t>
  </si>
  <si>
    <t>Electric Vehicle Business</t>
  </si>
  <si>
    <t>From Autonomous and Electric Market Cap Analysis file</t>
  </si>
  <si>
    <t>2023 Bear</t>
  </si>
  <si>
    <t>2023 Bull</t>
  </si>
  <si>
    <t>Sources</t>
  </si>
  <si>
    <t>Excerpt from ARK's Tesla Valuation Model</t>
  </si>
  <si>
    <t>Key:</t>
  </si>
  <si>
    <t xml:space="preserve">   Blue text indicates assumptions that can be altered</t>
  </si>
  <si>
    <t xml:space="preserve">   Black text indicates cells with formulas</t>
  </si>
  <si>
    <t>ASP (not in millions)</t>
  </si>
  <si>
    <t>~50,000</t>
  </si>
  <si>
    <t>This is cumulative over 3 years and can be changed manually if needed using the logic from above for prior years</t>
  </si>
  <si>
    <t>GM produces ~8mm vehicles on 60bln PP&amp;E: 7.5k per vehicle. Ford 6mm vehicles on 35bln: 6k per vehicle. Bear case Tesla: 10k per vehicle, bull case 6k per vehicle</t>
  </si>
  <si>
    <t>Average auto company has multiple of 7.3</t>
  </si>
  <si>
    <t>Today's share price as of 5/22/2019</t>
  </si>
  <si>
    <t>Everything is formatted in millions unless otherwise specified and for per share amounts</t>
  </si>
  <si>
    <t>Rounded to the nearest 100,000. This is the install base of Teslas that are autonomous capable in 2023.</t>
  </si>
  <si>
    <t>Stock Price</t>
  </si>
  <si>
    <t>Shares Outstanding</t>
  </si>
  <si>
    <t>If Tesla is first to market it could price equivalent to Uber and Lyft in the first year of service at roughly $2.50/mile, and as competition increased bring down prices to $1/mile</t>
  </si>
  <si>
    <t>Shares outstanding as of 5/22/19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</si>
</sst>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_-&quot;$&quot;* #,##0.00_-;\-&quot;$&quot;* #,##0.00_-;_-&quot;$&quot;* &quot;-&quot;??_-;_-@_-"/>
    <numFmt numFmtId="167" formatCode="&quot;$&quot;#,##0.00"/>
    <numFmt numFmtId="168" formatCode="_-* #,##0_-;\-* #,##0_-;_-* &quot;-&quot;??_-;_-@_-"/>
  </numFmts>
  <fonts count="34" x14ac:knownFonts="1">
    <font>
      <sz val="12"/>
      <color theme="1"/>
      <name val="Calibri"/>
      <family val="2"/>
      <charset val="134"/>
      <scheme val="minor"/>
    </font>
    <font>
      <sz val="12"/>
      <color theme="1"/>
      <name val="Calibri"/>
      <family val="2"/>
      <scheme val="minor"/>
    </font>
    <font>
      <b/>
      <sz val="11"/>
      <color rgb="FF000000"/>
      <name val="Calibri"/>
      <family val="2"/>
    </font>
    <font>
      <sz val="11"/>
      <color rgb="FF000000"/>
      <name val="Calibri"/>
      <family val="2"/>
    </font>
    <font>
      <u/>
      <sz val="12"/>
      <color theme="10"/>
      <name val="Calibri"/>
      <family val="2"/>
      <scheme val="minor"/>
    </font>
    <font>
      <u/>
      <sz val="10"/>
      <color theme="10"/>
      <name val="Calibri"/>
      <family val="2"/>
      <scheme val="minor"/>
    </font>
    <font>
      <b/>
      <sz val="11"/>
      <name val="Calibri"/>
      <family val="2"/>
    </font>
    <font>
      <b/>
      <u/>
      <sz val="11"/>
      <name val="Calibri"/>
      <family val="2"/>
    </font>
    <font>
      <u/>
      <sz val="12"/>
      <color theme="11"/>
      <name val="Calibri"/>
      <family val="2"/>
      <scheme val="minor"/>
    </font>
    <font>
      <b/>
      <sz val="10"/>
      <name val="Calibri"/>
      <family val="2"/>
      <scheme val="minor"/>
    </font>
    <font>
      <sz val="12"/>
      <color theme="1"/>
      <name val="Calibri"/>
      <family val="2"/>
      <charset val="134"/>
      <scheme val="minor"/>
    </font>
    <font>
      <sz val="12"/>
      <color indexed="8"/>
      <name val="Verdana"/>
      <family val="2"/>
    </font>
    <font>
      <sz val="12"/>
      <color theme="1" tint="0.499984740745262"/>
      <name val="Verdana"/>
      <family val="2"/>
    </font>
    <font>
      <b/>
      <sz val="14"/>
      <color indexed="8"/>
      <name val="Verdana"/>
      <family val="2"/>
    </font>
    <font>
      <sz val="10"/>
      <color indexed="8"/>
      <name val="Verdana"/>
      <family val="2"/>
    </font>
    <font>
      <sz val="10"/>
      <color theme="2" tint="-9.9978637043366805E-2"/>
      <name val="Verdana"/>
      <family val="2"/>
    </font>
    <font>
      <sz val="12"/>
      <color rgb="FF000000"/>
      <name val="Verdana"/>
      <family val="2"/>
    </font>
    <font>
      <b/>
      <sz val="12"/>
      <color theme="0"/>
      <name val="Verdana"/>
      <family val="2"/>
    </font>
    <font>
      <u/>
      <sz val="10"/>
      <color theme="2" tint="-9.9978637043366805E-2"/>
      <name val="Verdana"/>
      <family val="2"/>
    </font>
    <font>
      <b/>
      <sz val="12"/>
      <color rgb="FF000000"/>
      <name val="Calibri"/>
      <family val="2"/>
      <scheme val="minor"/>
    </font>
    <font>
      <sz val="12"/>
      <name val="Calibri"/>
      <family val="2"/>
      <scheme val="minor"/>
    </font>
    <font>
      <sz val="12"/>
      <color theme="3" tint="0.39997558519241921"/>
      <name val="Calibri"/>
      <family val="2"/>
      <scheme val="minor"/>
    </font>
    <font>
      <b/>
      <sz val="14"/>
      <color theme="0"/>
      <name val="Calibri"/>
      <family val="2"/>
    </font>
    <font>
      <sz val="12"/>
      <color indexed="8"/>
      <name val="Calibri"/>
      <family val="2"/>
    </font>
    <font>
      <sz val="12"/>
      <color theme="1" tint="0.499984740745262"/>
      <name val="Calibri"/>
      <family val="2"/>
    </font>
    <font>
      <sz val="12"/>
      <color theme="0" tint="-0.499984740745262"/>
      <name val="Calibri"/>
      <family val="2"/>
    </font>
    <font>
      <b/>
      <sz val="12"/>
      <color theme="0"/>
      <name val="Calibri"/>
      <family val="2"/>
    </font>
    <font>
      <b/>
      <u/>
      <sz val="12"/>
      <color theme="1" tint="0.499984740745262"/>
      <name val="Calibri"/>
      <family val="2"/>
    </font>
    <font>
      <b/>
      <sz val="12"/>
      <color theme="1"/>
      <name val="Calibri"/>
      <family val="2"/>
    </font>
    <font>
      <sz val="12"/>
      <color theme="0"/>
      <name val="Calibri"/>
      <family val="2"/>
    </font>
    <font>
      <sz val="12"/>
      <color theme="1"/>
      <name val="Calibri"/>
      <family val="2"/>
    </font>
    <font>
      <sz val="12"/>
      <color theme="3" tint="0.39997558519241921"/>
      <name val="Calibri"/>
      <family val="2"/>
    </font>
    <font>
      <b/>
      <sz val="12"/>
      <color indexed="8"/>
      <name val="Calibri"/>
      <family val="2"/>
    </font>
    <font>
      <sz val="12"/>
      <color theme="8"/>
      <name val="Calibri"/>
      <family val="2"/>
    </font>
  </fonts>
  <fills count="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s>
  <cellStyleXfs count="14">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applyNumberFormat="0" applyFill="0" applyBorder="0" applyProtection="0">
      <alignment vertical="top" wrapText="1"/>
    </xf>
    <xf numFmtId="9"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cellStyleXfs>
  <cellXfs count="102">
    <xf numFmtId="0" fontId="0" fillId="0" borderId="0" xfId="0"/>
    <xf numFmtId="0" fontId="5" fillId="0" borderId="0" xfId="1" applyFont="1" applyAlignment="1">
      <alignment vertical="center"/>
    </xf>
    <xf numFmtId="0" fontId="9" fillId="0" borderId="0" xfId="1" applyFont="1" applyAlignment="1">
      <alignment vertical="center"/>
    </xf>
    <xf numFmtId="0" fontId="1" fillId="0" borderId="0" xfId="5"/>
    <xf numFmtId="0" fontId="2" fillId="0" borderId="0" xfId="5" applyFont="1" applyAlignment="1">
      <alignment vertical="center" wrapText="1"/>
    </xf>
    <xf numFmtId="0" fontId="3" fillId="0" borderId="0" xfId="5" applyFont="1" applyAlignment="1">
      <alignment vertical="center" wrapText="1"/>
    </xf>
    <xf numFmtId="0" fontId="6" fillId="0" borderId="0" xfId="5" applyFont="1" applyAlignment="1">
      <alignment vertical="center" wrapText="1"/>
    </xf>
    <xf numFmtId="0" fontId="1" fillId="0" borderId="0" xfId="5" applyAlignment="1">
      <alignment vertical="center"/>
    </xf>
    <xf numFmtId="0" fontId="11" fillId="2" borderId="0" xfId="10" applyFont="1" applyFill="1" applyAlignment="1">
      <alignment vertical="top" wrapText="1"/>
    </xf>
    <xf numFmtId="0" fontId="12" fillId="2" borderId="0" xfId="10" applyFont="1" applyFill="1" applyAlignment="1">
      <alignment vertical="top"/>
    </xf>
    <xf numFmtId="0" fontId="11" fillId="2" borderId="0" xfId="10" applyFont="1" applyFill="1" applyAlignment="1">
      <alignment vertical="top"/>
    </xf>
    <xf numFmtId="0" fontId="11" fillId="2" borderId="0" xfId="10" applyFont="1" applyFill="1" applyAlignment="1">
      <alignment vertical="center" wrapText="1"/>
    </xf>
    <xf numFmtId="0" fontId="12" fillId="2" borderId="0" xfId="10" applyFont="1" applyFill="1" applyAlignment="1">
      <alignment vertical="center"/>
    </xf>
    <xf numFmtId="0" fontId="11" fillId="2" borderId="0" xfId="10" applyFont="1" applyFill="1" applyAlignment="1">
      <alignment vertical="center"/>
    </xf>
    <xf numFmtId="0" fontId="13" fillId="2" borderId="0" xfId="10" applyFont="1" applyFill="1" applyBorder="1" applyAlignment="1">
      <alignment vertical="top"/>
    </xf>
    <xf numFmtId="164" fontId="0" fillId="2" borderId="0" xfId="12" applyFont="1" applyFill="1" applyAlignment="1">
      <alignment vertical="center" wrapText="1"/>
    </xf>
    <xf numFmtId="0" fontId="11" fillId="2" borderId="0" xfId="10" applyFont="1" applyFill="1" applyBorder="1" applyAlignment="1">
      <alignment vertical="center" wrapText="1"/>
    </xf>
    <xf numFmtId="0" fontId="14" fillId="2" borderId="0" xfId="10" applyNumberFormat="1" applyFont="1" applyFill="1" applyAlignment="1">
      <alignment vertical="center"/>
    </xf>
    <xf numFmtId="0" fontId="15" fillId="2" borderId="0" xfId="10" applyNumberFormat="1" applyFont="1" applyFill="1" applyAlignment="1">
      <alignment vertical="center"/>
    </xf>
    <xf numFmtId="168" fontId="0" fillId="2" borderId="0" xfId="12" applyNumberFormat="1" applyFont="1" applyFill="1" applyBorder="1" applyAlignment="1">
      <alignment vertical="top"/>
    </xf>
    <xf numFmtId="43" fontId="11" fillId="2" borderId="0" xfId="10" applyNumberFormat="1" applyFont="1" applyFill="1" applyAlignment="1">
      <alignment vertical="center" wrapText="1"/>
    </xf>
    <xf numFmtId="43" fontId="16" fillId="5" borderId="0" xfId="10" applyNumberFormat="1" applyFont="1" applyFill="1" applyBorder="1" applyAlignment="1">
      <alignment vertical="top"/>
    </xf>
    <xf numFmtId="0" fontId="14" fillId="2" borderId="0" xfId="10" applyNumberFormat="1" applyFont="1" applyFill="1" applyAlignment="1">
      <alignment horizontal="center" vertical="center"/>
    </xf>
    <xf numFmtId="165" fontId="11" fillId="2" borderId="0" xfId="10" applyNumberFormat="1" applyFont="1" applyFill="1" applyBorder="1" applyAlignment="1">
      <alignment vertical="center" wrapText="1"/>
    </xf>
    <xf numFmtId="0" fontId="15" fillId="2" borderId="0" xfId="10" applyNumberFormat="1" applyFont="1" applyFill="1" applyBorder="1" applyAlignment="1">
      <alignment vertical="center"/>
    </xf>
    <xf numFmtId="164" fontId="0" fillId="2" borderId="0" xfId="12" applyFont="1" applyFill="1" applyBorder="1" applyAlignment="1">
      <alignment vertical="center" wrapText="1"/>
    </xf>
    <xf numFmtId="0" fontId="18" fillId="2" borderId="0" xfId="10" applyNumberFormat="1" applyFont="1" applyFill="1" applyAlignment="1">
      <alignment vertical="center"/>
    </xf>
    <xf numFmtId="0" fontId="17" fillId="7" borderId="0" xfId="10" applyFont="1" applyFill="1" applyAlignment="1">
      <alignment vertical="center"/>
    </xf>
    <xf numFmtId="0" fontId="20" fillId="5" borderId="0" xfId="0" applyFont="1" applyFill="1" applyBorder="1" applyAlignment="1">
      <alignment horizontal="left"/>
    </xf>
    <xf numFmtId="0" fontId="19" fillId="5" borderId="7" xfId="0" applyFont="1" applyFill="1" applyBorder="1" applyAlignment="1">
      <alignment horizontal="left"/>
    </xf>
    <xf numFmtId="0" fontId="11" fillId="2" borderId="5" xfId="10" applyFont="1" applyFill="1" applyBorder="1" applyAlignment="1">
      <alignment vertical="top" wrapText="1"/>
    </xf>
    <xf numFmtId="0" fontId="11" fillId="2" borderId="3" xfId="10" applyFont="1" applyFill="1" applyBorder="1" applyAlignment="1">
      <alignment vertical="top" wrapText="1"/>
    </xf>
    <xf numFmtId="0" fontId="20" fillId="5" borderId="2" xfId="0" applyFont="1" applyFill="1" applyBorder="1" applyAlignment="1">
      <alignment horizontal="left"/>
    </xf>
    <xf numFmtId="0" fontId="11" fillId="2" borderId="9" xfId="10" applyFont="1" applyFill="1" applyBorder="1" applyAlignment="1">
      <alignment vertical="top" wrapText="1"/>
    </xf>
    <xf numFmtId="0" fontId="21" fillId="5" borderId="4" xfId="0" applyFont="1" applyFill="1" applyBorder="1" applyAlignment="1">
      <alignment horizontal="left"/>
    </xf>
    <xf numFmtId="0" fontId="22" fillId="7" borderId="0" xfId="10" applyFont="1" applyFill="1" applyAlignment="1">
      <alignment vertical="center"/>
    </xf>
    <xf numFmtId="0" fontId="23" fillId="7" borderId="0" xfId="10" applyFont="1" applyFill="1" applyAlignment="1">
      <alignment vertical="center" wrapText="1"/>
    </xf>
    <xf numFmtId="0" fontId="23" fillId="2" borderId="0" xfId="10" applyFont="1" applyFill="1" applyAlignment="1">
      <alignment vertical="center" wrapText="1"/>
    </xf>
    <xf numFmtId="0" fontId="24" fillId="2" borderId="0" xfId="10" applyFont="1" applyFill="1" applyAlignment="1">
      <alignment vertical="center"/>
    </xf>
    <xf numFmtId="0" fontId="25" fillId="2" borderId="0" xfId="10" applyFont="1" applyFill="1" applyAlignment="1">
      <alignment vertical="center"/>
    </xf>
    <xf numFmtId="0" fontId="23" fillId="2" borderId="0" xfId="10" applyFont="1" applyFill="1" applyAlignment="1">
      <alignment vertical="center"/>
    </xf>
    <xf numFmtId="0" fontId="26" fillId="8" borderId="8" xfId="10" applyFont="1" applyFill="1" applyBorder="1" applyAlignment="1">
      <alignment vertical="center"/>
    </xf>
    <xf numFmtId="0" fontId="26" fillId="8" borderId="8" xfId="10" applyFont="1" applyFill="1" applyBorder="1" applyAlignment="1">
      <alignment horizontal="right" vertical="center"/>
    </xf>
    <xf numFmtId="0" fontId="27" fillId="2" borderId="0" xfId="10" applyFont="1" applyFill="1" applyAlignment="1">
      <alignment vertical="center"/>
    </xf>
    <xf numFmtId="0" fontId="28" fillId="4" borderId="7" xfId="10" applyFont="1" applyFill="1" applyBorder="1" applyAlignment="1">
      <alignment vertical="center"/>
    </xf>
    <xf numFmtId="0" fontId="29" fillId="4" borderId="6" xfId="10" applyFont="1" applyFill="1" applyBorder="1" applyAlignment="1">
      <alignment vertical="center"/>
    </xf>
    <xf numFmtId="0" fontId="23" fillId="4" borderId="6" xfId="10" applyFont="1" applyFill="1" applyBorder="1" applyAlignment="1">
      <alignment vertical="center" wrapText="1"/>
    </xf>
    <xf numFmtId="0" fontId="29" fillId="4" borderId="5" xfId="10" applyFont="1" applyFill="1" applyBorder="1" applyAlignment="1">
      <alignment vertical="center"/>
    </xf>
    <xf numFmtId="0" fontId="30" fillId="2" borderId="4" xfId="10" applyFont="1" applyFill="1" applyBorder="1" applyAlignment="1">
      <alignment vertical="center"/>
    </xf>
    <xf numFmtId="168" fontId="23" fillId="2" borderId="0" xfId="10" applyNumberFormat="1" applyFont="1" applyFill="1" applyBorder="1" applyAlignment="1">
      <alignment vertical="center" wrapText="1"/>
    </xf>
    <xf numFmtId="0" fontId="23" fillId="2" borderId="4" xfId="10" applyFont="1" applyFill="1" applyBorder="1" applyAlignment="1">
      <alignment vertical="center"/>
    </xf>
    <xf numFmtId="165" fontId="30" fillId="2" borderId="0" xfId="12" applyNumberFormat="1" applyFont="1" applyFill="1" applyBorder="1" applyAlignment="1">
      <alignment vertical="center"/>
    </xf>
    <xf numFmtId="165" fontId="30" fillId="2" borderId="3" xfId="12" applyNumberFormat="1" applyFont="1" applyFill="1" applyBorder="1" applyAlignment="1">
      <alignment vertical="center"/>
    </xf>
    <xf numFmtId="9" fontId="30" fillId="2" borderId="0" xfId="11" applyFont="1" applyFill="1" applyBorder="1" applyAlignment="1">
      <alignment vertical="center"/>
    </xf>
    <xf numFmtId="9" fontId="31" fillId="2" borderId="0" xfId="11" applyFont="1" applyFill="1" applyBorder="1" applyAlignment="1">
      <alignment vertical="center"/>
    </xf>
    <xf numFmtId="9" fontId="31" fillId="2" borderId="3" xfId="11" applyFont="1" applyFill="1" applyBorder="1" applyAlignment="1">
      <alignment vertical="center"/>
    </xf>
    <xf numFmtId="0" fontId="23" fillId="2" borderId="4" xfId="10" applyFont="1" applyFill="1" applyBorder="1" applyAlignment="1"/>
    <xf numFmtId="165" fontId="31" fillId="0" borderId="0" xfId="12" applyNumberFormat="1" applyFont="1" applyFill="1" applyBorder="1" applyAlignment="1">
      <alignment vertical="center"/>
    </xf>
    <xf numFmtId="165" fontId="31" fillId="0" borderId="3" xfId="12" applyNumberFormat="1" applyFont="1" applyFill="1" applyBorder="1" applyAlignment="1">
      <alignment vertical="center"/>
    </xf>
    <xf numFmtId="0" fontId="24" fillId="0" borderId="0" xfId="10" applyFont="1" applyFill="1" applyAlignment="1">
      <alignment vertical="center"/>
    </xf>
    <xf numFmtId="165" fontId="31" fillId="2" borderId="0" xfId="12" applyNumberFormat="1" applyFont="1" applyFill="1" applyBorder="1" applyAlignment="1">
      <alignment vertical="center"/>
    </xf>
    <xf numFmtId="165" fontId="31" fillId="2" borderId="3" xfId="12" applyNumberFormat="1" applyFont="1" applyFill="1" applyBorder="1" applyAlignment="1">
      <alignment vertical="center"/>
    </xf>
    <xf numFmtId="0" fontId="32" fillId="4" borderId="4" xfId="10" applyFont="1" applyFill="1" applyBorder="1" applyAlignment="1">
      <alignment vertical="center"/>
    </xf>
    <xf numFmtId="168" fontId="23" fillId="4" borderId="0" xfId="10" applyNumberFormat="1" applyFont="1" applyFill="1" applyBorder="1" applyAlignment="1">
      <alignment vertical="center"/>
    </xf>
    <xf numFmtId="165" fontId="32" fillId="4" borderId="0" xfId="12" applyNumberFormat="1" applyFont="1" applyFill="1" applyBorder="1" applyAlignment="1">
      <alignment horizontal="right" vertical="center"/>
    </xf>
    <xf numFmtId="0" fontId="32" fillId="4" borderId="3" xfId="10" applyFont="1" applyFill="1" applyBorder="1" applyAlignment="1">
      <alignment horizontal="right" vertical="center" wrapText="1"/>
    </xf>
    <xf numFmtId="0" fontId="32" fillId="6" borderId="4" xfId="10" applyFont="1" applyFill="1" applyBorder="1" applyAlignment="1">
      <alignment vertical="center"/>
    </xf>
    <xf numFmtId="168" fontId="23" fillId="6" borderId="0" xfId="10" applyNumberFormat="1" applyFont="1" applyFill="1" applyBorder="1" applyAlignment="1">
      <alignment vertical="center"/>
    </xf>
    <xf numFmtId="165" fontId="30" fillId="6" borderId="0" xfId="12" applyNumberFormat="1" applyFont="1" applyFill="1" applyBorder="1" applyAlignment="1">
      <alignment vertical="center"/>
    </xf>
    <xf numFmtId="0" fontId="23" fillId="6" borderId="3" xfId="10" applyFont="1" applyFill="1" applyBorder="1" applyAlignment="1">
      <alignment vertical="center" wrapText="1"/>
    </xf>
    <xf numFmtId="168" fontId="30" fillId="2" borderId="0" xfId="12" applyNumberFormat="1" applyFont="1" applyFill="1" applyBorder="1" applyAlignment="1">
      <alignment vertical="center"/>
    </xf>
    <xf numFmtId="3" fontId="31" fillId="2" borderId="0" xfId="12" applyNumberFormat="1" applyFont="1" applyFill="1" applyBorder="1" applyAlignment="1">
      <alignment vertical="center"/>
    </xf>
    <xf numFmtId="3" fontId="31" fillId="2" borderId="0" xfId="10" applyNumberFormat="1" applyFont="1" applyFill="1" applyBorder="1" applyAlignment="1">
      <alignment vertical="center"/>
    </xf>
    <xf numFmtId="0" fontId="23" fillId="2" borderId="0" xfId="10" applyFont="1" applyFill="1" applyBorder="1" applyAlignment="1">
      <alignment vertical="center"/>
    </xf>
    <xf numFmtId="167" fontId="31" fillId="2" borderId="0" xfId="13" applyNumberFormat="1" applyFont="1" applyFill="1" applyBorder="1" applyAlignment="1">
      <alignment vertical="center"/>
    </xf>
    <xf numFmtId="9" fontId="31" fillId="5" borderId="0" xfId="10" applyNumberFormat="1" applyFont="1" applyFill="1" applyBorder="1" applyAlignment="1">
      <alignment vertical="center"/>
    </xf>
    <xf numFmtId="0" fontId="23" fillId="4" borderId="0" xfId="10" applyFont="1" applyFill="1" applyBorder="1" applyAlignment="1">
      <alignment vertical="center"/>
    </xf>
    <xf numFmtId="0" fontId="23" fillId="4" borderId="3" xfId="10" applyFont="1" applyFill="1" applyBorder="1" applyAlignment="1">
      <alignment vertical="center" wrapText="1"/>
    </xf>
    <xf numFmtId="0" fontId="23" fillId="2" borderId="4" xfId="10" applyFont="1" applyFill="1" applyBorder="1" applyAlignment="1">
      <alignment vertical="center" wrapText="1"/>
    </xf>
    <xf numFmtId="0" fontId="23" fillId="2" borderId="0" xfId="10" applyFont="1" applyFill="1" applyBorder="1" applyAlignment="1">
      <alignment vertical="center" wrapText="1"/>
    </xf>
    <xf numFmtId="9" fontId="30" fillId="2" borderId="3" xfId="11" applyFont="1" applyFill="1" applyBorder="1" applyAlignment="1">
      <alignment vertical="center"/>
    </xf>
    <xf numFmtId="9" fontId="30" fillId="0" borderId="0" xfId="11" applyFont="1" applyFill="1" applyBorder="1" applyAlignment="1">
      <alignment vertical="center" wrapText="1"/>
    </xf>
    <xf numFmtId="9" fontId="30" fillId="2" borderId="3" xfId="11" applyFont="1" applyFill="1" applyBorder="1" applyAlignment="1">
      <alignment vertical="center" wrapText="1"/>
    </xf>
    <xf numFmtId="0" fontId="31" fillId="2" borderId="0" xfId="10" applyFont="1" applyFill="1" applyBorder="1" applyAlignment="1">
      <alignment vertical="center"/>
    </xf>
    <xf numFmtId="0" fontId="31" fillId="2" borderId="3" xfId="10" applyFont="1" applyFill="1" applyBorder="1" applyAlignment="1">
      <alignment vertical="center" wrapText="1"/>
    </xf>
    <xf numFmtId="0" fontId="31" fillId="0" borderId="3" xfId="10" applyFont="1" applyFill="1" applyBorder="1" applyAlignment="1">
      <alignment vertical="center" wrapText="1"/>
    </xf>
    <xf numFmtId="165" fontId="30" fillId="0" borderId="0" xfId="12" applyNumberFormat="1" applyFont="1" applyFill="1" applyBorder="1" applyAlignment="1">
      <alignment vertical="center"/>
    </xf>
    <xf numFmtId="165" fontId="31" fillId="2" borderId="3" xfId="10" applyNumberFormat="1" applyFont="1" applyFill="1" applyBorder="1" applyAlignment="1">
      <alignment vertical="center" wrapText="1"/>
    </xf>
    <xf numFmtId="0" fontId="33" fillId="2" borderId="0" xfId="10" applyFont="1" applyFill="1" applyAlignment="1">
      <alignment vertical="center"/>
    </xf>
    <xf numFmtId="14" fontId="24" fillId="2" borderId="0" xfId="10" applyNumberFormat="1" applyFont="1" applyFill="1" applyAlignment="1">
      <alignment vertical="center"/>
    </xf>
    <xf numFmtId="3" fontId="23" fillId="2" borderId="0" xfId="10" applyNumberFormat="1" applyFont="1" applyFill="1" applyBorder="1" applyAlignment="1">
      <alignment vertical="center" wrapText="1"/>
    </xf>
    <xf numFmtId="3" fontId="23" fillId="2" borderId="3" xfId="10" applyNumberFormat="1" applyFont="1" applyFill="1" applyBorder="1" applyAlignment="1">
      <alignment vertical="center" wrapText="1"/>
    </xf>
    <xf numFmtId="0" fontId="23" fillId="3" borderId="1" xfId="10" applyFont="1" applyFill="1" applyBorder="1" applyAlignment="1">
      <alignment vertical="center"/>
    </xf>
    <xf numFmtId="0" fontId="32" fillId="3" borderId="2" xfId="10" applyFont="1" applyFill="1" applyBorder="1" applyAlignment="1">
      <alignment vertical="center"/>
    </xf>
    <xf numFmtId="9" fontId="32" fillId="3" borderId="1" xfId="11" applyFont="1" applyFill="1" applyBorder="1" applyAlignment="1">
      <alignment vertical="center"/>
    </xf>
    <xf numFmtId="168" fontId="23" fillId="2" borderId="0" xfId="10" applyNumberFormat="1" applyFont="1" applyFill="1" applyBorder="1" applyAlignment="1">
      <alignment horizontal="right" vertical="center" wrapText="1"/>
    </xf>
    <xf numFmtId="43" fontId="24" fillId="2" borderId="0" xfId="9" applyFont="1" applyFill="1" applyAlignment="1">
      <alignment vertical="center"/>
    </xf>
    <xf numFmtId="1" fontId="31" fillId="2" borderId="0" xfId="12" applyNumberFormat="1" applyFont="1" applyFill="1" applyBorder="1" applyAlignment="1">
      <alignment vertical="center"/>
    </xf>
    <xf numFmtId="37" fontId="31" fillId="2" borderId="0" xfId="10" applyNumberFormat="1" applyFont="1" applyFill="1" applyBorder="1" applyAlignment="1">
      <alignment vertical="center" wrapText="1"/>
    </xf>
    <xf numFmtId="3" fontId="31" fillId="2" borderId="3" xfId="10" applyNumberFormat="1" applyFont="1" applyFill="1" applyBorder="1" applyAlignment="1">
      <alignment vertical="center"/>
    </xf>
    <xf numFmtId="9" fontId="32" fillId="3" borderId="9" xfId="11" applyFont="1" applyFill="1" applyBorder="1" applyAlignment="1">
      <alignment vertical="center"/>
    </xf>
    <xf numFmtId="3" fontId="30" fillId="2" borderId="0" xfId="10" applyNumberFormat="1" applyFont="1" applyFill="1" applyBorder="1" applyAlignment="1">
      <alignment vertical="center" wrapText="1"/>
    </xf>
  </cellXfs>
  <cellStyles count="14">
    <cellStyle name="Comma" xfId="9" builtinId="3"/>
    <cellStyle name="Comma 2" xfId="6" xr:uid="{56061E8A-8475-2A44-ABF5-3D5428A528FC}"/>
    <cellStyle name="Comma 3" xfId="12" xr:uid="{FF45DAF1-4A96-D94E-8E92-26599C983290}"/>
    <cellStyle name="Currency 2" xfId="7" xr:uid="{DC28283E-A594-DF43-A7E6-96AA8A1091FD}"/>
    <cellStyle name="Currency 3" xfId="13" xr:uid="{E604DA20-D219-7A4B-98EF-5D6D5038F79F}"/>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FE555931-3859-E84A-A015-8C435AE279C1}"/>
    <cellStyle name="Normal 3" xfId="10" xr:uid="{64527D30-5564-3C42-A540-EB3F67B5AFF9}"/>
    <cellStyle name="Percent 2" xfId="8" xr:uid="{602011E6-8963-E64C-AD25-DF291DFBDB41}"/>
    <cellStyle name="Percent 3" xfId="11" xr:uid="{B7386E34-7CC9-464F-94F8-E7AFE5164A5D}"/>
  </cellStyles>
  <dxfs count="0"/>
  <tableStyles count="0" defaultTableStyle="TableStyleMedium9" defaultPivotStyle="PivotStyleMedium4"/>
  <colors>
    <mruColors>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oneCellAnchor>
    <xdr:from>
      <xdr:col>0</xdr:col>
      <xdr:colOff>114299</xdr:colOff>
      <xdr:row>0</xdr:row>
      <xdr:rowOff>88900</xdr:rowOff>
    </xdr:from>
    <xdr:ext cx="1480745" cy="584200"/>
    <xdr:pic>
      <xdr:nvPicPr>
        <xdr:cNvPr id="2" name="Picture 1">
          <a:hlinkClick xmlns:r="http://schemas.openxmlformats.org/officeDocument/2006/relationships" r:id="rId1"/>
          <a:extLst>
            <a:ext uri="{FF2B5EF4-FFF2-40B4-BE49-F238E27FC236}">
              <a16:creationId xmlns:a16="http://schemas.microsoft.com/office/drawing/2014/main" id="{AE7309F0-E8D7-4842-B584-B31D1E599B54}"/>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oneCellAnchor>
  <xdr:oneCellAnchor>
    <xdr:from>
      <xdr:col>0</xdr:col>
      <xdr:colOff>4533900</xdr:colOff>
      <xdr:row>0</xdr:row>
      <xdr:rowOff>152400</xdr:rowOff>
    </xdr:from>
    <xdr:ext cx="1308100" cy="464988"/>
    <xdr:pic>
      <xdr:nvPicPr>
        <xdr:cNvPr id="3" name="Picture 2">
          <a:hlinkClick xmlns:r="http://schemas.openxmlformats.org/officeDocument/2006/relationships" r:id="rId3"/>
          <a:extLst>
            <a:ext uri="{FF2B5EF4-FFF2-40B4-BE49-F238E27FC236}">
              <a16:creationId xmlns:a16="http://schemas.microsoft.com/office/drawing/2014/main" id="{68438790-5D7A-2848-BCDB-BD12D1EB34C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5500" y="152400"/>
          <a:ext cx="1308100" cy="46498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176-F689-D24B-A76B-B4801B16174F}">
  <dimension ref="A1:A11"/>
  <sheetViews>
    <sheetView workbookViewId="0">
      <selection activeCell="A29" sqref="A29"/>
    </sheetView>
  </sheetViews>
  <sheetFormatPr baseColWidth="10" defaultRowHeight="16" x14ac:dyDescent="0.2"/>
  <cols>
    <col min="1" max="1" width="78.33203125" style="3" customWidth="1"/>
    <col min="2" max="16384" width="10.83203125" style="3"/>
  </cols>
  <sheetData>
    <row r="1" spans="1:1" ht="56" customHeight="1" x14ac:dyDescent="0.2"/>
    <row r="2" spans="1:1" x14ac:dyDescent="0.2">
      <c r="A2" s="1" t="s">
        <v>2</v>
      </c>
    </row>
    <row r="3" spans="1:1" x14ac:dyDescent="0.2">
      <c r="A3" s="2" t="s">
        <v>4</v>
      </c>
    </row>
    <row r="4" spans="1:1" x14ac:dyDescent="0.2">
      <c r="A4" s="7"/>
    </row>
    <row r="5" spans="1:1" ht="32" x14ac:dyDescent="0.2">
      <c r="A5" s="4" t="s">
        <v>5</v>
      </c>
    </row>
    <row r="6" spans="1:1" x14ac:dyDescent="0.2">
      <c r="A6" s="5"/>
    </row>
    <row r="7" spans="1:1" ht="84" customHeight="1" x14ac:dyDescent="0.2">
      <c r="A7" s="4" t="s">
        <v>0</v>
      </c>
    </row>
    <row r="8" spans="1:1" x14ac:dyDescent="0.2">
      <c r="A8" s="4"/>
    </row>
    <row r="9" spans="1:1" ht="82" customHeight="1" x14ac:dyDescent="0.2">
      <c r="A9" s="6" t="s">
        <v>3</v>
      </c>
    </row>
    <row r="10" spans="1:1" x14ac:dyDescent="0.2">
      <c r="A10" s="5"/>
    </row>
    <row r="11" spans="1:1" ht="78" customHeight="1" x14ac:dyDescent="0.2">
      <c r="A11" s="4" t="s">
        <v>1</v>
      </c>
    </row>
  </sheetData>
  <sheetProtection algorithmName="SHA-512" hashValue="Jp2NPGDxq4ipKSvZio8u5uepMuatkqRKF2qMIacR4bE5gWPmZT21uodFWqY5BWjSr4pWny6SqQj/aPP07qNQwA==" saltValue="0YkILgcRRcpUdMz8SnZf+w==" spinCount="100000" sheet="1" objects="1" scenarios="1"/>
  <hyperlinks>
    <hyperlink ref="A2" r:id="rId1" xr:uid="{DBD7CCD0-C104-D04D-AB99-AF81BA5F0C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B299-9816-7C47-B4AA-B23CDEFAB33A}">
  <dimension ref="A1:M71"/>
  <sheetViews>
    <sheetView tabSelected="1" topLeftCell="C1" zoomScale="130" zoomScaleNormal="130" workbookViewId="0">
      <selection activeCell="H27" sqref="H27"/>
    </sheetView>
  </sheetViews>
  <sheetFormatPr baseColWidth="10" defaultColWidth="14.1640625" defaultRowHeight="16" x14ac:dyDescent="0.2"/>
  <cols>
    <col min="1" max="2" width="0" style="10" hidden="1" customWidth="1"/>
    <col min="3" max="3" width="3.33203125" style="8" customWidth="1"/>
    <col min="4" max="4" width="41.5" style="8" customWidth="1"/>
    <col min="5" max="5" width="18.6640625" style="8" customWidth="1"/>
    <col min="6" max="6" width="24.5" style="8" customWidth="1"/>
    <col min="7" max="7" width="22.33203125" style="8" customWidth="1"/>
    <col min="8" max="8" width="14.1640625" style="9" customWidth="1"/>
    <col min="9" max="9" width="14.1640625" style="8"/>
    <col min="10" max="10" width="23.33203125" style="8" bestFit="1" customWidth="1"/>
    <col min="11" max="11" width="15.1640625" style="8" bestFit="1" customWidth="1"/>
    <col min="12" max="12" width="18.33203125" style="8" bestFit="1" customWidth="1"/>
    <col min="13" max="13" width="16.83203125" style="8" bestFit="1" customWidth="1"/>
    <col min="14" max="16384" width="14.1640625" style="8"/>
  </cols>
  <sheetData>
    <row r="1" spans="1:13" x14ac:dyDescent="0.2">
      <c r="D1" s="29" t="s">
        <v>81</v>
      </c>
      <c r="E1" s="30"/>
    </row>
    <row r="2" spans="1:13" x14ac:dyDescent="0.2">
      <c r="D2" s="34" t="s">
        <v>82</v>
      </c>
      <c r="E2" s="31"/>
    </row>
    <row r="3" spans="1:13" x14ac:dyDescent="0.2">
      <c r="D3" s="32" t="s">
        <v>83</v>
      </c>
      <c r="E3" s="33"/>
    </row>
    <row r="4" spans="1:13" x14ac:dyDescent="0.2">
      <c r="D4" s="28"/>
    </row>
    <row r="5" spans="1:13" s="11" customFormat="1" ht="19" x14ac:dyDescent="0.2">
      <c r="A5" s="27"/>
      <c r="B5" s="27"/>
      <c r="D5" s="35" t="s">
        <v>80</v>
      </c>
      <c r="E5" s="36"/>
      <c r="F5" s="36"/>
      <c r="G5" s="37"/>
      <c r="H5" s="38"/>
    </row>
    <row r="6" spans="1:13" s="11" customFormat="1" x14ac:dyDescent="0.2">
      <c r="A6" s="17"/>
      <c r="B6" s="17"/>
      <c r="D6" s="39" t="s">
        <v>90</v>
      </c>
      <c r="E6" s="40"/>
      <c r="F6" s="40"/>
      <c r="G6" s="37"/>
      <c r="H6" s="38"/>
    </row>
    <row r="7" spans="1:13" s="11" customFormat="1" x14ac:dyDescent="0.2">
      <c r="A7" s="26" t="s">
        <v>49</v>
      </c>
      <c r="B7" s="26" t="s">
        <v>79</v>
      </c>
      <c r="D7" s="41"/>
      <c r="E7" s="41">
        <v>2018</v>
      </c>
      <c r="F7" s="42" t="s">
        <v>78</v>
      </c>
      <c r="G7" s="42" t="s">
        <v>77</v>
      </c>
      <c r="H7" s="43" t="s">
        <v>49</v>
      </c>
    </row>
    <row r="8" spans="1:13" s="11" customFormat="1" x14ac:dyDescent="0.2">
      <c r="A8" s="18"/>
      <c r="B8" s="18" t="s">
        <v>76</v>
      </c>
      <c r="D8" s="44" t="s">
        <v>75</v>
      </c>
      <c r="E8" s="45"/>
      <c r="F8" s="46"/>
      <c r="G8" s="47"/>
      <c r="H8" s="38"/>
    </row>
    <row r="9" spans="1:13" s="11" customFormat="1" x14ac:dyDescent="0.2">
      <c r="A9" s="18" t="s">
        <v>61</v>
      </c>
      <c r="B9" s="18" t="s">
        <v>68</v>
      </c>
      <c r="D9" s="48" t="s">
        <v>74</v>
      </c>
      <c r="E9" s="49">
        <v>239475</v>
      </c>
      <c r="F9" s="98">
        <v>3000000</v>
      </c>
      <c r="G9" s="99">
        <v>1700000</v>
      </c>
      <c r="H9" s="39" t="s">
        <v>73</v>
      </c>
    </row>
    <row r="10" spans="1:13" s="11" customFormat="1" ht="17" x14ac:dyDescent="0.2">
      <c r="A10" s="18"/>
      <c r="B10" s="18"/>
      <c r="D10" s="48" t="s">
        <v>84</v>
      </c>
      <c r="E10" s="95" t="s">
        <v>85</v>
      </c>
      <c r="F10" s="98">
        <v>48250</v>
      </c>
      <c r="G10" s="99">
        <v>48250</v>
      </c>
      <c r="H10" s="39"/>
    </row>
    <row r="11" spans="1:13" s="11" customFormat="1" x14ac:dyDescent="0.2">
      <c r="A11" s="18" t="s">
        <v>61</v>
      </c>
      <c r="B11" s="18" t="s">
        <v>68</v>
      </c>
      <c r="D11" s="50" t="s">
        <v>72</v>
      </c>
      <c r="E11" s="51">
        <v>21461000000</v>
      </c>
      <c r="F11" s="51">
        <f>F9*F10</f>
        <v>144750000000</v>
      </c>
      <c r="G11" s="52">
        <f>G9*G10</f>
        <v>82025000000</v>
      </c>
      <c r="H11" s="38" t="s">
        <v>71</v>
      </c>
      <c r="K11" s="16"/>
      <c r="L11" s="16"/>
      <c r="M11" s="16"/>
    </row>
    <row r="12" spans="1:13" s="11" customFormat="1" x14ac:dyDescent="0.2">
      <c r="A12" s="18" t="s">
        <v>61</v>
      </c>
      <c r="B12" s="18" t="s">
        <v>68</v>
      </c>
      <c r="D12" s="50" t="s">
        <v>70</v>
      </c>
      <c r="E12" s="53">
        <v>0.188</v>
      </c>
      <c r="F12" s="54">
        <v>0.3</v>
      </c>
      <c r="G12" s="55">
        <v>0.25</v>
      </c>
      <c r="H12" s="39" t="s">
        <v>69</v>
      </c>
      <c r="K12" s="16"/>
      <c r="L12" s="16"/>
      <c r="M12" s="16"/>
    </row>
    <row r="13" spans="1:13" s="11" customFormat="1" x14ac:dyDescent="0.2">
      <c r="A13" s="18" t="s">
        <v>61</v>
      </c>
      <c r="B13" s="18" t="s">
        <v>68</v>
      </c>
      <c r="D13" s="50" t="s">
        <v>67</v>
      </c>
      <c r="E13" s="51">
        <v>4042000000</v>
      </c>
      <c r="F13" s="51">
        <f>F12*F11</f>
        <v>43425000000</v>
      </c>
      <c r="G13" s="52">
        <f>G12*G11</f>
        <v>20506250000</v>
      </c>
      <c r="H13" s="38" t="s">
        <v>66</v>
      </c>
      <c r="K13" s="16"/>
      <c r="L13" s="16"/>
      <c r="M13" s="16"/>
    </row>
    <row r="14" spans="1:13" s="11" customFormat="1" x14ac:dyDescent="0.2">
      <c r="A14" s="18" t="s">
        <v>61</v>
      </c>
      <c r="B14" s="18" t="s">
        <v>58</v>
      </c>
      <c r="D14" s="50" t="s">
        <v>65</v>
      </c>
      <c r="E14" s="51">
        <v>2834000000</v>
      </c>
      <c r="F14" s="51">
        <f>F15*F11</f>
        <v>14475000000</v>
      </c>
      <c r="G14" s="52">
        <f>G15*G11</f>
        <v>8202500000</v>
      </c>
      <c r="H14" s="38" t="s">
        <v>64</v>
      </c>
      <c r="K14" s="16"/>
      <c r="L14" s="25"/>
      <c r="M14" s="16"/>
    </row>
    <row r="15" spans="1:13" s="11" customFormat="1" x14ac:dyDescent="0.2">
      <c r="A15" s="18" t="s">
        <v>61</v>
      </c>
      <c r="B15" s="18" t="s">
        <v>58</v>
      </c>
      <c r="D15" s="50" t="s">
        <v>63</v>
      </c>
      <c r="E15" s="53">
        <v>0.13205349238152927</v>
      </c>
      <c r="F15" s="54">
        <v>0.1</v>
      </c>
      <c r="G15" s="55">
        <v>0.1</v>
      </c>
      <c r="H15" s="39" t="s">
        <v>62</v>
      </c>
      <c r="K15" s="16"/>
      <c r="L15" s="16"/>
      <c r="M15" s="16"/>
    </row>
    <row r="16" spans="1:13" s="11" customFormat="1" x14ac:dyDescent="0.2">
      <c r="A16" s="18" t="s">
        <v>61</v>
      </c>
      <c r="B16" s="18" t="s">
        <v>58</v>
      </c>
      <c r="D16" s="50" t="s">
        <v>60</v>
      </c>
      <c r="E16" s="51">
        <v>1460000000</v>
      </c>
      <c r="F16" s="51">
        <f>F17*F11</f>
        <v>18158347848.807186</v>
      </c>
      <c r="G16" s="52">
        <f>G17*G11</f>
        <v>10289730447.657406</v>
      </c>
      <c r="H16" s="38" t="s">
        <v>59</v>
      </c>
      <c r="K16" s="16"/>
      <c r="L16" s="16"/>
      <c r="M16" s="16"/>
    </row>
    <row r="17" spans="1:13" s="11" customFormat="1" x14ac:dyDescent="0.2">
      <c r="A17" s="18"/>
      <c r="B17" s="18" t="s">
        <v>58</v>
      </c>
      <c r="D17" s="50" t="s">
        <v>57</v>
      </c>
      <c r="E17" s="53">
        <v>6.8030380690554962E-2</v>
      </c>
      <c r="F17" s="54">
        <v>0.1254462718397733</v>
      </c>
      <c r="G17" s="55">
        <v>0.1254462718397733</v>
      </c>
      <c r="H17" s="39" t="s">
        <v>56</v>
      </c>
      <c r="K17" s="16"/>
      <c r="L17" s="16"/>
      <c r="M17" s="16"/>
    </row>
    <row r="18" spans="1:13" s="11" customFormat="1" x14ac:dyDescent="0.2">
      <c r="A18" s="24"/>
      <c r="B18" s="24"/>
      <c r="D18" s="50" t="s">
        <v>55</v>
      </c>
      <c r="E18" s="51">
        <v>-252800000</v>
      </c>
      <c r="F18" s="51">
        <f>F13-F14-F16</f>
        <v>10791652151.192814</v>
      </c>
      <c r="G18" s="52">
        <f>G13-G14-G16</f>
        <v>2014019552.3425941</v>
      </c>
      <c r="H18" s="38" t="s">
        <v>54</v>
      </c>
      <c r="K18" s="16"/>
      <c r="L18" s="16"/>
      <c r="M18" s="16"/>
    </row>
    <row r="19" spans="1:13" s="11" customFormat="1" x14ac:dyDescent="0.2">
      <c r="A19" s="24"/>
      <c r="B19" s="24"/>
      <c r="D19" s="56" t="s">
        <v>53</v>
      </c>
      <c r="E19" s="51">
        <v>14029200000</v>
      </c>
      <c r="F19" s="97">
        <v>19000</v>
      </c>
      <c r="G19" s="58">
        <v>17000000000</v>
      </c>
      <c r="H19" s="59" t="s">
        <v>87</v>
      </c>
      <c r="K19" s="16"/>
      <c r="L19" s="16"/>
      <c r="M19" s="16"/>
    </row>
    <row r="20" spans="1:13" s="11" customFormat="1" x14ac:dyDescent="0.2">
      <c r="A20" s="24"/>
      <c r="B20" s="24"/>
      <c r="D20" s="56" t="s">
        <v>52</v>
      </c>
      <c r="E20" s="53">
        <v>0.19239158326918143</v>
      </c>
      <c r="F20" s="54">
        <v>0.15271410409158626</v>
      </c>
      <c r="G20" s="55">
        <v>0.15271410409158626</v>
      </c>
      <c r="H20" s="38"/>
      <c r="K20" s="16"/>
      <c r="L20" s="16"/>
      <c r="M20" s="16"/>
    </row>
    <row r="21" spans="1:13" s="11" customFormat="1" x14ac:dyDescent="0.2">
      <c r="A21" s="17"/>
      <c r="B21" s="17"/>
      <c r="D21" s="50" t="s">
        <v>51</v>
      </c>
      <c r="E21" s="51">
        <v>3108200000</v>
      </c>
      <c r="F21" s="51">
        <f>F18+F16+F19*F20</f>
        <v>28950002901.567978</v>
      </c>
      <c r="G21" s="52">
        <f>G18+G16+G19*G20</f>
        <v>14899889769.556967</v>
      </c>
      <c r="H21" s="38" t="s">
        <v>50</v>
      </c>
      <c r="K21" s="23"/>
      <c r="L21" s="16"/>
      <c r="M21" s="16"/>
    </row>
    <row r="22" spans="1:13" s="11" customFormat="1" x14ac:dyDescent="0.2">
      <c r="A22" s="18" t="s">
        <v>49</v>
      </c>
      <c r="B22" s="22"/>
      <c r="D22" s="50" t="s">
        <v>48</v>
      </c>
      <c r="E22" s="51">
        <v>12570082000</v>
      </c>
      <c r="F22" s="60">
        <v>5140000000</v>
      </c>
      <c r="G22" s="61">
        <v>5140000000</v>
      </c>
      <c r="H22" s="39" t="s">
        <v>47</v>
      </c>
      <c r="J22" s="21"/>
      <c r="K22" s="16"/>
      <c r="L22" s="16"/>
      <c r="M22" s="16"/>
    </row>
    <row r="23" spans="1:13" s="11" customFormat="1" x14ac:dyDescent="0.2">
      <c r="A23" s="18"/>
      <c r="B23" s="17"/>
      <c r="D23" s="62" t="s">
        <v>46</v>
      </c>
      <c r="E23" s="63"/>
      <c r="F23" s="64"/>
      <c r="G23" s="65"/>
      <c r="H23" s="38"/>
      <c r="J23" s="20"/>
      <c r="K23" s="16"/>
      <c r="L23" s="16"/>
      <c r="M23" s="16"/>
    </row>
    <row r="24" spans="1:13" s="11" customFormat="1" x14ac:dyDescent="0.2">
      <c r="A24" s="18"/>
      <c r="B24" s="17"/>
      <c r="D24" s="66" t="s">
        <v>45</v>
      </c>
      <c r="E24" s="67"/>
      <c r="F24" s="68"/>
      <c r="G24" s="69"/>
      <c r="H24" s="38"/>
      <c r="K24" s="16"/>
      <c r="L24" s="19"/>
      <c r="M24" s="16"/>
    </row>
    <row r="25" spans="1:13" s="11" customFormat="1" x14ac:dyDescent="0.2">
      <c r="A25" s="18" t="s">
        <v>44</v>
      </c>
      <c r="B25" s="17"/>
      <c r="D25" s="50" t="s">
        <v>43</v>
      </c>
      <c r="E25" s="70"/>
      <c r="F25" s="71">
        <v>7200000</v>
      </c>
      <c r="G25" s="52">
        <v>0</v>
      </c>
      <c r="H25" s="39" t="s">
        <v>91</v>
      </c>
      <c r="K25" s="16"/>
      <c r="L25" s="16"/>
      <c r="M25" s="16"/>
    </row>
    <row r="26" spans="1:13" s="11" customFormat="1" x14ac:dyDescent="0.2">
      <c r="A26" s="18"/>
      <c r="B26" s="17"/>
      <c r="D26" s="50" t="s">
        <v>42</v>
      </c>
      <c r="E26" s="70"/>
      <c r="F26" s="54">
        <v>0.22655672629716056</v>
      </c>
      <c r="G26" s="52">
        <v>0</v>
      </c>
      <c r="H26" s="39" t="s">
        <v>41</v>
      </c>
      <c r="K26" s="16"/>
      <c r="L26" s="16"/>
      <c r="M26" s="16"/>
    </row>
    <row r="27" spans="1:13" s="11" customFormat="1" x14ac:dyDescent="0.2">
      <c r="A27" s="18"/>
      <c r="B27" s="17"/>
      <c r="D27" s="50" t="s">
        <v>40</v>
      </c>
      <c r="E27" s="70"/>
      <c r="F27" s="72">
        <v>116100</v>
      </c>
      <c r="G27" s="52">
        <v>0</v>
      </c>
      <c r="H27" s="39" t="s">
        <v>39</v>
      </c>
      <c r="K27" s="16"/>
      <c r="L27" s="16"/>
      <c r="M27" s="16"/>
    </row>
    <row r="28" spans="1:13" s="11" customFormat="1" x14ac:dyDescent="0.2">
      <c r="A28" s="18" t="s">
        <v>38</v>
      </c>
      <c r="B28" s="17"/>
      <c r="D28" s="50" t="s">
        <v>37</v>
      </c>
      <c r="E28" s="70"/>
      <c r="F28" s="54">
        <v>0.7</v>
      </c>
      <c r="G28" s="52">
        <v>0</v>
      </c>
      <c r="H28" s="39" t="s">
        <v>36</v>
      </c>
      <c r="K28" s="16"/>
      <c r="L28" s="16"/>
      <c r="M28" s="16"/>
    </row>
    <row r="29" spans="1:13" s="11" customFormat="1" x14ac:dyDescent="0.2">
      <c r="A29" s="18" t="s">
        <v>35</v>
      </c>
      <c r="B29" s="17"/>
      <c r="D29" s="50" t="s">
        <v>34</v>
      </c>
      <c r="E29" s="73"/>
      <c r="F29" s="74">
        <v>1</v>
      </c>
      <c r="G29" s="52">
        <v>0</v>
      </c>
      <c r="H29" s="39" t="s">
        <v>94</v>
      </c>
      <c r="K29" s="16"/>
      <c r="L29" s="16"/>
      <c r="M29" s="16"/>
    </row>
    <row r="30" spans="1:13" s="11" customFormat="1" x14ac:dyDescent="0.2">
      <c r="A30" s="18"/>
      <c r="B30" s="17"/>
      <c r="D30" s="50" t="s">
        <v>33</v>
      </c>
      <c r="E30" s="73"/>
      <c r="F30" s="51">
        <f>F29*F28*F27*F25</f>
        <v>585144000000</v>
      </c>
      <c r="G30" s="52">
        <v>0</v>
      </c>
      <c r="H30" s="39" t="s">
        <v>32</v>
      </c>
      <c r="K30" s="16"/>
      <c r="L30" s="16"/>
      <c r="M30" s="16"/>
    </row>
    <row r="31" spans="1:13" s="11" customFormat="1" x14ac:dyDescent="0.2">
      <c r="A31" s="18" t="s">
        <v>31</v>
      </c>
      <c r="B31" s="17"/>
      <c r="D31" s="50" t="s">
        <v>30</v>
      </c>
      <c r="E31" s="73"/>
      <c r="F31" s="54">
        <v>0.3</v>
      </c>
      <c r="G31" s="52">
        <v>0</v>
      </c>
      <c r="H31" s="39" t="s">
        <v>29</v>
      </c>
      <c r="K31" s="16"/>
      <c r="L31" s="16"/>
      <c r="M31" s="16"/>
    </row>
    <row r="32" spans="1:13" s="11" customFormat="1" x14ac:dyDescent="0.2">
      <c r="A32" s="18"/>
      <c r="B32" s="17"/>
      <c r="D32" s="50" t="s">
        <v>28</v>
      </c>
      <c r="E32" s="73"/>
      <c r="F32" s="54">
        <v>0.1</v>
      </c>
      <c r="G32" s="52">
        <v>0</v>
      </c>
      <c r="H32" s="39" t="s">
        <v>27</v>
      </c>
      <c r="K32" s="16"/>
      <c r="L32" s="16"/>
      <c r="M32" s="16"/>
    </row>
    <row r="33" spans="1:13" s="11" customFormat="1" ht="20" customHeight="1" x14ac:dyDescent="0.2">
      <c r="A33" s="18"/>
      <c r="B33" s="17"/>
      <c r="D33" s="50" t="s">
        <v>26</v>
      </c>
      <c r="E33" s="73"/>
      <c r="F33" s="75">
        <v>0.5</v>
      </c>
      <c r="G33" s="52">
        <v>0</v>
      </c>
      <c r="H33" s="39" t="s">
        <v>25</v>
      </c>
      <c r="K33" s="16"/>
      <c r="L33" s="16"/>
      <c r="M33" s="16"/>
    </row>
    <row r="34" spans="1:13" s="11" customFormat="1" x14ac:dyDescent="0.2">
      <c r="A34" s="18"/>
      <c r="B34" s="17"/>
      <c r="D34" s="50" t="s">
        <v>24</v>
      </c>
      <c r="E34" s="73"/>
      <c r="F34" s="54">
        <v>0.7</v>
      </c>
      <c r="G34" s="52">
        <v>0</v>
      </c>
      <c r="H34" s="39"/>
      <c r="K34" s="16"/>
      <c r="L34" s="16"/>
      <c r="M34" s="16"/>
    </row>
    <row r="35" spans="1:13" s="11" customFormat="1" x14ac:dyDescent="0.2">
      <c r="A35" s="18"/>
      <c r="B35" s="17"/>
      <c r="D35" s="50" t="s">
        <v>23</v>
      </c>
      <c r="E35" s="73"/>
      <c r="F35" s="51">
        <f>(F30*F26*F32+F30*(1-F26)*F31)*F33*F34</f>
        <v>52160338366.330185</v>
      </c>
      <c r="G35" s="52">
        <v>0</v>
      </c>
      <c r="H35" s="39" t="s">
        <v>22</v>
      </c>
      <c r="K35" s="16"/>
      <c r="L35" s="16"/>
      <c r="M35" s="16"/>
    </row>
    <row r="36" spans="1:13" s="11" customFormat="1" x14ac:dyDescent="0.2">
      <c r="A36" s="18"/>
      <c r="B36" s="17"/>
      <c r="D36" s="50" t="s">
        <v>21</v>
      </c>
      <c r="E36" s="73"/>
      <c r="F36" s="57">
        <f>31093764148.19+F35</f>
        <v>83254102514.520187</v>
      </c>
      <c r="G36" s="52">
        <v>0</v>
      </c>
      <c r="H36" s="39" t="s">
        <v>86</v>
      </c>
      <c r="K36" s="16"/>
      <c r="L36" s="16"/>
      <c r="M36" s="16"/>
    </row>
    <row r="37" spans="1:13" s="11" customFormat="1" x14ac:dyDescent="0.2">
      <c r="A37" s="18"/>
      <c r="B37" s="17"/>
      <c r="D37" s="62" t="s">
        <v>20</v>
      </c>
      <c r="E37" s="76"/>
      <c r="F37" s="76"/>
      <c r="G37" s="77"/>
      <c r="H37" s="96"/>
      <c r="K37" s="16"/>
      <c r="L37" s="16"/>
      <c r="M37" s="16"/>
    </row>
    <row r="38" spans="1:13" s="11" customFormat="1" ht="17" x14ac:dyDescent="0.2">
      <c r="A38" s="18"/>
      <c r="B38" s="17"/>
      <c r="D38" s="78" t="s">
        <v>19</v>
      </c>
      <c r="E38" s="79"/>
      <c r="F38" s="51">
        <f>F11+F30*F26*F32+F30*(1-F26)*F31</f>
        <v>293779538189.51483</v>
      </c>
      <c r="G38" s="52">
        <f>G11+G30*G26*G32+G30*(1-G26)*G31</f>
        <v>82025000000</v>
      </c>
      <c r="H38" s="38"/>
      <c r="K38" s="16"/>
      <c r="L38" s="16"/>
      <c r="M38" s="16"/>
    </row>
    <row r="39" spans="1:13" s="11" customFormat="1" ht="17" x14ac:dyDescent="0.2">
      <c r="A39" s="18" t="s">
        <v>18</v>
      </c>
      <c r="B39" s="17"/>
      <c r="D39" s="78" t="s">
        <v>17</v>
      </c>
      <c r="E39" s="79"/>
      <c r="F39" s="53">
        <f>F11/(F30*F26*F32+F30*(1-F26)*F31+F11)*F12+(F30*F26*F32+F30*(1-F26)*F31)/(F30*F26*F32+F30*(1-F26)*F31+F11)*80%</f>
        <v>0.55364179395873558</v>
      </c>
      <c r="G39" s="80">
        <f>G12</f>
        <v>0.25</v>
      </c>
      <c r="H39" s="38" t="s">
        <v>16</v>
      </c>
    </row>
    <row r="40" spans="1:13" s="11" customFormat="1" ht="19" customHeight="1" x14ac:dyDescent="0.2">
      <c r="A40" s="18"/>
      <c r="B40" s="17"/>
      <c r="D40" s="78" t="s">
        <v>15</v>
      </c>
      <c r="E40" s="79"/>
      <c r="F40" s="81">
        <f>F11/(F30*F26*F32+F30*(1-F26)*F31+F11)*(F18+F19*F20)/F11+(F30*F26*F32+F30*(1-F26)*F31)/(F30*F26*F32+F30*(1-F26)*F31+F11)*F33</f>
        <v>0.29037564928190374</v>
      </c>
      <c r="G40" s="82">
        <f>G15</f>
        <v>0.1</v>
      </c>
      <c r="H40" s="38"/>
    </row>
    <row r="41" spans="1:13" s="11" customFormat="1" x14ac:dyDescent="0.2">
      <c r="A41" s="18" t="s">
        <v>14</v>
      </c>
      <c r="B41" s="17"/>
      <c r="D41" s="50" t="s">
        <v>13</v>
      </c>
      <c r="E41" s="73"/>
      <c r="F41" s="83">
        <v>8</v>
      </c>
      <c r="G41" s="84">
        <v>8</v>
      </c>
      <c r="H41" s="38" t="s">
        <v>88</v>
      </c>
    </row>
    <row r="42" spans="1:13" s="11" customFormat="1" x14ac:dyDescent="0.2">
      <c r="A42" s="18"/>
      <c r="B42" s="17"/>
      <c r="D42" s="50" t="s">
        <v>12</v>
      </c>
      <c r="E42" s="73"/>
      <c r="F42" s="83">
        <v>14</v>
      </c>
      <c r="G42" s="85">
        <v>14</v>
      </c>
      <c r="H42" s="38" t="s">
        <v>11</v>
      </c>
    </row>
    <row r="43" spans="1:13" s="11" customFormat="1" x14ac:dyDescent="0.2">
      <c r="A43" s="18"/>
      <c r="B43" s="17"/>
      <c r="D43" s="50" t="s">
        <v>10</v>
      </c>
      <c r="E43" s="51"/>
      <c r="F43" s="86">
        <f>F21*F41+(F30*F26*F32+F30*(1-F26)*F31)*F33*F42</f>
        <v>1274806790539.1475</v>
      </c>
      <c r="G43" s="52">
        <f>G21*G41+(G30*G26*G32+G30*(1-G26)*G31)*G33*G42</f>
        <v>119199118156.45573</v>
      </c>
      <c r="H43" s="38"/>
    </row>
    <row r="44" spans="1:13" s="11" customFormat="1" x14ac:dyDescent="0.2">
      <c r="A44" s="18"/>
      <c r="B44" s="17"/>
      <c r="D44" s="50" t="s">
        <v>9</v>
      </c>
      <c r="E44" s="73"/>
      <c r="F44" s="51">
        <f>F43-F22+F36</f>
        <v>1352920893053.6677</v>
      </c>
      <c r="G44" s="52">
        <f>G43-G22+G36</f>
        <v>114059118156.45573</v>
      </c>
      <c r="H44" s="38"/>
    </row>
    <row r="45" spans="1:13" s="11" customFormat="1" x14ac:dyDescent="0.2">
      <c r="A45" s="13"/>
      <c r="B45" s="13"/>
      <c r="D45" s="50" t="s">
        <v>8</v>
      </c>
      <c r="E45" s="73"/>
      <c r="F45" s="60">
        <v>70000000000</v>
      </c>
      <c r="G45" s="87">
        <v>70000000000</v>
      </c>
      <c r="H45" s="88"/>
    </row>
    <row r="46" spans="1:13" s="11" customFormat="1" x14ac:dyDescent="0.2">
      <c r="A46" s="13"/>
      <c r="B46" s="13"/>
      <c r="D46" s="50" t="s">
        <v>7</v>
      </c>
      <c r="E46" s="73"/>
      <c r="F46" s="60">
        <v>20000000000</v>
      </c>
      <c r="G46" s="61">
        <v>10000000000</v>
      </c>
      <c r="H46" s="38"/>
    </row>
    <row r="47" spans="1:13" s="11" customFormat="1" x14ac:dyDescent="0.2">
      <c r="A47" s="13"/>
      <c r="B47" s="13"/>
      <c r="D47" s="50" t="s">
        <v>93</v>
      </c>
      <c r="E47" s="51">
        <v>178190000</v>
      </c>
      <c r="F47" s="51">
        <f>F46/(F45/E47)+E47</f>
        <v>229101428.57142857</v>
      </c>
      <c r="G47" s="52">
        <f>G46/(G45/E47)+E47</f>
        <v>203645714.2857143</v>
      </c>
      <c r="H47" s="38" t="s">
        <v>95</v>
      </c>
    </row>
    <row r="48" spans="1:13" s="11" customFormat="1" x14ac:dyDescent="0.2">
      <c r="A48" s="13"/>
      <c r="B48" s="13"/>
      <c r="D48" s="50" t="s">
        <v>92</v>
      </c>
      <c r="E48" s="101">
        <v>195</v>
      </c>
      <c r="F48" s="90">
        <f>F44/F47</f>
        <v>5905.3359094697134</v>
      </c>
      <c r="G48" s="91">
        <f>G44/G47</f>
        <v>560.0860227111441</v>
      </c>
      <c r="H48" s="89" t="s">
        <v>89</v>
      </c>
      <c r="M48" s="15"/>
    </row>
    <row r="49" spans="1:8" s="11" customFormat="1" x14ac:dyDescent="0.2">
      <c r="A49" s="13"/>
      <c r="B49" s="13"/>
      <c r="D49" s="93" t="s">
        <v>6</v>
      </c>
      <c r="E49" s="92"/>
      <c r="F49" s="94">
        <f>(F48/E48)^(1/5)-1</f>
        <v>0.97807156060602107</v>
      </c>
      <c r="G49" s="100">
        <f>(G48/E48)^(1/5)-1</f>
        <v>0.23493478753513375</v>
      </c>
      <c r="H49" s="38"/>
    </row>
    <row r="50" spans="1:8" s="11" customFormat="1" x14ac:dyDescent="0.2">
      <c r="A50" s="13"/>
      <c r="B50" s="13"/>
      <c r="H50" s="12"/>
    </row>
    <row r="51" spans="1:8" s="11" customFormat="1" x14ac:dyDescent="0.2">
      <c r="A51" s="13"/>
      <c r="B51" s="13"/>
      <c r="H51" s="12"/>
    </row>
    <row r="52" spans="1:8" s="11" customFormat="1" x14ac:dyDescent="0.2">
      <c r="A52" s="13"/>
      <c r="B52" s="13"/>
      <c r="H52" s="12"/>
    </row>
    <row r="53" spans="1:8" s="11" customFormat="1" x14ac:dyDescent="0.2">
      <c r="A53" s="13"/>
      <c r="B53" s="13"/>
      <c r="H53" s="12"/>
    </row>
    <row r="54" spans="1:8" s="11" customFormat="1" x14ac:dyDescent="0.2">
      <c r="A54" s="13"/>
      <c r="B54" s="13"/>
    </row>
    <row r="55" spans="1:8" s="11" customFormat="1" x14ac:dyDescent="0.2">
      <c r="A55" s="13"/>
      <c r="B55" s="13"/>
      <c r="H55" s="12"/>
    </row>
    <row r="56" spans="1:8" s="11" customFormat="1" ht="18" x14ac:dyDescent="0.2">
      <c r="A56" s="13"/>
      <c r="B56" s="13"/>
      <c r="D56" s="8"/>
      <c r="E56" s="14"/>
      <c r="F56" s="8"/>
      <c r="G56" s="8"/>
      <c r="H56" s="12"/>
    </row>
    <row r="57" spans="1:8" s="11" customFormat="1" x14ac:dyDescent="0.2">
      <c r="A57" s="13"/>
      <c r="B57" s="13"/>
      <c r="D57" s="8"/>
      <c r="E57" s="8"/>
      <c r="F57" s="8"/>
      <c r="G57" s="8"/>
      <c r="H57" s="12"/>
    </row>
    <row r="58" spans="1:8" s="11" customFormat="1" x14ac:dyDescent="0.2">
      <c r="A58" s="13"/>
      <c r="B58" s="13"/>
      <c r="D58" s="8"/>
      <c r="E58" s="8"/>
      <c r="F58" s="8"/>
      <c r="G58" s="8"/>
      <c r="H58" s="12"/>
    </row>
    <row r="59" spans="1:8" s="11" customFormat="1" x14ac:dyDescent="0.2">
      <c r="A59" s="13"/>
      <c r="B59" s="13"/>
      <c r="D59" s="8"/>
      <c r="E59" s="8"/>
      <c r="F59" s="8"/>
      <c r="G59" s="8"/>
      <c r="H59" s="12"/>
    </row>
    <row r="60" spans="1:8" s="11" customFormat="1" x14ac:dyDescent="0.2">
      <c r="A60" s="13"/>
      <c r="B60" s="13"/>
      <c r="D60" s="8"/>
      <c r="E60" s="8"/>
      <c r="F60" s="8"/>
      <c r="G60" s="8"/>
      <c r="H60" s="12"/>
    </row>
    <row r="61" spans="1:8" s="11" customFormat="1" x14ac:dyDescent="0.2">
      <c r="A61" s="13"/>
      <c r="B61" s="13"/>
      <c r="D61" s="8"/>
      <c r="E61" s="8"/>
      <c r="F61" s="8"/>
      <c r="G61" s="8"/>
      <c r="H61" s="12"/>
    </row>
    <row r="62" spans="1:8" s="11" customFormat="1" x14ac:dyDescent="0.2">
      <c r="A62" s="13"/>
      <c r="B62" s="13"/>
      <c r="D62" s="8"/>
      <c r="E62" s="8"/>
      <c r="F62" s="8"/>
      <c r="G62" s="8"/>
      <c r="H62" s="12"/>
    </row>
    <row r="63" spans="1:8" s="11" customFormat="1" x14ac:dyDescent="0.2">
      <c r="A63" s="13"/>
      <c r="B63" s="13"/>
      <c r="D63" s="8"/>
      <c r="E63" s="8"/>
      <c r="F63" s="8"/>
      <c r="G63" s="8"/>
      <c r="H63" s="12"/>
    </row>
    <row r="64" spans="1:8" s="11" customFormat="1" x14ac:dyDescent="0.2">
      <c r="A64" s="13"/>
      <c r="B64" s="13"/>
      <c r="D64" s="8"/>
      <c r="E64" s="8"/>
      <c r="F64" s="8"/>
      <c r="G64" s="8"/>
      <c r="H64" s="12"/>
    </row>
    <row r="65" spans="1:8" s="11" customFormat="1" x14ac:dyDescent="0.2">
      <c r="A65" s="13"/>
      <c r="B65" s="13"/>
      <c r="D65" s="8"/>
      <c r="E65" s="8"/>
      <c r="F65" s="8"/>
      <c r="G65" s="8"/>
      <c r="H65" s="12"/>
    </row>
    <row r="66" spans="1:8" s="11" customFormat="1" x14ac:dyDescent="0.2">
      <c r="A66" s="13"/>
      <c r="B66" s="13"/>
      <c r="D66" s="8"/>
      <c r="E66" s="8"/>
      <c r="F66" s="8"/>
      <c r="G66" s="8"/>
      <c r="H66" s="12"/>
    </row>
    <row r="67" spans="1:8" s="11" customFormat="1" x14ac:dyDescent="0.2">
      <c r="A67" s="13"/>
      <c r="B67" s="13"/>
      <c r="D67" s="8"/>
      <c r="E67" s="8"/>
      <c r="F67" s="8"/>
      <c r="G67" s="8"/>
      <c r="H67" s="12"/>
    </row>
    <row r="68" spans="1:8" s="11" customFormat="1" x14ac:dyDescent="0.2">
      <c r="A68" s="13"/>
      <c r="B68" s="13"/>
      <c r="D68" s="8"/>
      <c r="E68" s="8"/>
      <c r="F68" s="8"/>
      <c r="G68" s="8"/>
      <c r="H68" s="12"/>
    </row>
    <row r="71" spans="1:8" x14ac:dyDescent="0.2">
      <c r="A71" s="8"/>
      <c r="B71" s="8"/>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Tesla Model</vt:lpstr>
    </vt:vector>
  </TitlesOfParts>
  <Company>Ark-Invest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Benkert</dc:creator>
  <cp:lastModifiedBy>Microsoft Office User</cp:lastModifiedBy>
  <cp:lastPrinted>2017-09-27T13:36:41Z</cp:lastPrinted>
  <dcterms:created xsi:type="dcterms:W3CDTF">2017-09-26T14:14:52Z</dcterms:created>
  <dcterms:modified xsi:type="dcterms:W3CDTF">2019-05-22T19:41:53Z</dcterms:modified>
</cp:coreProperties>
</file>