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showInkAnnotation="0" hidePivotFieldList="1" autoCompressPictures="0"/>
  <mc:AlternateContent xmlns:mc="http://schemas.openxmlformats.org/markup-compatibility/2006">
    <mc:Choice Requires="x15">
      <x15ac:absPath xmlns:x15ac="http://schemas.microsoft.com/office/spreadsheetml/2010/11/ac" url="/Users/anastasiakeeney/Desktop/"/>
    </mc:Choice>
  </mc:AlternateContent>
  <xr:revisionPtr revIDLastSave="0" documentId="8_{CEA8A23B-A088-3640-A945-28B40A1CF093}" xr6:coauthVersionLast="43" xr6:coauthVersionMax="43" xr10:uidLastSave="{00000000-0000-0000-0000-000000000000}"/>
  <bookViews>
    <workbookView xWindow="540" yWindow="460" windowWidth="28800" windowHeight="1652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3" i="11" l="1"/>
  <c r="G63" i="11"/>
  <c r="G37" i="11" l="1"/>
  <c r="G35" i="11"/>
  <c r="G40" i="11"/>
  <c r="G31" i="11"/>
  <c r="F28" i="11"/>
  <c r="F37" i="11" l="1"/>
  <c r="F31" i="11"/>
  <c r="F36" i="11" s="1"/>
  <c r="G36" i="11"/>
  <c r="G38" i="11" s="1"/>
  <c r="F35" i="11"/>
  <c r="F29" i="11"/>
  <c r="F38" i="11" l="1"/>
  <c r="G33" i="11" l="1"/>
  <c r="G62" i="11"/>
  <c r="G15" i="11" l="1"/>
  <c r="F12" i="11" l="1"/>
  <c r="F67" i="11"/>
  <c r="G16" i="11"/>
  <c r="G17" i="11" s="1"/>
  <c r="F15" i="11"/>
  <c r="F44" i="11" l="1"/>
  <c r="G28" i="11"/>
  <c r="G29" i="11" s="1"/>
  <c r="E32" i="11" l="1"/>
  <c r="F16" i="11" l="1"/>
  <c r="F17" i="11" s="1"/>
  <c r="F63" i="11"/>
  <c r="G12" i="11" l="1"/>
  <c r="G18" i="11" l="1"/>
  <c r="F18" i="11"/>
  <c r="G19" i="11"/>
  <c r="G21" i="11"/>
  <c r="F49" i="11"/>
  <c r="G57" i="11"/>
  <c r="G58" i="11"/>
  <c r="G24" i="11" l="1"/>
  <c r="F54" i="11"/>
  <c r="F55" i="11" s="1"/>
  <c r="F19" i="11"/>
  <c r="F58" i="11"/>
  <c r="F21" i="11"/>
  <c r="F57" i="11"/>
  <c r="F24" i="11" l="1"/>
  <c r="G59" i="11"/>
  <c r="F40" i="11" l="1"/>
  <c r="G65" i="11"/>
  <c r="G67" i="11" s="1"/>
  <c r="F59" i="11"/>
  <c r="G68" i="11" l="1"/>
  <c r="G69" i="11" s="1"/>
  <c r="F62" i="11"/>
  <c r="F33" i="11"/>
  <c r="F68" i="11" l="1"/>
  <c r="F69" i="11" s="1"/>
</calcChain>
</file>

<file path=xl/sharedStrings.xml><?xml version="1.0" encoding="utf-8"?>
<sst xmlns="http://schemas.openxmlformats.org/spreadsheetml/2006/main" count="137" uniqueCount="123">
  <si>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</si>
  <si>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</si>
  <si>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</si>
  <si>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</si>
  <si>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</si>
  <si>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</si>
  <si>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</si>
  <si>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</si>
  <si>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</si>
  <si>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</si>
  <si>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</si>
  <si>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</si>
  <si>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</si>
  <si>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</si>
  <si>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</si>
  <si>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</si>
  <si>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</si>
  <si>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</si>
  <si>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</si>
  <si>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</si>
  <si>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</si>
  <si>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</si>
  <si>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</si>
  <si>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</si>
  <si>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</si>
  <si>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</si>
  <si>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</si>
  <si>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</si>
  <si>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</si>
  <si>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</si>
  <si>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</si>
  <si>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</si>
  <si>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</si>
  <si>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</si>
  <si>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</si>
  <si>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</si>
  <si>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</si>
  <si>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</si>
  <si>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</si>
  <si>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</si>
  <si>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</si>
  <si>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</si>
  <si>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</si>
  <si>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assumption based on current share today</t>
  </si>
  <si>
    <t>Taxis</t>
  </si>
  <si>
    <t>Autonomous Mobility as a Service Business</t>
  </si>
  <si>
    <t>Total long term debt</t>
  </si>
  <si>
    <t>Notes</t>
  </si>
  <si>
    <t>EBITDA R&amp;D</t>
  </si>
  <si>
    <t>Depreciation/PP&amp;E</t>
  </si>
  <si>
    <t>EBIT</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</si>
  <si>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</si>
  <si>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</si>
  <si>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</si>
  <si>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</si>
  <si>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</si>
  <si>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</si>
  <si>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</si>
  <si>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</si>
  <si>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</si>
  <si>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</si>
  <si>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</si>
  <si>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</si>
  <si>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Gross Margin</t>
  </si>
  <si>
    <t>Revenue</t>
  </si>
  <si>
    <t>Cars Sold (units, not in millions)</t>
  </si>
  <si>
    <t>Electric Vehicle Business</t>
  </si>
  <si>
    <t>From Autonomous and Electric Market Cap Analysis file</t>
  </si>
  <si>
    <t>2023 Bear</t>
  </si>
  <si>
    <t>2023 Bull</t>
  </si>
  <si>
    <t>Sources</t>
  </si>
  <si>
    <t>Excerpt from ARK's Tesla Valuation Model</t>
  </si>
  <si>
    <t>Key:</t>
  </si>
  <si>
    <t xml:space="preserve">   Black text indicates cells with formulas</t>
  </si>
  <si>
    <t>ASP (not in millions)</t>
  </si>
  <si>
    <t>This is cumulative over 3 years and can be changed manually if needed using the logic from above for prior years</t>
  </si>
  <si>
    <t>Average auto company has multiple of 7.3</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</si>
  <si>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</si>
  <si>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</si>
  <si>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</si>
  <si>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</si>
  <si>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</si>
  <si>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~72,000</t>
  </si>
  <si>
    <t>Net property, plant and equipment</t>
  </si>
  <si>
    <t>Capital consumed per vehicle</t>
  </si>
  <si>
    <t>Part and labor and other cost per vehicle (not in millions)</t>
  </si>
  <si>
    <t>Long term debt</t>
  </si>
  <si>
    <t>Debt to ebitda ratio</t>
  </si>
  <si>
    <t>Incremental depreciation (cumulative)</t>
  </si>
  <si>
    <t>Incremental capex required</t>
  </si>
  <si>
    <t>Working capital days</t>
  </si>
  <si>
    <t>Working capital required</t>
  </si>
  <si>
    <t>Incremental capital required</t>
  </si>
  <si>
    <t>Cash on hand</t>
  </si>
  <si>
    <t>[Net PP&amp;E] * [Depreciation rate] / [Cars sold]</t>
  </si>
  <si>
    <t>Incremental cash generated by EVs</t>
  </si>
  <si>
    <t>Incremental interest paid</t>
  </si>
  <si>
    <t>BMW is at ~6-7%</t>
  </si>
  <si>
    <t>Depreciation plus change in net pp&amp;e</t>
  </si>
  <si>
    <t>BMW at 4</t>
  </si>
  <si>
    <t>Assumes Tesla works towards a neutral working capital position.</t>
  </si>
  <si>
    <t>Blended average depreciation across 5 years, estimated</t>
  </si>
  <si>
    <t xml:space="preserve">   Blue text indicates assumptions that can be altered, altering one input may require altering another input in order to get reasonable results</t>
  </si>
  <si>
    <t>Average interest paid (%)</t>
  </si>
  <si>
    <t>Total COGs per vehicle</t>
  </si>
  <si>
    <t>Capital consumed plus parts and labor and other costs</t>
  </si>
  <si>
    <t>Estimate of cumulative interest paid</t>
  </si>
  <si>
    <t>[Change in debt]+[Change in working capital required]+[Cumulative interest paid]+[Incremental capex]-[Incremental cashflow]</t>
  </si>
  <si>
    <t>Fully Autonomous Capable Fleet (not in millions)</t>
  </si>
  <si>
    <t>[units]*[ASP]</t>
  </si>
  <si>
    <t>Additional share issuance (in $)</t>
  </si>
  <si>
    <t>For needs outside of cash such as incremental incentive compensation</t>
  </si>
  <si>
    <t>Assumes 20% tax rate and Tesla tunes R&amp;D to drop a similar percent of revenues into EBIT over time. Doesn't give any credit for tax loss carries.</t>
  </si>
  <si>
    <t>GM produces ~8mm vehicles on 39bln PP&amp;E: 5k per vehicle. Ford 6mm vehicles on 35bln: 6k per vehicle; BMW ~9k per vehicle 2018, ~10k per vehicle 2019. Bear case Tesla: ~9k per vehicle, bull case ~6.6k per vehicle</t>
  </si>
  <si>
    <t>ARK expects 26 million EVs to be sold in 2023. In 2018 Tesla had 17% of the BEV market, 3 million vehicles in 2023 would shrink its market share to 11%, 1.7 million would be 6%</t>
  </si>
  <si>
    <t>Teardowns of the Model 3 have suggested $25k for labor and materials. Included here are estimates for labor and materials given expectations for model sales mix plus shipping, logistics and warranty accruals with some conservatism as well as embedded expectations for model-mix.</t>
  </si>
  <si>
    <t>Left column share price as of 5/22/2019. Right columns estimated fair values.</t>
  </si>
  <si>
    <t>1-[COGs per vehicle]/[ASP]. 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</si>
  <si>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$20B dilution in our bull case is intentionally large. Use of capital left unspecified. For bear case share issuance covers incremental capital needs.</t>
  </si>
  <si>
    <t>Left column shares outstanding as of 5/22/19</t>
  </si>
  <si>
    <t>Could vary materially dependent upon your expectations for secondary issuance timing and market perception.</t>
  </si>
  <si>
    <t>[gross profit]-[SG&amp;A]-[R&amp;D]-[D&amp;A in gross profit]</t>
  </si>
  <si>
    <t>Comparable to BMW &amp; Daimler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</si>
</sst>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 numFmtId="169" formatCode="_(* #,##0_);_(* \(#,##0\);_(* &quot;-&quot;??_);_(@_)"/>
    <numFmt numFmtId="170" formatCode="0.0%"/>
  </numFmts>
  <fonts count="35">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8"/>
      <color theme="1"/>
      <name val="TimesNewRomanPSMT"/>
    </font>
    <font>
      <sz val="12"/>
      <color theme="4"/>
      <name val="Calibri"/>
      <family val="2"/>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5">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9" fontId="10" fillId="0" borderId="0" applyFont="0" applyFill="0" applyBorder="0" applyAlignment="0" applyProtection="0"/>
  </cellStyleXfs>
  <cellXfs count="124">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xf numFmtId="9" fontId="30" fillId="2" borderId="0" xfId="11" applyFont="1" applyFill="1" applyBorder="1" applyAlignment="1">
      <alignment vertical="center" wrapText="1"/>
    </xf>
    <xf numFmtId="0" fontId="33" fillId="0" borderId="0" xfId="0" applyFont="1"/>
    <xf numFmtId="169" fontId="34" fillId="2" borderId="3" xfId="9" applyNumberFormat="1" applyFont="1" applyFill="1" applyBorder="1" applyAlignment="1">
      <alignment vertical="center"/>
    </xf>
    <xf numFmtId="169" fontId="30" fillId="2" borderId="0" xfId="9" applyNumberFormat="1" applyFont="1" applyFill="1" applyBorder="1" applyAlignment="1">
      <alignment vertical="center"/>
    </xf>
    <xf numFmtId="169" fontId="34" fillId="2" borderId="0" xfId="9" applyNumberFormat="1" applyFont="1" applyFill="1" applyBorder="1" applyAlignment="1">
      <alignment vertical="center"/>
    </xf>
    <xf numFmtId="0" fontId="30" fillId="2" borderId="7" xfId="10" applyFont="1" applyFill="1" applyBorder="1" applyAlignment="1">
      <alignment vertical="center"/>
    </xf>
    <xf numFmtId="37" fontId="23" fillId="2" borderId="6" xfId="9" applyNumberFormat="1" applyFont="1" applyFill="1" applyBorder="1" applyAlignment="1">
      <alignment vertical="center" wrapText="1"/>
    </xf>
    <xf numFmtId="37" fontId="31" fillId="2" borderId="6" xfId="10" applyNumberFormat="1" applyFont="1" applyFill="1" applyBorder="1" applyAlignment="1">
      <alignment vertical="center" wrapText="1"/>
    </xf>
    <xf numFmtId="3" fontId="31" fillId="2" borderId="5" xfId="10" applyNumberFormat="1" applyFont="1" applyFill="1" applyBorder="1" applyAlignment="1">
      <alignment vertical="center"/>
    </xf>
    <xf numFmtId="37" fontId="31" fillId="2" borderId="3" xfId="10" applyNumberFormat="1" applyFont="1" applyFill="1" applyBorder="1" applyAlignment="1">
      <alignment vertical="center" wrapText="1"/>
    </xf>
    <xf numFmtId="9" fontId="11" fillId="2" borderId="0" xfId="14" applyFont="1" applyFill="1" applyAlignment="1">
      <alignment vertical="center" wrapText="1"/>
    </xf>
    <xf numFmtId="169" fontId="11" fillId="2" borderId="0" xfId="9" applyNumberFormat="1" applyFont="1" applyFill="1" applyAlignment="1">
      <alignment vertical="center" wrapText="1"/>
    </xf>
    <xf numFmtId="169" fontId="11" fillId="2" borderId="0" xfId="10" applyNumberFormat="1" applyFont="1" applyFill="1" applyAlignment="1">
      <alignment vertical="center" wrapText="1"/>
    </xf>
    <xf numFmtId="37" fontId="30" fillId="2" borderId="0" xfId="10" applyNumberFormat="1" applyFont="1" applyFill="1" applyBorder="1" applyAlignment="1">
      <alignment vertical="center" wrapText="1"/>
    </xf>
    <xf numFmtId="37" fontId="30" fillId="2" borderId="3" xfId="10" applyNumberFormat="1" applyFont="1" applyFill="1" applyBorder="1" applyAlignment="1">
      <alignment vertical="center" wrapText="1"/>
    </xf>
    <xf numFmtId="0" fontId="11" fillId="2" borderId="6" xfId="10" applyFont="1" applyFill="1" applyBorder="1" applyAlignment="1">
      <alignment vertical="top" wrapText="1"/>
    </xf>
    <xf numFmtId="0" fontId="12" fillId="2" borderId="6" xfId="10" applyFont="1" applyFill="1" applyBorder="1" applyAlignment="1">
      <alignment vertical="top"/>
    </xf>
    <xf numFmtId="0" fontId="11" fillId="2" borderId="0" xfId="10" applyFont="1" applyFill="1" applyBorder="1" applyAlignment="1">
      <alignment vertical="top" wrapText="1"/>
    </xf>
    <xf numFmtId="0" fontId="12" fillId="2" borderId="0" xfId="10" applyFont="1" applyFill="1" applyBorder="1" applyAlignment="1">
      <alignment vertical="top"/>
    </xf>
    <xf numFmtId="0" fontId="11" fillId="2" borderId="1" xfId="10" applyFont="1" applyFill="1" applyBorder="1" applyAlignment="1">
      <alignment vertical="top" wrapText="1"/>
    </xf>
    <xf numFmtId="0" fontId="12" fillId="2" borderId="1" xfId="10" applyFont="1" applyFill="1" applyBorder="1" applyAlignment="1">
      <alignment vertical="top"/>
    </xf>
    <xf numFmtId="170" fontId="31" fillId="2" borderId="0" xfId="14" applyNumberFormat="1" applyFont="1" applyFill="1" applyBorder="1" applyAlignment="1">
      <alignment vertical="center"/>
    </xf>
    <xf numFmtId="170" fontId="31" fillId="2" borderId="3" xfId="14" applyNumberFormat="1" applyFont="1" applyFill="1" applyBorder="1" applyAlignment="1">
      <alignment vertical="center"/>
    </xf>
    <xf numFmtId="165" fontId="28" fillId="2" borderId="0" xfId="12" applyNumberFormat="1" applyFont="1" applyFill="1" applyBorder="1" applyAlignment="1">
      <alignment vertical="center"/>
    </xf>
    <xf numFmtId="165" fontId="28" fillId="2" borderId="3" xfId="12" applyNumberFormat="1" applyFont="1" applyFill="1" applyBorder="1" applyAlignment="1">
      <alignment vertical="center"/>
    </xf>
    <xf numFmtId="3" fontId="30" fillId="2" borderId="0" xfId="12" applyNumberFormat="1" applyFont="1" applyFill="1" applyBorder="1" applyAlignment="1">
      <alignment vertical="center"/>
    </xf>
    <xf numFmtId="0" fontId="32" fillId="2" borderId="4" xfId="10" applyFont="1" applyFill="1" applyBorder="1" applyAlignment="1">
      <alignment vertical="center"/>
    </xf>
  </cellXfs>
  <cellStyles count="15">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xfId="14" builtinId="5"/>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cols>
    <col min="1" max="1" width="78.33203125" style="3" customWidth="1"/>
    <col min="2" max="16384" width="10.83203125" style="3"/>
  </cols>
  <sheetData>
    <row r="1" spans="1:1" ht="56" customHeight="1"/>
    <row r="2" spans="1:1">
      <c r="A2" s="1" t="s">
        <v>2</v>
      </c>
    </row>
    <row r="3" spans="1:1">
      <c r="A3" s="2" t="s">
        <v>4</v>
      </c>
    </row>
    <row r="4" spans="1:1">
      <c r="A4" s="7"/>
    </row>
    <row r="5" spans="1:1" ht="32">
      <c r="A5" s="4" t="s">
        <v>5</v>
      </c>
    </row>
    <row r="6" spans="1:1">
      <c r="A6" s="5"/>
    </row>
    <row r="7" spans="1:1" ht="84" customHeight="1">
      <c r="A7" s="4" t="s">
        <v>0</v>
      </c>
    </row>
    <row r="8" spans="1:1">
      <c r="A8" s="4"/>
    </row>
    <row r="9" spans="1:1" ht="82" customHeight="1">
      <c r="A9" s="6" t="s">
        <v>3</v>
      </c>
    </row>
    <row r="10" spans="1:1">
      <c r="A10" s="5"/>
    </row>
    <row r="11" spans="1:1" ht="78" customHeight="1">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91"/>
  <sheetViews>
    <sheetView tabSelected="1" topLeftCell="C27" zoomScale="130" zoomScaleNormal="130" workbookViewId="0">
      <selection activeCell="E33" sqref="E33"/>
    </sheetView>
  </sheetViews>
  <sheetFormatPr baseColWidth="10" defaultColWidth="14.1640625" defaultRowHeight="16"/>
  <cols>
    <col min="1" max="2" width="0" style="10" hidden="1" customWidth="1"/>
    <col min="3" max="3" width="3.33203125" style="8" customWidth="1"/>
    <col min="4" max="4" width="41.5" style="8" customWidth="1"/>
    <col min="5" max="5" width="10.1640625" style="8" customWidth="1"/>
    <col min="6" max="6" width="24.5" style="8" customWidth="1"/>
    <col min="7" max="7" width="22.33203125" style="8" customWidth="1"/>
    <col min="8" max="8" width="14.1640625" style="9" customWidth="1"/>
    <col min="9" max="9" width="27.6640625" style="8" bestFit="1" customWidth="1"/>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c r="D1" s="29" t="s">
        <v>72</v>
      </c>
      <c r="E1" s="114"/>
      <c r="F1" s="112"/>
      <c r="G1" s="112"/>
      <c r="H1" s="113"/>
      <c r="I1" s="30"/>
    </row>
    <row r="2" spans="1:13">
      <c r="D2" s="34" t="s">
        <v>102</v>
      </c>
      <c r="E2" s="31"/>
      <c r="F2" s="114"/>
      <c r="G2" s="114"/>
      <c r="H2" s="115"/>
      <c r="I2" s="31"/>
    </row>
    <row r="3" spans="1:13">
      <c r="D3" s="32" t="s">
        <v>73</v>
      </c>
      <c r="E3" s="116"/>
      <c r="F3" s="116"/>
      <c r="G3" s="116"/>
      <c r="H3" s="117"/>
      <c r="I3" s="33"/>
    </row>
    <row r="4" spans="1:13">
      <c r="D4" s="28"/>
      <c r="E4" s="114"/>
      <c r="F4" s="114"/>
      <c r="G4" s="114"/>
      <c r="H4" s="115"/>
      <c r="I4" s="114"/>
    </row>
    <row r="5" spans="1:13">
      <c r="D5" s="28"/>
      <c r="H5" s="98"/>
    </row>
    <row r="6" spans="1:13" s="11" customFormat="1" ht="19">
      <c r="A6" s="27"/>
      <c r="B6" s="27"/>
      <c r="D6" s="35" t="s">
        <v>71</v>
      </c>
      <c r="E6" s="36"/>
      <c r="F6" s="36"/>
      <c r="G6" s="37"/>
      <c r="H6" s="38"/>
    </row>
    <row r="7" spans="1:13" s="11" customFormat="1">
      <c r="A7" s="17"/>
      <c r="B7" s="17"/>
      <c r="D7" s="39" t="s">
        <v>77</v>
      </c>
      <c r="E7" s="40"/>
      <c r="F7" s="40"/>
      <c r="G7" s="37"/>
      <c r="H7" s="38"/>
      <c r="I7" s="108"/>
    </row>
    <row r="8" spans="1:13" s="11" customFormat="1">
      <c r="A8" s="26" t="s">
        <v>47</v>
      </c>
      <c r="B8" s="26" t="s">
        <v>70</v>
      </c>
      <c r="D8" s="41"/>
      <c r="E8" s="41">
        <v>2018</v>
      </c>
      <c r="F8" s="42" t="s">
        <v>69</v>
      </c>
      <c r="G8" s="42" t="s">
        <v>68</v>
      </c>
      <c r="H8" s="43" t="s">
        <v>47</v>
      </c>
      <c r="I8" s="109"/>
    </row>
    <row r="9" spans="1:13" s="11" customFormat="1">
      <c r="A9" s="18"/>
      <c r="B9" s="18" t="s">
        <v>67</v>
      </c>
      <c r="D9" s="44" t="s">
        <v>66</v>
      </c>
      <c r="E9" s="45"/>
      <c r="F9" s="46"/>
      <c r="G9" s="47"/>
      <c r="H9" s="38"/>
      <c r="I9" s="109"/>
      <c r="J9" s="107"/>
    </row>
    <row r="10" spans="1:13" s="11" customFormat="1">
      <c r="A10" s="18" t="s">
        <v>55</v>
      </c>
      <c r="B10" s="18" t="s">
        <v>62</v>
      </c>
      <c r="D10" s="102" t="s">
        <v>65</v>
      </c>
      <c r="E10" s="103">
        <v>245240</v>
      </c>
      <c r="F10" s="104">
        <v>3000000</v>
      </c>
      <c r="G10" s="105">
        <v>1700000</v>
      </c>
      <c r="H10" s="39" t="s">
        <v>114</v>
      </c>
    </row>
    <row r="11" spans="1:13" s="11" customFormat="1" ht="14" customHeight="1">
      <c r="A11" s="18"/>
      <c r="B11" s="18"/>
      <c r="D11" s="48" t="s">
        <v>74</v>
      </c>
      <c r="E11" s="91" t="s">
        <v>82</v>
      </c>
      <c r="F11" s="93">
        <v>50000</v>
      </c>
      <c r="G11" s="94">
        <v>50000</v>
      </c>
      <c r="H11" s="39"/>
    </row>
    <row r="12" spans="1:13" s="11" customFormat="1">
      <c r="A12" s="18" t="s">
        <v>55</v>
      </c>
      <c r="B12" s="18" t="s">
        <v>62</v>
      </c>
      <c r="D12" s="123" t="s">
        <v>64</v>
      </c>
      <c r="E12" s="50">
        <v>21461000000</v>
      </c>
      <c r="F12" s="120">
        <f>F10*F11</f>
        <v>150000000000</v>
      </c>
      <c r="G12" s="121">
        <f>G10*G11</f>
        <v>85000000000</v>
      </c>
      <c r="H12" s="38" t="s">
        <v>109</v>
      </c>
      <c r="K12" s="16"/>
      <c r="L12" s="16"/>
      <c r="M12" s="16"/>
    </row>
    <row r="13" spans="1:13" s="11" customFormat="1">
      <c r="A13" s="18"/>
      <c r="B13" s="18"/>
      <c r="D13" s="49"/>
      <c r="E13" s="50"/>
      <c r="F13" s="50"/>
      <c r="G13" s="51"/>
      <c r="H13" s="38"/>
      <c r="K13" s="16"/>
      <c r="L13" s="16"/>
      <c r="M13" s="16"/>
    </row>
    <row r="14" spans="1:13" s="11" customFormat="1">
      <c r="A14" s="18"/>
      <c r="B14" s="18"/>
      <c r="D14" s="49" t="s">
        <v>85</v>
      </c>
      <c r="E14" s="50"/>
      <c r="F14" s="93">
        <v>33000</v>
      </c>
      <c r="G14" s="106">
        <v>35000</v>
      </c>
      <c r="H14" s="38" t="s">
        <v>115</v>
      </c>
      <c r="K14" s="16"/>
      <c r="L14" s="16"/>
      <c r="M14" s="16"/>
    </row>
    <row r="15" spans="1:13" s="11" customFormat="1">
      <c r="A15" s="18"/>
      <c r="B15" s="18"/>
      <c r="D15" s="49" t="s">
        <v>84</v>
      </c>
      <c r="E15" s="50"/>
      <c r="F15" s="110">
        <f>(F27*F26)/F10</f>
        <v>733.33333333333337</v>
      </c>
      <c r="G15" s="111">
        <f>(G27*G26)/G10</f>
        <v>970.58823529411768</v>
      </c>
      <c r="H15" s="38" t="s">
        <v>94</v>
      </c>
      <c r="K15" s="16"/>
      <c r="L15" s="16"/>
      <c r="M15" s="16"/>
    </row>
    <row r="16" spans="1:13" s="11" customFormat="1">
      <c r="A16" s="18"/>
      <c r="B16" s="18"/>
      <c r="D16" s="49" t="s">
        <v>104</v>
      </c>
      <c r="E16" s="50"/>
      <c r="F16" s="110">
        <f>F15+F14</f>
        <v>33733.333333333336</v>
      </c>
      <c r="G16" s="111">
        <f>G15+G14</f>
        <v>35970.588235294119</v>
      </c>
      <c r="H16" s="38" t="s">
        <v>105</v>
      </c>
      <c r="K16" s="16"/>
      <c r="L16" s="16"/>
      <c r="M16" s="16"/>
    </row>
    <row r="17" spans="1:13" s="11" customFormat="1">
      <c r="A17" s="18" t="s">
        <v>55</v>
      </c>
      <c r="B17" s="18" t="s">
        <v>62</v>
      </c>
      <c r="D17" s="49" t="s">
        <v>63</v>
      </c>
      <c r="E17" s="52">
        <v>0.188</v>
      </c>
      <c r="F17" s="52">
        <f>1-(F16)/F11</f>
        <v>0.32533333333333325</v>
      </c>
      <c r="G17" s="78">
        <f>1-(G16)/G11</f>
        <v>0.28058823529411758</v>
      </c>
      <c r="H17" s="39" t="s">
        <v>117</v>
      </c>
      <c r="K17" s="16"/>
      <c r="L17" s="16"/>
      <c r="M17" s="16"/>
    </row>
    <row r="18" spans="1:13" s="11" customFormat="1">
      <c r="A18" s="18" t="s">
        <v>55</v>
      </c>
      <c r="B18" s="18" t="s">
        <v>62</v>
      </c>
      <c r="D18" s="49" t="s">
        <v>61</v>
      </c>
      <c r="E18" s="50">
        <v>4042000000</v>
      </c>
      <c r="F18" s="50">
        <f>F17*F12</f>
        <v>48799999999.999985</v>
      </c>
      <c r="G18" s="51">
        <f>G17*G12</f>
        <v>23849999999.999996</v>
      </c>
      <c r="H18" s="38" t="s">
        <v>60</v>
      </c>
      <c r="K18" s="16"/>
      <c r="L18" s="16"/>
      <c r="M18" s="16"/>
    </row>
    <row r="19" spans="1:13" s="11" customFormat="1">
      <c r="A19" s="18" t="s">
        <v>55</v>
      </c>
      <c r="B19" s="18" t="s">
        <v>52</v>
      </c>
      <c r="D19" s="49" t="s">
        <v>59</v>
      </c>
      <c r="E19" s="50">
        <v>2834000000</v>
      </c>
      <c r="F19" s="50">
        <f>F20*F12</f>
        <v>15000000000</v>
      </c>
      <c r="G19" s="51">
        <f>G20*G12</f>
        <v>8500000000</v>
      </c>
      <c r="H19" s="38" t="s">
        <v>58</v>
      </c>
      <c r="K19" s="16"/>
      <c r="L19" s="25"/>
      <c r="M19" s="16"/>
    </row>
    <row r="20" spans="1:13" s="11" customFormat="1">
      <c r="A20" s="18" t="s">
        <v>55</v>
      </c>
      <c r="B20" s="18" t="s">
        <v>52</v>
      </c>
      <c r="D20" s="49" t="s">
        <v>57</v>
      </c>
      <c r="E20" s="52">
        <v>0.13205349238152927</v>
      </c>
      <c r="F20" s="53">
        <v>0.1</v>
      </c>
      <c r="G20" s="54">
        <v>0.1</v>
      </c>
      <c r="H20" s="39" t="s">
        <v>56</v>
      </c>
      <c r="K20" s="16"/>
      <c r="L20" s="16"/>
      <c r="M20" s="16"/>
    </row>
    <row r="21" spans="1:13" s="11" customFormat="1">
      <c r="A21" s="18" t="s">
        <v>55</v>
      </c>
      <c r="B21" s="18" t="s">
        <v>52</v>
      </c>
      <c r="D21" s="49" t="s">
        <v>54</v>
      </c>
      <c r="E21" s="50">
        <v>1460000000</v>
      </c>
      <c r="F21" s="50">
        <f>F22*F12</f>
        <v>15000000000</v>
      </c>
      <c r="G21" s="51">
        <f>G22*G12</f>
        <v>8500000000</v>
      </c>
      <c r="H21" s="38" t="s">
        <v>53</v>
      </c>
      <c r="K21" s="16"/>
      <c r="L21" s="16"/>
      <c r="M21" s="16"/>
    </row>
    <row r="22" spans="1:13" s="11" customFormat="1">
      <c r="A22" s="18"/>
      <c r="B22" s="18" t="s">
        <v>52</v>
      </c>
      <c r="D22" s="49" t="s">
        <v>51</v>
      </c>
      <c r="E22" s="52">
        <v>6.8030380690554962E-2</v>
      </c>
      <c r="F22" s="53">
        <v>0.1</v>
      </c>
      <c r="G22" s="54">
        <v>0.1</v>
      </c>
      <c r="H22" s="39" t="s">
        <v>97</v>
      </c>
      <c r="K22" s="16"/>
      <c r="L22" s="16"/>
      <c r="M22" s="16"/>
    </row>
    <row r="23" spans="1:13" s="11" customFormat="1">
      <c r="A23" s="18"/>
      <c r="B23" s="18"/>
      <c r="D23" s="49"/>
      <c r="E23" s="52"/>
      <c r="F23" s="53"/>
      <c r="G23" s="54"/>
      <c r="H23" s="39"/>
      <c r="K23" s="16"/>
      <c r="L23" s="16"/>
      <c r="M23" s="16"/>
    </row>
    <row r="24" spans="1:13" s="11" customFormat="1">
      <c r="A24" s="24"/>
      <c r="B24" s="24"/>
      <c r="D24" s="123" t="s">
        <v>50</v>
      </c>
      <c r="E24" s="50">
        <v>-252800000</v>
      </c>
      <c r="F24" s="121">
        <f>F18-F19-F21-F27*F26</f>
        <v>16599999999.999985</v>
      </c>
      <c r="G24" s="121">
        <f>G18-G19-G21-G27*G26</f>
        <v>5199999999.9999962</v>
      </c>
      <c r="H24" s="38" t="s">
        <v>121</v>
      </c>
      <c r="K24" s="16"/>
      <c r="L24" s="16"/>
      <c r="M24" s="16"/>
    </row>
    <row r="25" spans="1:13" s="11" customFormat="1">
      <c r="A25" s="24"/>
      <c r="B25" s="24"/>
      <c r="D25" s="49"/>
      <c r="E25" s="50"/>
      <c r="F25" s="50"/>
      <c r="G25" s="51"/>
      <c r="H25" s="38"/>
      <c r="I25" s="38"/>
      <c r="K25" s="16"/>
      <c r="L25" s="16"/>
      <c r="M25" s="16"/>
    </row>
    <row r="26" spans="1:13" s="11" customFormat="1">
      <c r="A26" s="24"/>
      <c r="B26" s="24"/>
      <c r="D26" s="55" t="s">
        <v>83</v>
      </c>
      <c r="E26" s="83">
        <v>11330000000</v>
      </c>
      <c r="F26" s="59">
        <v>20000000000</v>
      </c>
      <c r="G26" s="57">
        <v>15000000000</v>
      </c>
      <c r="H26" s="58" t="s">
        <v>113</v>
      </c>
      <c r="K26" s="16"/>
      <c r="L26" s="16"/>
      <c r="M26" s="16"/>
    </row>
    <row r="27" spans="1:13" s="11" customFormat="1">
      <c r="A27" s="24"/>
      <c r="B27" s="24"/>
      <c r="D27" s="55" t="s">
        <v>49</v>
      </c>
      <c r="E27" s="52">
        <v>0.1</v>
      </c>
      <c r="F27" s="53">
        <v>0.11</v>
      </c>
      <c r="G27" s="54">
        <v>0.11</v>
      </c>
      <c r="H27" s="38" t="s">
        <v>122</v>
      </c>
      <c r="K27" s="16"/>
      <c r="L27" s="16"/>
      <c r="M27" s="16"/>
    </row>
    <row r="28" spans="1:13" s="11" customFormat="1">
      <c r="A28" s="17"/>
      <c r="B28" s="17"/>
      <c r="D28" s="49" t="s">
        <v>88</v>
      </c>
      <c r="E28" s="50"/>
      <c r="F28" s="50">
        <f>ROUND(F27*AVERAGE(F26,$E26)*5,-8)</f>
        <v>8600000000</v>
      </c>
      <c r="G28" s="51">
        <f>ROUND(G27*AVERAGE(G26,$E26)*5,-8)</f>
        <v>7200000000</v>
      </c>
      <c r="H28" s="38" t="s">
        <v>101</v>
      </c>
      <c r="K28" s="23"/>
      <c r="L28" s="16"/>
      <c r="M28" s="16"/>
    </row>
    <row r="29" spans="1:13" s="11" customFormat="1">
      <c r="A29" s="17"/>
      <c r="B29" s="17"/>
      <c r="D29" s="49" t="s">
        <v>89</v>
      </c>
      <c r="E29" s="50"/>
      <c r="F29" s="50">
        <f>ROUND(F28+F26-$E26,-8)</f>
        <v>17300000000</v>
      </c>
      <c r="G29" s="51">
        <f>ROUND(G28+G26-$E26,-8)</f>
        <v>10900000000</v>
      </c>
      <c r="H29" s="38" t="s">
        <v>98</v>
      </c>
      <c r="K29" s="23"/>
      <c r="L29" s="16"/>
      <c r="M29" s="16"/>
    </row>
    <row r="30" spans="1:13" s="11" customFormat="1">
      <c r="A30" s="17"/>
      <c r="B30" s="17"/>
      <c r="D30" s="49" t="s">
        <v>90</v>
      </c>
      <c r="E30" s="50"/>
      <c r="F30" s="101">
        <v>5</v>
      </c>
      <c r="G30" s="99">
        <v>5</v>
      </c>
      <c r="H30" s="38" t="s">
        <v>100</v>
      </c>
      <c r="K30" s="23"/>
      <c r="L30" s="16"/>
      <c r="M30" s="16"/>
    </row>
    <row r="31" spans="1:13" s="11" customFormat="1">
      <c r="A31" s="17"/>
      <c r="B31" s="17"/>
      <c r="D31" s="49" t="s">
        <v>91</v>
      </c>
      <c r="E31" s="50"/>
      <c r="F31" s="50">
        <f>ROUND(F12*(F30/365),-8)</f>
        <v>2100000000</v>
      </c>
      <c r="G31" s="51">
        <f>ROUND(G12*(G30/365),-8)</f>
        <v>1200000000</v>
      </c>
      <c r="K31" s="23"/>
      <c r="L31" s="16"/>
      <c r="M31" s="16"/>
    </row>
    <row r="32" spans="1:13" s="11" customFormat="1">
      <c r="A32" s="17"/>
      <c r="B32" s="17"/>
      <c r="D32" s="49" t="s">
        <v>87</v>
      </c>
      <c r="E32" s="100">
        <f>E33/(E40-E21)</f>
        <v>8.5973073656109698</v>
      </c>
      <c r="F32" s="101">
        <v>0</v>
      </c>
      <c r="G32" s="99">
        <v>0</v>
      </c>
      <c r="H32" s="38" t="s">
        <v>99</v>
      </c>
      <c r="K32" s="23"/>
      <c r="L32" s="16"/>
      <c r="M32" s="16"/>
    </row>
    <row r="33" spans="1:13" s="11" customFormat="1">
      <c r="A33" s="18" t="s">
        <v>47</v>
      </c>
      <c r="B33" s="22"/>
      <c r="D33" s="49" t="s">
        <v>46</v>
      </c>
      <c r="E33" s="50">
        <f>12570082000+1.6*10^9</f>
        <v>14170082000</v>
      </c>
      <c r="F33" s="59">
        <f>F32*(F40-F21)</f>
        <v>0</v>
      </c>
      <c r="G33" s="60">
        <f>G32*(G40-G21)</f>
        <v>0</v>
      </c>
      <c r="H33" s="39" t="s">
        <v>86</v>
      </c>
      <c r="J33" s="21"/>
      <c r="K33" s="16"/>
      <c r="L33" s="16"/>
      <c r="M33" s="16"/>
    </row>
    <row r="34" spans="1:13" s="11" customFormat="1">
      <c r="A34" s="18"/>
      <c r="B34" s="22"/>
      <c r="D34" s="49" t="s">
        <v>103</v>
      </c>
      <c r="E34" s="50"/>
      <c r="F34" s="118">
        <v>5.5E-2</v>
      </c>
      <c r="G34" s="119">
        <v>5.5E-2</v>
      </c>
      <c r="H34" s="39"/>
      <c r="J34" s="21"/>
      <c r="K34" s="16"/>
      <c r="L34" s="16"/>
      <c r="M34" s="16"/>
    </row>
    <row r="35" spans="1:13" s="11" customFormat="1">
      <c r="A35" s="18"/>
      <c r="B35" s="22"/>
      <c r="D35" s="49" t="s">
        <v>96</v>
      </c>
      <c r="E35" s="50"/>
      <c r="F35" s="50">
        <f>AVERAGE($E33,F33)*F34*5</f>
        <v>1948386275</v>
      </c>
      <c r="G35" s="51">
        <f>AVERAGE($E33,G33)*G34*5</f>
        <v>1948386275</v>
      </c>
      <c r="H35" s="39" t="s">
        <v>106</v>
      </c>
      <c r="J35" s="21"/>
      <c r="K35" s="16"/>
      <c r="L35" s="16"/>
      <c r="M35" s="16"/>
    </row>
    <row r="36" spans="1:13" s="11" customFormat="1">
      <c r="A36" s="18"/>
      <c r="B36" s="22"/>
      <c r="D36" s="49" t="s">
        <v>93</v>
      </c>
      <c r="E36" s="50">
        <v>4600000000</v>
      </c>
      <c r="F36" s="50">
        <f>F31</f>
        <v>2100000000</v>
      </c>
      <c r="G36" s="51">
        <f>G31</f>
        <v>1200000000</v>
      </c>
      <c r="H36" s="39"/>
      <c r="J36" s="21"/>
      <c r="K36" s="16"/>
      <c r="L36" s="16"/>
      <c r="M36" s="16"/>
    </row>
    <row r="37" spans="1:13" s="11" customFormat="1">
      <c r="A37" s="18"/>
      <c r="B37" s="22"/>
      <c r="D37" s="49" t="s">
        <v>95</v>
      </c>
      <c r="E37" s="50"/>
      <c r="F37" s="50">
        <f>ROUND((F24/F12)*AVERAGE($E12,F12)*5*0.8,-9)</f>
        <v>38000000000</v>
      </c>
      <c r="G37" s="51">
        <f>ROUND((G24/G12)*AVERAGE($E12,G12)*5*0.8,-9)</f>
        <v>13000000000</v>
      </c>
      <c r="H37" s="39" t="s">
        <v>112</v>
      </c>
      <c r="J37" s="21"/>
      <c r="K37" s="16"/>
      <c r="L37" s="16"/>
      <c r="M37" s="16"/>
    </row>
    <row r="38" spans="1:13" s="11" customFormat="1">
      <c r="A38" s="18"/>
      <c r="B38" s="22"/>
      <c r="D38" s="49" t="s">
        <v>92</v>
      </c>
      <c r="E38" s="50"/>
      <c r="F38" s="50">
        <f>F36-$E36+$E33-F33+F29-F37+F35</f>
        <v>-7081531725</v>
      </c>
      <c r="G38" s="51">
        <f>G36-$E36+$E33-G33+G29-G37+G35</f>
        <v>10618468275</v>
      </c>
      <c r="H38" s="39" t="s">
        <v>107</v>
      </c>
      <c r="J38" s="21"/>
      <c r="K38" s="16"/>
      <c r="L38" s="16"/>
      <c r="M38" s="16"/>
    </row>
    <row r="39" spans="1:13" s="11" customFormat="1">
      <c r="A39" s="17"/>
      <c r="B39" s="17"/>
      <c r="D39" s="49"/>
      <c r="E39" s="50"/>
      <c r="F39" s="50"/>
      <c r="G39" s="51"/>
      <c r="K39" s="23"/>
      <c r="L39" s="16"/>
      <c r="M39" s="16"/>
    </row>
    <row r="40" spans="1:13" s="11" customFormat="1">
      <c r="A40" s="17"/>
      <c r="B40" s="17"/>
      <c r="D40" s="123" t="s">
        <v>48</v>
      </c>
      <c r="E40" s="50">
        <v>3108200000</v>
      </c>
      <c r="F40" s="120">
        <f>F24+F21+F26*F27</f>
        <v>33799999999.999985</v>
      </c>
      <c r="G40" s="121">
        <f>G24+G21+G26*G27</f>
        <v>15349999999.999996</v>
      </c>
      <c r="H40" s="38"/>
      <c r="K40" s="23"/>
      <c r="L40" s="16"/>
      <c r="M40" s="16"/>
    </row>
    <row r="41" spans="1:13" s="11" customFormat="1">
      <c r="A41" s="17"/>
      <c r="B41" s="17"/>
      <c r="D41" s="49"/>
      <c r="E41" s="50"/>
      <c r="F41" s="50"/>
      <c r="G41" s="51"/>
      <c r="H41" s="38"/>
      <c r="K41" s="23"/>
      <c r="L41" s="16"/>
      <c r="M41" s="16"/>
    </row>
    <row r="42" spans="1:13" s="11" customFormat="1">
      <c r="A42" s="18"/>
      <c r="B42" s="17"/>
      <c r="D42" s="61" t="s">
        <v>45</v>
      </c>
      <c r="E42" s="62"/>
      <c r="F42" s="63"/>
      <c r="G42" s="64"/>
      <c r="H42" s="38"/>
      <c r="J42" s="20"/>
      <c r="K42" s="16"/>
      <c r="L42" s="16"/>
      <c r="M42" s="16"/>
    </row>
    <row r="43" spans="1:13" s="11" customFormat="1">
      <c r="A43" s="18"/>
      <c r="B43" s="17"/>
      <c r="D43" s="65" t="s">
        <v>44</v>
      </c>
      <c r="E43" s="66"/>
      <c r="F43" s="67"/>
      <c r="G43" s="68"/>
      <c r="H43" s="38"/>
      <c r="K43" s="16"/>
      <c r="L43" s="19"/>
      <c r="M43" s="16"/>
    </row>
    <row r="44" spans="1:13" s="11" customFormat="1">
      <c r="A44" s="18" t="s">
        <v>43</v>
      </c>
      <c r="B44" s="17"/>
      <c r="D44" s="49" t="s">
        <v>108</v>
      </c>
      <c r="E44" s="69"/>
      <c r="F44" s="122">
        <f>ROUND(AVERAGE(F10,E10)*4.45,-5)</f>
        <v>7200000</v>
      </c>
      <c r="G44" s="51">
        <v>0</v>
      </c>
      <c r="H44" s="39" t="s">
        <v>78</v>
      </c>
      <c r="K44" s="16"/>
      <c r="L44" s="16"/>
      <c r="M44" s="16"/>
    </row>
    <row r="45" spans="1:13" s="11" customFormat="1">
      <c r="A45" s="18"/>
      <c r="B45" s="17"/>
      <c r="D45" s="49" t="s">
        <v>42</v>
      </c>
      <c r="E45" s="69"/>
      <c r="F45" s="53">
        <v>0.22655672629716056</v>
      </c>
      <c r="G45" s="51">
        <v>0</v>
      </c>
      <c r="H45" s="39" t="s">
        <v>41</v>
      </c>
      <c r="K45" s="16"/>
      <c r="L45" s="16"/>
      <c r="M45" s="16"/>
    </row>
    <row r="46" spans="1:13" s="11" customFormat="1">
      <c r="A46" s="18"/>
      <c r="B46" s="17"/>
      <c r="D46" s="49" t="s">
        <v>40</v>
      </c>
      <c r="E46" s="69"/>
      <c r="F46" s="70">
        <v>116100</v>
      </c>
      <c r="G46" s="51">
        <v>0</v>
      </c>
      <c r="H46" s="39" t="s">
        <v>39</v>
      </c>
      <c r="K46" s="16"/>
      <c r="L46" s="16"/>
      <c r="M46" s="16"/>
    </row>
    <row r="47" spans="1:13" s="11" customFormat="1">
      <c r="A47" s="18" t="s">
        <v>38</v>
      </c>
      <c r="B47" s="17"/>
      <c r="D47" s="49" t="s">
        <v>37</v>
      </c>
      <c r="E47" s="69"/>
      <c r="F47" s="53">
        <v>0.7</v>
      </c>
      <c r="G47" s="51">
        <v>0</v>
      </c>
      <c r="H47" s="39" t="s">
        <v>36</v>
      </c>
      <c r="K47" s="16"/>
      <c r="L47" s="16"/>
      <c r="M47" s="16"/>
    </row>
    <row r="48" spans="1:13" s="11" customFormat="1">
      <c r="A48" s="18" t="s">
        <v>35</v>
      </c>
      <c r="B48" s="17"/>
      <c r="D48" s="49" t="s">
        <v>34</v>
      </c>
      <c r="E48" s="71"/>
      <c r="F48" s="72">
        <v>1</v>
      </c>
      <c r="G48" s="51">
        <v>0</v>
      </c>
      <c r="H48" s="39" t="s">
        <v>81</v>
      </c>
      <c r="K48" s="16"/>
      <c r="L48" s="16"/>
      <c r="M48" s="16"/>
    </row>
    <row r="49" spans="1:13" s="11" customFormat="1">
      <c r="A49" s="18"/>
      <c r="B49" s="17"/>
      <c r="D49" s="49" t="s">
        <v>33</v>
      </c>
      <c r="E49" s="71"/>
      <c r="F49" s="50">
        <f>F48*F47*F46*F44</f>
        <v>585144000000</v>
      </c>
      <c r="G49" s="51">
        <v>0</v>
      </c>
      <c r="H49" s="39" t="s">
        <v>32</v>
      </c>
      <c r="K49" s="16"/>
      <c r="L49" s="16"/>
      <c r="M49" s="16"/>
    </row>
    <row r="50" spans="1:13" s="11" customFormat="1">
      <c r="A50" s="18" t="s">
        <v>31</v>
      </c>
      <c r="B50" s="17"/>
      <c r="D50" s="49" t="s">
        <v>30</v>
      </c>
      <c r="E50" s="71"/>
      <c r="F50" s="53">
        <v>0.3</v>
      </c>
      <c r="G50" s="51">
        <v>0</v>
      </c>
      <c r="H50" s="39" t="s">
        <v>29</v>
      </c>
      <c r="K50" s="16"/>
      <c r="L50" s="16"/>
      <c r="M50" s="16"/>
    </row>
    <row r="51" spans="1:13" s="11" customFormat="1">
      <c r="A51" s="18"/>
      <c r="B51" s="17"/>
      <c r="D51" s="49" t="s">
        <v>28</v>
      </c>
      <c r="E51" s="71"/>
      <c r="F51" s="53">
        <v>0.1</v>
      </c>
      <c r="G51" s="51">
        <v>0</v>
      </c>
      <c r="H51" s="39" t="s">
        <v>27</v>
      </c>
      <c r="K51" s="16"/>
      <c r="L51" s="16"/>
      <c r="M51" s="16"/>
    </row>
    <row r="52" spans="1:13" s="11" customFormat="1" ht="20" customHeight="1">
      <c r="A52" s="18"/>
      <c r="B52" s="17"/>
      <c r="D52" s="49" t="s">
        <v>26</v>
      </c>
      <c r="E52" s="71"/>
      <c r="F52" s="73">
        <v>0.5</v>
      </c>
      <c r="G52" s="51">
        <v>0</v>
      </c>
      <c r="H52" s="39" t="s">
        <v>25</v>
      </c>
      <c r="K52" s="16"/>
      <c r="L52" s="16"/>
      <c r="M52" s="16"/>
    </row>
    <row r="53" spans="1:13" s="11" customFormat="1">
      <c r="A53" s="18"/>
      <c r="B53" s="17"/>
      <c r="D53" s="49" t="s">
        <v>24</v>
      </c>
      <c r="E53" s="71"/>
      <c r="F53" s="53">
        <v>0.7</v>
      </c>
      <c r="G53" s="51">
        <v>0</v>
      </c>
      <c r="H53" s="39"/>
      <c r="K53" s="16"/>
      <c r="L53" s="16"/>
      <c r="M53" s="16"/>
    </row>
    <row r="54" spans="1:13" s="11" customFormat="1">
      <c r="A54" s="18"/>
      <c r="B54" s="17"/>
      <c r="D54" s="49" t="s">
        <v>23</v>
      </c>
      <c r="E54" s="71"/>
      <c r="F54" s="50">
        <f>(F49*F45*F51+F49*(1-F45)*F50)*F52*F53</f>
        <v>52160338366.330185</v>
      </c>
      <c r="G54" s="51">
        <v>0</v>
      </c>
      <c r="H54" s="39" t="s">
        <v>22</v>
      </c>
      <c r="K54" s="16"/>
      <c r="L54" s="16"/>
      <c r="M54" s="16"/>
    </row>
    <row r="55" spans="1:13" s="11" customFormat="1">
      <c r="A55" s="18"/>
      <c r="B55" s="17"/>
      <c r="D55" s="49" t="s">
        <v>21</v>
      </c>
      <c r="E55" s="71"/>
      <c r="F55" s="56">
        <f>31093764148.19+F54</f>
        <v>83254102514.520187</v>
      </c>
      <c r="G55" s="51">
        <v>0</v>
      </c>
      <c r="H55" s="39" t="s">
        <v>75</v>
      </c>
      <c r="K55" s="16"/>
      <c r="L55" s="16"/>
      <c r="M55" s="16"/>
    </row>
    <row r="56" spans="1:13" s="11" customFormat="1">
      <c r="A56" s="18"/>
      <c r="B56" s="17"/>
      <c r="D56" s="61" t="s">
        <v>20</v>
      </c>
      <c r="E56" s="74"/>
      <c r="F56" s="74"/>
      <c r="G56" s="75"/>
      <c r="H56" s="92"/>
      <c r="K56" s="16"/>
      <c r="L56" s="16"/>
      <c r="M56" s="16"/>
    </row>
    <row r="57" spans="1:13" s="11" customFormat="1" ht="17">
      <c r="A57" s="18"/>
      <c r="B57" s="17"/>
      <c r="D57" s="76" t="s">
        <v>19</v>
      </c>
      <c r="E57" s="77"/>
      <c r="F57" s="50">
        <f>F12+F49*F45*F51+F49*(1-F45)*F50</f>
        <v>299029538189.51483</v>
      </c>
      <c r="G57" s="51">
        <f>G12+G49*G45*G51+G49*(1-G45)*G50</f>
        <v>85000000000</v>
      </c>
      <c r="H57" s="38"/>
      <c r="K57" s="16"/>
      <c r="L57" s="16"/>
      <c r="M57" s="16"/>
    </row>
    <row r="58" spans="1:13" s="11" customFormat="1" ht="17">
      <c r="A58" s="18" t="s">
        <v>18</v>
      </c>
      <c r="B58" s="17"/>
      <c r="D58" s="76" t="s">
        <v>17</v>
      </c>
      <c r="E58" s="77"/>
      <c r="F58" s="52">
        <f>F12/(F49*F45*F51+F49*(1-F45)*F50+F12)*F17+(F49*F45*F51+F49*(1-F45)*F50)/(F49*F45*F51+F49*(1-F45)*F50+F12)*80%</f>
        <v>0.56189643193417294</v>
      </c>
      <c r="G58" s="78">
        <f>G17</f>
        <v>0.28058823529411758</v>
      </c>
      <c r="H58" s="38" t="s">
        <v>16</v>
      </c>
    </row>
    <row r="59" spans="1:13" s="11" customFormat="1" ht="19" customHeight="1">
      <c r="A59" s="18"/>
      <c r="B59" s="17"/>
      <c r="D59" s="76" t="s">
        <v>15</v>
      </c>
      <c r="E59" s="77"/>
      <c r="F59" s="97">
        <f>F12/(F49*F45*F51+F49*(1-F45)*F50+F12)*(F24+F26*F27)/F12+(F49*F45*F51+F49*(1-F45)*F50)/(F49*F45*F51+F49*(1-F45)*F50+F12)*F52</f>
        <v>0.31205870048736672</v>
      </c>
      <c r="G59" s="79">
        <f>G12/(G49*G45*G51+G49*(1-G45)*G50+G12)*(G24+G26*G27)/G12+(G49*G45*G51+G49*(1-G45)*G50)/(G49*G45*G51+G49*(1-G45)*G50+G12)*G52</f>
        <v>8.0588235294117599E-2</v>
      </c>
      <c r="H59" s="38"/>
    </row>
    <row r="60" spans="1:13" s="11" customFormat="1">
      <c r="A60" s="18" t="s">
        <v>14</v>
      </c>
      <c r="B60" s="17"/>
      <c r="D60" s="49" t="s">
        <v>13</v>
      </c>
      <c r="E60" s="71"/>
      <c r="F60" s="80">
        <v>8</v>
      </c>
      <c r="G60" s="81">
        <v>8</v>
      </c>
      <c r="H60" s="38" t="s">
        <v>76</v>
      </c>
    </row>
    <row r="61" spans="1:13" s="11" customFormat="1">
      <c r="A61" s="18"/>
      <c r="B61" s="17"/>
      <c r="D61" s="49" t="s">
        <v>12</v>
      </c>
      <c r="E61" s="71"/>
      <c r="F61" s="80">
        <v>14</v>
      </c>
      <c r="G61" s="82">
        <v>14</v>
      </c>
      <c r="H61" s="38" t="s">
        <v>11</v>
      </c>
    </row>
    <row r="62" spans="1:13" s="11" customFormat="1">
      <c r="A62" s="18"/>
      <c r="B62" s="17"/>
      <c r="D62" s="49" t="s">
        <v>10</v>
      </c>
      <c r="E62" s="50"/>
      <c r="F62" s="83">
        <f>F40*F60+(F49*F45*F51+F49*(1-F45)*F50)*F52*F61</f>
        <v>1313606767326.6035</v>
      </c>
      <c r="G62" s="51">
        <f>G40*G60+(G49*G45*G51+G49*(1-G45)*G50)*G52*G61</f>
        <v>122799999999.99997</v>
      </c>
      <c r="H62" s="38"/>
    </row>
    <row r="63" spans="1:13" s="11" customFormat="1">
      <c r="A63" s="18"/>
      <c r="B63" s="17"/>
      <c r="D63" s="49" t="s">
        <v>9</v>
      </c>
      <c r="E63" s="71"/>
      <c r="F63" s="50">
        <f>F62-F33+F55+F36</f>
        <v>1398960869841.1238</v>
      </c>
      <c r="G63" s="51">
        <f>G62-G33+G55+G36</f>
        <v>123999999999.99997</v>
      </c>
      <c r="H63" s="38"/>
    </row>
    <row r="64" spans="1:13" s="11" customFormat="1">
      <c r="A64" s="13"/>
      <c r="B64" s="13"/>
      <c r="D64" s="49" t="s">
        <v>8</v>
      </c>
      <c r="E64" s="71"/>
      <c r="F64" s="59">
        <v>70000000000</v>
      </c>
      <c r="G64" s="84">
        <v>70000000000</v>
      </c>
      <c r="H64" s="38" t="s">
        <v>120</v>
      </c>
    </row>
    <row r="65" spans="1:13" s="11" customFormat="1">
      <c r="A65" s="13"/>
      <c r="B65" s="13"/>
      <c r="D65" s="49" t="s">
        <v>7</v>
      </c>
      <c r="E65" s="71"/>
      <c r="F65" s="59">
        <v>20000000000</v>
      </c>
      <c r="G65" s="60">
        <f>G38</f>
        <v>10618468275</v>
      </c>
      <c r="H65" s="38" t="s">
        <v>118</v>
      </c>
    </row>
    <row r="66" spans="1:13" s="11" customFormat="1">
      <c r="A66" s="13"/>
      <c r="B66" s="13"/>
      <c r="D66" s="49" t="s">
        <v>110</v>
      </c>
      <c r="E66" s="71"/>
      <c r="F66" s="59"/>
      <c r="G66" s="60">
        <v>1000000000</v>
      </c>
      <c r="H66" s="38" t="s">
        <v>111</v>
      </c>
    </row>
    <row r="67" spans="1:13" s="11" customFormat="1">
      <c r="A67" s="13"/>
      <c r="B67" s="13"/>
      <c r="D67" s="49" t="s">
        <v>80</v>
      </c>
      <c r="E67" s="50">
        <v>178190000</v>
      </c>
      <c r="F67" s="50">
        <f>(F65+F66)/(F64/E67)+E67</f>
        <v>229101428.57142857</v>
      </c>
      <c r="G67" s="51">
        <f>(G65+G66)/(G64/E67)+E67</f>
        <v>207765640.88460356</v>
      </c>
      <c r="H67" s="38" t="s">
        <v>119</v>
      </c>
    </row>
    <row r="68" spans="1:13" s="11" customFormat="1">
      <c r="A68" s="13"/>
      <c r="B68" s="13"/>
      <c r="D68" s="49" t="s">
        <v>79</v>
      </c>
      <c r="E68" s="96">
        <v>195</v>
      </c>
      <c r="F68" s="86">
        <f>F63/F67</f>
        <v>6106.294834407634</v>
      </c>
      <c r="G68" s="87">
        <f>G63/G67</f>
        <v>596.82630617866016</v>
      </c>
      <c r="H68" s="85" t="s">
        <v>116</v>
      </c>
      <c r="M68" s="15"/>
    </row>
    <row r="69" spans="1:13" s="11" customFormat="1">
      <c r="A69" s="13"/>
      <c r="B69" s="13"/>
      <c r="D69" s="89" t="s">
        <v>6</v>
      </c>
      <c r="E69" s="88"/>
      <c r="F69" s="90">
        <f>(F68/E68)^(1/5)-1</f>
        <v>0.99135473787271122</v>
      </c>
      <c r="G69" s="95">
        <f>(G68/E68)^(1/5)-1</f>
        <v>0.25072741444586244</v>
      </c>
      <c r="H69" s="38"/>
    </row>
    <row r="70" spans="1:13" s="11" customFormat="1">
      <c r="A70" s="13"/>
      <c r="B70" s="13"/>
      <c r="H70" s="12"/>
    </row>
    <row r="71" spans="1:13" s="11" customFormat="1">
      <c r="A71" s="13"/>
      <c r="B71" s="13"/>
      <c r="H71" s="12"/>
    </row>
    <row r="72" spans="1:13" s="11" customFormat="1">
      <c r="A72" s="13"/>
      <c r="B72" s="13"/>
      <c r="H72" s="12"/>
    </row>
    <row r="73" spans="1:13" s="11" customFormat="1">
      <c r="A73" s="13"/>
      <c r="B73" s="13"/>
      <c r="H73" s="12"/>
    </row>
    <row r="74" spans="1:13" s="11" customFormat="1">
      <c r="A74" s="13"/>
      <c r="B74" s="13"/>
    </row>
    <row r="75" spans="1:13" s="11" customFormat="1">
      <c r="A75" s="13"/>
      <c r="B75" s="13"/>
      <c r="H75" s="12"/>
    </row>
    <row r="76" spans="1:13" s="11" customFormat="1" ht="18">
      <c r="A76" s="13"/>
      <c r="B76" s="13"/>
      <c r="D76" s="8"/>
      <c r="E76" s="14"/>
      <c r="F76" s="8"/>
      <c r="G76" s="8"/>
      <c r="H76" s="12"/>
    </row>
    <row r="77" spans="1:13" s="11" customFormat="1">
      <c r="A77" s="13"/>
      <c r="B77" s="13"/>
      <c r="D77" s="8"/>
      <c r="E77" s="8"/>
      <c r="F77" s="8"/>
      <c r="G77" s="8"/>
      <c r="H77" s="12"/>
    </row>
    <row r="78" spans="1:13" s="11" customFormat="1">
      <c r="A78" s="13"/>
      <c r="B78" s="13"/>
      <c r="D78" s="8"/>
      <c r="E78" s="8"/>
      <c r="F78" s="8"/>
      <c r="G78" s="8"/>
      <c r="H78" s="12"/>
    </row>
    <row r="79" spans="1:13" s="11" customFormat="1">
      <c r="A79" s="13"/>
      <c r="B79" s="13"/>
      <c r="D79" s="8"/>
      <c r="E79" s="8"/>
      <c r="F79" s="8"/>
      <c r="G79" s="8"/>
      <c r="H79" s="12"/>
    </row>
    <row r="80" spans="1:13" s="11" customFormat="1">
      <c r="A80" s="13"/>
      <c r="B80" s="13"/>
      <c r="D80" s="8"/>
      <c r="E80" s="8"/>
      <c r="F80" s="8"/>
      <c r="G80" s="8"/>
      <c r="H80" s="12"/>
    </row>
    <row r="81" spans="1:8" s="11" customFormat="1">
      <c r="A81" s="13"/>
      <c r="B81" s="13"/>
      <c r="D81" s="8"/>
      <c r="E81" s="8"/>
      <c r="F81" s="8"/>
      <c r="G81" s="8"/>
      <c r="H81" s="12"/>
    </row>
    <row r="82" spans="1:8" s="11" customFormat="1">
      <c r="A82" s="13"/>
      <c r="B82" s="13"/>
      <c r="D82" s="8"/>
      <c r="E82" s="8"/>
      <c r="F82" s="8"/>
      <c r="G82" s="8"/>
      <c r="H82" s="12"/>
    </row>
    <row r="83" spans="1:8" s="11" customFormat="1">
      <c r="A83" s="13"/>
      <c r="B83" s="13"/>
      <c r="D83" s="8"/>
      <c r="E83" s="8"/>
      <c r="F83" s="8"/>
      <c r="G83" s="8"/>
      <c r="H83" s="12"/>
    </row>
    <row r="84" spans="1:8" s="11" customFormat="1">
      <c r="A84" s="13"/>
      <c r="B84" s="13"/>
      <c r="D84" s="8"/>
      <c r="E84" s="8"/>
      <c r="F84" s="8"/>
      <c r="G84" s="8"/>
      <c r="H84" s="12"/>
    </row>
    <row r="85" spans="1:8" s="11" customFormat="1">
      <c r="A85" s="13"/>
      <c r="B85" s="13"/>
      <c r="D85" s="8"/>
      <c r="E85" s="8"/>
      <c r="F85" s="8"/>
      <c r="G85" s="8"/>
      <c r="H85" s="12"/>
    </row>
    <row r="86" spans="1:8" s="11" customFormat="1">
      <c r="A86" s="13"/>
      <c r="B86" s="13"/>
      <c r="D86" s="8"/>
      <c r="E86" s="8"/>
      <c r="F86" s="8"/>
      <c r="G86" s="8"/>
      <c r="H86" s="12"/>
    </row>
    <row r="87" spans="1:8" s="11" customFormat="1">
      <c r="A87" s="13"/>
      <c r="B87" s="13"/>
      <c r="D87" s="8"/>
      <c r="E87" s="8"/>
      <c r="F87" s="8"/>
      <c r="G87" s="8"/>
      <c r="H87" s="12"/>
    </row>
    <row r="88" spans="1:8" s="11" customFormat="1">
      <c r="A88" s="13"/>
      <c r="B88" s="13"/>
      <c r="D88" s="8"/>
      <c r="E88" s="8"/>
      <c r="F88" s="8"/>
      <c r="G88" s="8"/>
      <c r="H88" s="12"/>
    </row>
    <row r="91" spans="1:8">
      <c r="A91" s="8"/>
      <c r="B9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Microsoft Office User</cp:lastModifiedBy>
  <cp:lastPrinted>2017-09-27T13:36:41Z</cp:lastPrinted>
  <dcterms:created xsi:type="dcterms:W3CDTF">2017-09-26T14:14:52Z</dcterms:created>
  <dcterms:modified xsi:type="dcterms:W3CDTF">2019-05-30T15:27:42Z</dcterms:modified>
</cp:coreProperties>
</file>