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4380" windowHeight="4200" activeTab="2"/>
  </bookViews>
  <sheets>
    <sheet name="Network" sheetId="1" r:id="rId1"/>
    <sheet name="Antenna +Headend" sheetId="2" r:id="rId2"/>
    <sheet name="Satellite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3" l="1"/>
  <c r="C50" i="3"/>
  <c r="C48" i="3"/>
  <c r="B48" i="3"/>
  <c r="C45" i="3"/>
  <c r="C44" i="3"/>
  <c r="C46" i="3" s="1"/>
  <c r="B44" i="3"/>
  <c r="B46" i="3" s="1"/>
  <c r="C41" i="3"/>
  <c r="B41" i="3"/>
  <c r="C29" i="3"/>
  <c r="C30" i="3" s="1"/>
  <c r="B29" i="3"/>
  <c r="B30" i="3" s="1"/>
  <c r="C24" i="3"/>
  <c r="C22" i="3" s="1"/>
  <c r="B24" i="3"/>
  <c r="B22" i="3" s="1"/>
  <c r="C21" i="3"/>
  <c r="B21" i="3"/>
  <c r="C15" i="3"/>
  <c r="C18" i="3" s="1"/>
  <c r="B15" i="3"/>
  <c r="B18" i="3" s="1"/>
  <c r="C6" i="3"/>
  <c r="B6" i="3"/>
  <c r="C23" i="3" l="1"/>
  <c r="C17" i="3" s="1"/>
  <c r="B50" i="3"/>
  <c r="B51" i="3" s="1"/>
  <c r="C47" i="3"/>
  <c r="C52" i="3" s="1"/>
  <c r="B23" i="3"/>
  <c r="B17" i="3" s="1"/>
  <c r="B47" i="3"/>
  <c r="B52" i="3" s="1"/>
  <c r="C51" i="3" l="1"/>
  <c r="J198" i="1" l="1"/>
  <c r="J199" i="1"/>
  <c r="J200" i="1"/>
  <c r="J201" i="1"/>
  <c r="I198" i="1"/>
  <c r="I199" i="1"/>
  <c r="I200" i="1"/>
  <c r="I201" i="1"/>
  <c r="H198" i="1"/>
  <c r="H199" i="1"/>
  <c r="H200" i="1"/>
  <c r="H201" i="1"/>
  <c r="J204" i="1"/>
  <c r="J205" i="1"/>
  <c r="J206" i="1"/>
  <c r="J207" i="1"/>
  <c r="I204" i="1"/>
  <c r="I205" i="1"/>
  <c r="I206" i="1"/>
  <c r="I207" i="1"/>
  <c r="H204" i="1"/>
  <c r="H205" i="1"/>
  <c r="H206" i="1"/>
  <c r="H207" i="1"/>
  <c r="J210" i="1"/>
  <c r="J211" i="1"/>
  <c r="J212" i="1"/>
  <c r="J213" i="1"/>
  <c r="J214" i="1"/>
  <c r="I210" i="1"/>
  <c r="I211" i="1"/>
  <c r="I212" i="1"/>
  <c r="I213" i="1"/>
  <c r="I214" i="1"/>
  <c r="H210" i="1"/>
  <c r="H211" i="1"/>
  <c r="H212" i="1"/>
  <c r="H213" i="1"/>
  <c r="H214" i="1"/>
  <c r="J217" i="1"/>
  <c r="J218" i="1"/>
  <c r="J219" i="1"/>
  <c r="J220" i="1"/>
  <c r="J221" i="1"/>
  <c r="I217" i="1"/>
  <c r="I218" i="1"/>
  <c r="I219" i="1"/>
  <c r="I220" i="1"/>
  <c r="I221" i="1"/>
  <c r="H217" i="1"/>
  <c r="H218" i="1"/>
  <c r="H219" i="1"/>
  <c r="H220" i="1"/>
  <c r="H221" i="1"/>
  <c r="J224" i="1"/>
  <c r="J225" i="1"/>
  <c r="J226" i="1"/>
  <c r="J227" i="1"/>
  <c r="I224" i="1"/>
  <c r="I225" i="1"/>
  <c r="I226" i="1"/>
  <c r="I227" i="1"/>
  <c r="H224" i="1"/>
  <c r="H225" i="1"/>
  <c r="H226" i="1"/>
  <c r="H227" i="1"/>
  <c r="J230" i="1"/>
  <c r="J231" i="1"/>
  <c r="J232" i="1"/>
  <c r="J233" i="1"/>
  <c r="I230" i="1"/>
  <c r="I231" i="1"/>
  <c r="I232" i="1"/>
  <c r="I233" i="1"/>
  <c r="H230" i="1"/>
  <c r="H231" i="1"/>
  <c r="H232" i="1"/>
  <c r="H233" i="1"/>
  <c r="I236" i="1"/>
  <c r="I237" i="1"/>
  <c r="I238" i="1"/>
  <c r="I239" i="1"/>
  <c r="I240" i="1"/>
  <c r="H236" i="1"/>
  <c r="H237" i="1"/>
  <c r="H238" i="1"/>
  <c r="H239" i="1"/>
  <c r="H240" i="1"/>
  <c r="J243" i="1"/>
  <c r="J244" i="1"/>
  <c r="J245" i="1"/>
  <c r="J246" i="1"/>
  <c r="J247" i="1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O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N271" i="1"/>
  <c r="G167" i="1"/>
  <c r="N171" i="1"/>
  <c r="N167" i="1"/>
  <c r="O265" i="1"/>
  <c r="G168" i="1"/>
  <c r="G169" i="1"/>
  <c r="N200" i="1"/>
  <c r="N232" i="1"/>
  <c r="N249" i="1"/>
  <c r="O252" i="1"/>
  <c r="O261" i="1"/>
  <c r="O272" i="1"/>
  <c r="O264" i="1"/>
  <c r="O251" i="1"/>
  <c r="O266" i="1"/>
  <c r="O271" i="1"/>
  <c r="O269" i="1"/>
  <c r="N198" i="1"/>
  <c r="N227" i="1"/>
  <c r="N230" i="1"/>
  <c r="N258" i="1"/>
  <c r="N246" i="1"/>
  <c r="N263" i="1"/>
  <c r="O250" i="1"/>
  <c r="O270" i="1"/>
  <c r="N206" i="1"/>
  <c r="O239" i="1"/>
  <c r="O258" i="1"/>
  <c r="O185" i="1"/>
  <c r="N221" i="1"/>
  <c r="O237" i="1"/>
  <c r="N229" i="1"/>
  <c r="N257" i="1"/>
  <c r="N209" i="1"/>
  <c r="N245" i="1"/>
  <c r="N262" i="1"/>
  <c r="O273" i="1"/>
  <c r="O197" i="1"/>
  <c r="O219" i="1"/>
  <c r="O246" i="1"/>
  <c r="N272" i="1"/>
  <c r="N225" i="1"/>
  <c r="N253" i="1"/>
  <c r="N256" i="1"/>
  <c r="N268" i="1"/>
  <c r="O259" i="1"/>
  <c r="N201" i="1"/>
  <c r="O218" i="1"/>
  <c r="N252" i="1"/>
  <c r="N273" i="1"/>
  <c r="O198" i="1"/>
  <c r="N224" i="1"/>
  <c r="N251" i="1"/>
  <c r="N255" i="1"/>
  <c r="N214" i="1"/>
  <c r="N236" i="1"/>
  <c r="O249" i="1"/>
  <c r="O257" i="1"/>
  <c r="O268" i="1"/>
  <c r="O206" i="1"/>
  <c r="O227" i="1"/>
  <c r="O255" i="1"/>
  <c r="N205" i="1"/>
  <c r="N233" i="1"/>
  <c r="N235" i="1"/>
  <c r="N216" i="1"/>
  <c r="O205" i="1"/>
  <c r="O235" i="1"/>
  <c r="O256" i="1"/>
  <c r="N218" i="1"/>
  <c r="N242" i="1"/>
  <c r="N265" i="1"/>
  <c r="N270" i="1"/>
  <c r="N190" i="1"/>
  <c r="O183" i="1"/>
  <c r="N210" i="1"/>
  <c r="N240" i="1"/>
  <c r="N261" i="1"/>
  <c r="N199" i="1"/>
  <c r="N203" i="1"/>
  <c r="N231" i="1"/>
  <c r="N259" i="1"/>
  <c r="N211" i="1"/>
  <c r="N217" i="1"/>
  <c r="N247" i="1"/>
  <c r="N264" i="1"/>
  <c r="N269" i="1"/>
  <c r="O247" i="1"/>
  <c r="O186" i="1"/>
  <c r="O216" i="1"/>
  <c r="O238" i="1"/>
  <c r="N174" i="1"/>
  <c r="N192" i="1"/>
  <c r="N188" i="1"/>
  <c r="N172" i="1"/>
  <c r="N177" i="1"/>
  <c r="N187" i="1"/>
  <c r="O184" i="1"/>
  <c r="O195" i="1"/>
  <c r="O203" i="1"/>
  <c r="O204" i="1"/>
  <c r="O214" i="1"/>
  <c r="N220" i="1"/>
  <c r="O217" i="1"/>
  <c r="O226" i="1"/>
  <c r="N239" i="1"/>
  <c r="O236" i="1"/>
  <c r="O242" i="1"/>
  <c r="O245" i="1"/>
  <c r="N250" i="1"/>
  <c r="O167" i="1"/>
  <c r="N186" i="1"/>
  <c r="N207" i="1"/>
  <c r="O213" i="1"/>
  <c r="N223" i="1"/>
  <c r="O225" i="1"/>
  <c r="O233" i="1"/>
  <c r="O253" i="1"/>
  <c r="N266" i="1"/>
  <c r="O263" i="1"/>
  <c r="N168" i="1"/>
  <c r="N185" i="1"/>
  <c r="O209" i="1"/>
  <c r="O212" i="1"/>
  <c r="O223" i="1"/>
  <c r="N237" i="1"/>
  <c r="O243" i="1"/>
  <c r="N181" i="1"/>
  <c r="N184" i="1"/>
  <c r="N195" i="1"/>
  <c r="O192" i="1"/>
  <c r="O201" i="1"/>
  <c r="O211" i="1"/>
  <c r="O231" i="1"/>
  <c r="N169" i="1"/>
  <c r="N191" i="1"/>
  <c r="O172" i="1"/>
  <c r="N178" i="1"/>
  <c r="O194" i="1"/>
  <c r="N219" i="1"/>
  <c r="N238" i="1"/>
  <c r="O244" i="1"/>
  <c r="O193" i="1"/>
  <c r="O168" i="1"/>
  <c r="N175" i="1"/>
  <c r="N180" i="1"/>
  <c r="O181" i="1"/>
  <c r="O188" i="1"/>
  <c r="N194" i="1"/>
  <c r="O191" i="1"/>
  <c r="O200" i="1"/>
  <c r="N204" i="1"/>
  <c r="N213" i="1"/>
  <c r="O210" i="1"/>
  <c r="O221" i="1"/>
  <c r="N226" i="1"/>
  <c r="O229" i="1"/>
  <c r="O230" i="1"/>
  <c r="O240" i="1"/>
  <c r="N244" i="1"/>
  <c r="O169" i="1"/>
  <c r="O180" i="1"/>
  <c r="O190" i="1"/>
  <c r="O224" i="1"/>
  <c r="O232" i="1"/>
  <c r="O262" i="1"/>
  <c r="N183" i="1"/>
  <c r="O187" i="1"/>
  <c r="N193" i="1"/>
  <c r="N197" i="1"/>
  <c r="O199" i="1"/>
  <c r="O207" i="1"/>
  <c r="N212" i="1"/>
  <c r="O220" i="1"/>
  <c r="N243" i="1"/>
  <c r="N173" i="1"/>
  <c r="O177" i="1"/>
  <c r="O171" i="1"/>
  <c r="O178" i="1"/>
  <c r="O175" i="1"/>
  <c r="N179" i="1"/>
  <c r="O174" i="1"/>
  <c r="O179" i="1"/>
  <c r="O173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213" i="1" s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J253" i="1" l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71" i="1"/>
  <c r="H173" i="1"/>
  <c r="H167" i="1"/>
  <c r="H174" i="1"/>
  <c r="H168" i="1"/>
  <c r="H175" i="1"/>
  <c r="H169" i="1"/>
  <c r="H172" i="1"/>
  <c r="G224" i="1"/>
  <c r="G246" i="1"/>
  <c r="K273" i="1"/>
  <c r="K271" i="1"/>
  <c r="K272" i="1"/>
  <c r="K269" i="1"/>
  <c r="K270" i="1"/>
  <c r="K172" i="1"/>
  <c r="J167" i="1"/>
  <c r="J173" i="1"/>
  <c r="J171" i="1"/>
  <c r="J174" i="1"/>
  <c r="J172" i="1"/>
  <c r="J175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4" i="1"/>
  <c r="I175" i="1"/>
  <c r="I172" i="1"/>
  <c r="I173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M187" i="1"/>
  <c r="L201" i="1"/>
  <c r="L212" i="1"/>
  <c r="L220" i="1"/>
  <c r="L231" i="1"/>
  <c r="L240" i="1"/>
  <c r="L223" i="1"/>
  <c r="L197" i="1"/>
  <c r="M178" i="1"/>
  <c r="L261" i="1"/>
  <c r="M184" i="1"/>
  <c r="L198" i="1"/>
  <c r="L217" i="1"/>
  <c r="M232" i="1"/>
  <c r="L237" i="1"/>
  <c r="L203" i="1"/>
  <c r="L177" i="1"/>
  <c r="L173" i="1"/>
  <c r="L255" i="1"/>
  <c r="L185" i="1"/>
  <c r="M188" i="1"/>
  <c r="L204" i="1"/>
  <c r="L213" i="1"/>
  <c r="L221" i="1"/>
  <c r="L232" i="1"/>
  <c r="L250" i="1"/>
  <c r="L235" i="1"/>
  <c r="L209" i="1"/>
  <c r="M179" i="1"/>
  <c r="L256" i="1"/>
  <c r="L186" i="1"/>
  <c r="L205" i="1"/>
  <c r="L214" i="1"/>
  <c r="L233" i="1"/>
  <c r="L251" i="1"/>
  <c r="M183" i="1"/>
  <c r="M180" i="1"/>
  <c r="L257" i="1"/>
  <c r="L187" i="1"/>
  <c r="L206" i="1"/>
  <c r="L224" i="1"/>
  <c r="M230" i="1"/>
  <c r="L243" i="1"/>
  <c r="L252" i="1"/>
  <c r="L249" i="1"/>
  <c r="M177" i="1"/>
  <c r="M181" i="1"/>
  <c r="L175" i="1"/>
  <c r="L258" i="1"/>
  <c r="L266" i="1"/>
  <c r="L268" i="1"/>
  <c r="L188" i="1"/>
  <c r="L207" i="1"/>
  <c r="L225" i="1"/>
  <c r="M231" i="1"/>
  <c r="L236" i="1"/>
  <c r="L244" i="1"/>
  <c r="L253" i="1"/>
  <c r="L242" i="1"/>
  <c r="M229" i="1"/>
  <c r="L183" i="1"/>
  <c r="L178" i="1"/>
  <c r="L171" i="1"/>
  <c r="L172" i="1"/>
  <c r="L259" i="1"/>
  <c r="L262" i="1"/>
  <c r="L226" i="1"/>
  <c r="L245" i="1"/>
  <c r="L229" i="1"/>
  <c r="L179" i="1"/>
  <c r="L167" i="1"/>
  <c r="M185" i="1"/>
  <c r="L199" i="1"/>
  <c r="L210" i="1"/>
  <c r="L218" i="1"/>
  <c r="L227" i="1"/>
  <c r="M233" i="1"/>
  <c r="L238" i="1"/>
  <c r="L246" i="1"/>
  <c r="L180" i="1"/>
  <c r="L174" i="1"/>
  <c r="L264" i="1"/>
  <c r="L168" i="1"/>
  <c r="M186" i="1"/>
  <c r="L200" i="1"/>
  <c r="L211" i="1"/>
  <c r="L219" i="1"/>
  <c r="L230" i="1"/>
  <c r="L239" i="1"/>
  <c r="L247" i="1"/>
  <c r="L216" i="1"/>
  <c r="L181" i="1"/>
  <c r="L265" i="1"/>
  <c r="L169" i="1"/>
  <c r="L192" i="1"/>
  <c r="K195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L193" i="1"/>
  <c r="K198" i="1"/>
  <c r="K226" i="1"/>
  <c r="K238" i="1"/>
  <c r="K244" i="1"/>
  <c r="K179" i="1"/>
  <c r="K174" i="1"/>
  <c r="K259" i="1"/>
  <c r="K262" i="1"/>
  <c r="K168" i="1"/>
  <c r="K192" i="1"/>
  <c r="M191" i="1"/>
  <c r="L194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M194" i="1"/>
  <c r="K184" i="1"/>
  <c r="M192" i="1"/>
  <c r="L195" i="1"/>
  <c r="K200" i="1"/>
  <c r="K210" i="1"/>
  <c r="K218" i="1"/>
  <c r="K230" i="1"/>
  <c r="K240" i="1"/>
  <c r="K246" i="1"/>
  <c r="K181" i="1"/>
  <c r="K171" i="1"/>
  <c r="K264" i="1"/>
  <c r="K220" i="1"/>
  <c r="K185" i="1"/>
  <c r="M193" i="1"/>
  <c r="K191" i="1"/>
  <c r="K201" i="1"/>
  <c r="K211" i="1"/>
  <c r="K219" i="1"/>
  <c r="K231" i="1"/>
  <c r="K247" i="1"/>
  <c r="K265" i="1"/>
  <c r="K186" i="1"/>
  <c r="K204" i="1"/>
  <c r="K212" i="1"/>
  <c r="K232" i="1"/>
  <c r="K250" i="1"/>
  <c r="M190" i="1"/>
  <c r="K266" i="1"/>
  <c r="K187" i="1"/>
  <c r="M195" i="1"/>
  <c r="K193" i="1"/>
  <c r="K205" i="1"/>
  <c r="K213" i="1"/>
  <c r="K221" i="1"/>
  <c r="K233" i="1"/>
  <c r="K251" i="1"/>
  <c r="K242" i="1"/>
  <c r="K203" i="1"/>
  <c r="L190" i="1"/>
  <c r="K177" i="1"/>
  <c r="K256" i="1"/>
  <c r="K261" i="1"/>
  <c r="K268" i="1"/>
  <c r="K188" i="1"/>
  <c r="L191" i="1"/>
  <c r="K194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M17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M175" i="1"/>
  <c r="M171" i="1"/>
  <c r="G242" i="1"/>
  <c r="G220" i="1"/>
  <c r="G252" i="1"/>
  <c r="M17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38" i="1"/>
  <c r="M223" i="1"/>
  <c r="M197" i="1"/>
  <c r="M169" i="1"/>
  <c r="M240" i="1"/>
  <c r="M216" i="1"/>
  <c r="M201" i="1"/>
  <c r="M213" i="1"/>
  <c r="M221" i="1"/>
  <c r="M239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M174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s="1"/>
  <c r="I277" i="1" l="1"/>
  <c r="J276" i="1"/>
  <c r="I276" i="1"/>
  <c r="H277" i="1"/>
  <c r="H276" i="1"/>
  <c r="J277" i="1"/>
  <c r="G276" i="1"/>
  <c r="C282" i="1" s="1"/>
  <c r="K276" i="1"/>
  <c r="D282" i="1" s="1"/>
  <c r="K277" i="1"/>
  <c r="D283" i="1" s="1"/>
  <c r="G277" i="1"/>
  <c r="C283" i="1" s="1"/>
  <c r="L276" i="1"/>
  <c r="G282" i="1" s="1"/>
  <c r="L277" i="1"/>
  <c r="G283" i="1" s="1"/>
  <c r="M277" i="1"/>
  <c r="H283" i="1" s="1"/>
  <c r="M276" i="1"/>
  <c r="H282" i="1" s="1"/>
  <c r="I282" i="1" l="1"/>
  <c r="D284" i="1"/>
  <c r="G284" i="1"/>
  <c r="E282" i="1"/>
  <c r="C284" i="1"/>
  <c r="I284" i="1"/>
  <c r="I283" i="1"/>
  <c r="H284" i="1"/>
  <c r="E283" i="1"/>
  <c r="E284" i="1"/>
</calcChain>
</file>

<file path=xl/sharedStrings.xml><?xml version="1.0" encoding="utf-8"?>
<sst xmlns="http://schemas.openxmlformats.org/spreadsheetml/2006/main" count="386" uniqueCount="256">
  <si>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</si>
  <si>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</si>
  <si>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</si>
  <si>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</si>
  <si>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</si>
  <si>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</si>
  <si>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</si>
  <si>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</si>
  <si>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</si>
  <si>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</si>
  <si>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</si>
  <si>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</si>
  <si>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</si>
  <si>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</si>
  <si>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</si>
  <si>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</si>
  <si>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</si>
  <si>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</si>
  <si>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</si>
  <si>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</si>
  <si>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</si>
  <si>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</si>
  <si>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</si>
  <si>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</si>
  <si>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</si>
  <si>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</si>
  <si>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</si>
  <si>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</si>
  <si>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</si>
  <si>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</si>
  <si>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</si>
  <si>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</si>
  <si>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</si>
  <si>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</si>
  <si>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</si>
  <si>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</si>
  <si>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</si>
  <si>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</si>
  <si>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</si>
  <si>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</si>
  <si>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</si>
  <si>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</si>
  <si>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</si>
  <si>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</si>
  <si>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</si>
  <si>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</si>
  <si>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</si>
  <si>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</si>
  <si>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</si>
  <si>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</si>
  <si>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</si>
  <si>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</si>
  <si>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C57-58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</si>
  <si>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</si>
  <si>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</si>
  <si>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</si>
  <si>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</si>
  <si>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</si>
  <si>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</si>
  <si>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</si>
  <si>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</si>
  <si>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</si>
  <si>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</si>
  <si>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Recepción floor 1</t>
  </si>
  <si>
    <t>Gimnasio 1 floor1</t>
  </si>
  <si>
    <t>Gimnasio 2 floor1</t>
  </si>
  <si>
    <t>PAU 2 outputs</t>
  </si>
  <si>
    <t>C28 (MPE4)</t>
  </si>
  <si>
    <t>C33 (MPE5)</t>
  </si>
  <si>
    <t>C40 (MPE2)</t>
  </si>
  <si>
    <t xml:space="preserve">C26 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</si>
  <si>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</si>
  <si>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</si>
  <si>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</si>
  <si>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</si>
  <si>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</si>
  <si>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</si>
  <si>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</si>
  <si>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</si>
  <si>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</si>
  <si>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</si>
  <si>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</si>
  <si>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</si>
  <si>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</si>
  <si>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</si>
  <si>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</si>
  <si>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</si>
  <si>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</si>
  <si>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</si>
  <si>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</si>
  <si>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</si>
  <si>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Dormitorio 2 apartment down CD floor5</t>
  </si>
  <si>
    <t>Dormitorio 1 apartment down CD floor5</t>
  </si>
  <si>
    <t>Main bedroom apartment down CD floor5</t>
  </si>
  <si>
    <t>Living room apartment down CD floor5</t>
  </si>
  <si>
    <t>Kitchen apartment up CD floor5</t>
  </si>
  <si>
    <t>Dormitorio 2 apartment up CD floor5</t>
  </si>
  <si>
    <t>Dormitorio 1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</si>
  <si>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</si>
  <si>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</si>
  <si>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</si>
  <si>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</si>
  <si>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Dormitorio 2 apartment down CD floor4</t>
  </si>
  <si>
    <t>Dormitorio 1 apartment down CD floor4</t>
  </si>
  <si>
    <t>Main bedroom apartment down CD floor4</t>
  </si>
  <si>
    <t>Living room apartment down CD floor4</t>
  </si>
  <si>
    <t>Kitchen apartment up CD floor4</t>
  </si>
  <si>
    <t>Dormitorio 2 apartment up CD floor4</t>
  </si>
  <si>
    <t>Dormitorio 1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</si>
  <si>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</si>
  <si>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</si>
  <si>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</si>
  <si>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</si>
  <si>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</si>
  <si>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</si>
  <si>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</si>
  <si>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</si>
  <si>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</si>
  <si>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</si>
  <si>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</si>
  <si>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</si>
  <si>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</si>
  <si>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</si>
  <si>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</si>
  <si>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</si>
  <si>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</si>
  <si>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</si>
  <si>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</si>
  <si>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</si>
  <si>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</si>
  <si>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</si>
  <si>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Dormitorio 2 apartment down AB floor5</t>
  </si>
  <si>
    <t>Main bedroom apartment down AB floor5</t>
  </si>
  <si>
    <t>Living room apartment down AB floor5</t>
  </si>
  <si>
    <t>Kitchen apartment up AB floor5</t>
  </si>
  <si>
    <t>Dormitorio 2 apartment up AB floor5</t>
  </si>
  <si>
    <t>Main bedroom apartment up AB floor5</t>
  </si>
  <si>
    <t>Living room apartment up AB floor5</t>
  </si>
  <si>
    <t>Kitchen apartment down AB floor4</t>
  </si>
  <si>
    <t>Dormitorio 2 apartment down AB floor4</t>
  </si>
  <si>
    <t>Main bedroom apartment down AB floor4</t>
  </si>
  <si>
    <t>Living room apartment down AB floor4</t>
  </si>
  <si>
    <t>Kitchen apartment up AB floor4</t>
  </si>
  <si>
    <t>Cuarto del servicio apartment up AB floor4</t>
  </si>
  <si>
    <t>Dormitorio 2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</si>
  <si>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</si>
  <si>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</si>
  <si>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</si>
  <si>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</si>
  <si>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</si>
  <si>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</si>
  <si>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</si>
  <si>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</si>
  <si>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</si>
  <si>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</si>
  <si>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</si>
  <si>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</si>
  <si>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</si>
  <si>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</si>
  <si>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</si>
  <si>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</si>
  <si>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</si>
  <si>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</si>
  <si>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</si>
  <si>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</si>
  <si>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</si>
  <si>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</si>
  <si>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</si>
  <si>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</si>
  <si>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</si>
  <si>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</si>
  <si>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</si>
  <si>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</si>
  <si>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</si>
  <si>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MATV (margen 16 dB)</t>
  </si>
  <si>
    <t>IF (margen 20 dB)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</si>
  <si>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</si>
  <si>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</si>
  <si>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</si>
  <si>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</si>
  <si>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</si>
  <si>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</si>
  <si>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</si>
  <si>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</si>
  <si>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</si>
  <si>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</si>
  <si>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</si>
  <si>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</si>
  <si>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</si>
  <si>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</si>
  <si>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</si>
  <si>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</si>
  <si>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Cuarto del servicio apartment up AB floor2</t>
  </si>
  <si>
    <t>Cuarto del servicio apartment down AB floor2</t>
  </si>
  <si>
    <t>Cuarto del servicio apartment up AB floor3</t>
  </si>
  <si>
    <t>Cuarto del servicio apartment down AB floor3</t>
  </si>
  <si>
    <t>Cuarto del servicio apartment down AB floor4</t>
  </si>
  <si>
    <t>Cuarto del servicio apartment up AB floor5</t>
  </si>
  <si>
    <t>Cuarto del servicio apartment down AB floor5</t>
  </si>
  <si>
    <t>Cuarto del servicio apartment up CD floor2</t>
  </si>
  <si>
    <t>Cuarto del servicio apartment up CD floor3</t>
  </si>
  <si>
    <t>Cuarto del servicio apartment up CD floor4</t>
  </si>
  <si>
    <t>Cuarto del servicio apartment up CD floor5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</si>
  <si>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</si>
  <si>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</si>
  <si>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</si>
  <si>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</si>
  <si>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</si>
  <si>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</si>
  <si>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</si>
  <si>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</si>
  <si>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</si>
  <si>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</si>
  <si>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</si>
  <si>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</si>
  <si>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>phi</t>
  </si>
  <si>
    <t>beta</t>
  </si>
  <si>
    <t>Radio Tierra (km)</t>
  </si>
  <si>
    <t>Altura satélite (km)</t>
  </si>
  <si>
    <t>d(km)</t>
  </si>
  <si>
    <t>Elevación</t>
  </si>
  <si>
    <t>Azimut</t>
  </si>
  <si>
    <t>PIRE</t>
  </si>
  <si>
    <t>Vrec_0dBi</t>
  </si>
  <si>
    <t>C/Nout</t>
  </si>
  <si>
    <t>Cin</t>
  </si>
  <si>
    <t>Gpar</t>
  </si>
  <si>
    <t>Ts</t>
  </si>
  <si>
    <t>Te,sis</t>
  </si>
  <si>
    <t>Nin</t>
  </si>
  <si>
    <t>C/Nin</t>
  </si>
  <si>
    <t>Beq</t>
  </si>
  <si>
    <t>C/I(Samp)</t>
  </si>
  <si>
    <t>C/I(Smax)</t>
  </si>
  <si>
    <t>Samp</t>
  </si>
  <si>
    <t>Smax30ch</t>
  </si>
  <si>
    <t>Smax2ch</t>
  </si>
  <si>
    <t>Amp</t>
  </si>
  <si>
    <t xml:space="preserve">Offset </t>
  </si>
  <si>
    <t>BW (MHz)</t>
  </si>
  <si>
    <t>F_lnb</t>
  </si>
  <si>
    <t>Frec (GHz)</t>
  </si>
  <si>
    <t>ThermalNoise(dBW)</t>
  </si>
  <si>
    <t>Margen (dB)</t>
  </si>
  <si>
    <t>Temp ambiente (K)</t>
  </si>
  <si>
    <t>PIRE (dBW)</t>
  </si>
  <si>
    <t>L_fs (dB)</t>
  </si>
  <si>
    <t>L_atmos (dB)</t>
  </si>
  <si>
    <t>T (K)</t>
  </si>
  <si>
    <t>C/N (dB) DVB-S</t>
  </si>
  <si>
    <t>Gain dish antenna (dB)</t>
  </si>
  <si>
    <t>lambda (m)</t>
  </si>
  <si>
    <t>D (dB)</t>
  </si>
  <si>
    <t>G/T (dB)</t>
  </si>
  <si>
    <t>k (J/K)</t>
  </si>
  <si>
    <t>Usaremos el amplificador TECATEL 40dB 13/18v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</si>
</sst>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3" fillId="18" borderId="7" xfId="0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0" fontId="3" fillId="18" borderId="32" xfId="0" applyFont="1" applyFill="1" applyBorder="1" applyAlignment="1">
      <alignment horizontal="center"/>
    </xf>
    <xf numFmtId="4" fontId="4" fillId="19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164" fontId="0" fillId="12" borderId="4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topLeftCell="B1" zoomScale="40" zoomScaleNormal="40" workbookViewId="0">
      <selection activeCell="O15" sqref="O15"/>
    </sheetView>
  </sheetViews>
  <sheetFormatPr baseColWidth="10" defaultRowHeight="14.5" x14ac:dyDescent="0.35"/>
  <cols>
    <col min="1" max="1" width="56.90625" customWidth="1"/>
    <col min="2" max="2" width="16.08984375" customWidth="1"/>
    <col min="3" max="3" width="21.36328125" customWidth="1"/>
    <col min="4" max="4" width="16.54296875" customWidth="1"/>
    <col min="5" max="5" width="14.54296875" customWidth="1"/>
    <col min="7" max="7" width="12.7265625" customWidth="1"/>
    <col min="14" max="14" width="15.26953125" customWidth="1"/>
  </cols>
  <sheetData>
    <row r="1" spans="1:15" ht="15" thickBot="1" x14ac:dyDescent="0.4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5">
      <c r="A2" s="1" t="s">
        <v>0</v>
      </c>
      <c r="B2" s="1"/>
      <c r="C2" s="1"/>
      <c r="D2" s="1"/>
      <c r="E2" s="1"/>
    </row>
    <row r="3" spans="1:15" ht="15" thickBot="1" x14ac:dyDescent="0.4"/>
    <row r="4" spans="1:15" ht="15" thickBot="1" x14ac:dyDescent="0.4">
      <c r="A4" s="15" t="s">
        <v>2</v>
      </c>
    </row>
    <row r="5" spans="1:15" x14ac:dyDescent="0.35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5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5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5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4"/>
    <row r="10" spans="1:15" ht="15" thickBot="1" x14ac:dyDescent="0.4">
      <c r="A10" s="17" t="s">
        <v>7</v>
      </c>
      <c r="C10" s="18" t="s">
        <v>8</v>
      </c>
      <c r="D10" s="18" t="s">
        <v>9</v>
      </c>
    </row>
    <row r="11" spans="1:15" x14ac:dyDescent="0.35">
      <c r="A11" s="16" t="s">
        <v>58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5">
      <c r="A12" s="9" t="s">
        <v>77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5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5">
      <c r="A14" s="9" t="s">
        <v>66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4"/>
    <row r="16" spans="1:15" ht="15" thickBot="1" x14ac:dyDescent="0.4">
      <c r="A16" s="28" t="s">
        <v>28</v>
      </c>
      <c r="B16" s="29"/>
      <c r="C16" s="30"/>
    </row>
    <row r="17" spans="1:15" ht="15" thickBot="1" x14ac:dyDescent="0.4"/>
    <row r="18" spans="1:15" ht="16" thickBot="1" x14ac:dyDescent="0.4">
      <c r="A18" s="53" t="s">
        <v>59</v>
      </c>
      <c r="D18" s="57" t="s">
        <v>62</v>
      </c>
      <c r="E18" s="8" t="s">
        <v>11</v>
      </c>
      <c r="G18" s="8" t="s">
        <v>60</v>
      </c>
      <c r="H18" s="8" t="s">
        <v>205</v>
      </c>
      <c r="I18" s="8" t="s">
        <v>206</v>
      </c>
      <c r="J18" s="8" t="s">
        <v>207</v>
      </c>
      <c r="K18" s="84" t="s">
        <v>61</v>
      </c>
      <c r="L18" s="86" t="s">
        <v>78</v>
      </c>
      <c r="M18" s="87" t="s">
        <v>79</v>
      </c>
    </row>
    <row r="19" spans="1:15" ht="15" thickBot="1" x14ac:dyDescent="0.4">
      <c r="A19" s="54" t="s">
        <v>162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" thickBot="1" x14ac:dyDescent="0.4">
      <c r="A20" s="55" t="s">
        <v>161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" thickBot="1" x14ac:dyDescent="0.4">
      <c r="A21" s="55" t="s">
        <v>160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" thickBot="1" x14ac:dyDescent="0.4">
      <c r="A22" s="55" t="s">
        <v>192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" thickBot="1" x14ac:dyDescent="0.4">
      <c r="A23" s="56" t="s">
        <v>159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" thickBot="1" x14ac:dyDescent="0.4">
      <c r="A24" s="52"/>
      <c r="N24" s="91"/>
      <c r="O24" s="91"/>
    </row>
    <row r="25" spans="1:15" ht="15" thickBot="1" x14ac:dyDescent="0.4">
      <c r="A25" s="54" t="s">
        <v>158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" thickBot="1" x14ac:dyDescent="0.4">
      <c r="A26" s="55" t="s">
        <v>157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" thickBot="1" x14ac:dyDescent="0.4">
      <c r="A27" s="55" t="s">
        <v>156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" thickBot="1" x14ac:dyDescent="0.4">
      <c r="A28" s="55" t="s">
        <v>193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" thickBot="1" x14ac:dyDescent="0.4">
      <c r="A29" s="56" t="s">
        <v>155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" thickBot="1" x14ac:dyDescent="0.4">
      <c r="A30" s="52"/>
      <c r="N30" s="91"/>
      <c r="O30" s="91"/>
    </row>
    <row r="31" spans="1:15" ht="15" thickBot="1" x14ac:dyDescent="0.4">
      <c r="A31" s="54" t="s">
        <v>130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" thickBot="1" x14ac:dyDescent="0.4">
      <c r="A32" s="55" t="s">
        <v>129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" thickBot="1" x14ac:dyDescent="0.4">
      <c r="A33" s="55" t="s">
        <v>128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" thickBot="1" x14ac:dyDescent="0.4">
      <c r="A34" s="55" t="s">
        <v>127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" thickBot="1" x14ac:dyDescent="0.4">
      <c r="A35" s="55" t="s">
        <v>199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" thickBot="1" x14ac:dyDescent="0.4">
      <c r="A36" s="56" t="s">
        <v>126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" thickBot="1" x14ac:dyDescent="0.4">
      <c r="A37" s="52"/>
      <c r="N37" s="91"/>
      <c r="O37" s="91"/>
    </row>
    <row r="38" spans="1:15" ht="15" thickBot="1" x14ac:dyDescent="0.4">
      <c r="A38" s="54" t="s">
        <v>125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" thickBot="1" x14ac:dyDescent="0.4">
      <c r="A39" s="55" t="s">
        <v>124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" thickBot="1" x14ac:dyDescent="0.4">
      <c r="A40" s="55" t="s">
        <v>123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" thickBot="1" x14ac:dyDescent="0.4">
      <c r="A41" s="55" t="s">
        <v>122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" thickBot="1" x14ac:dyDescent="0.4">
      <c r="A42" s="55" t="s">
        <v>199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" thickBot="1" x14ac:dyDescent="0.4">
      <c r="A43" s="56" t="s">
        <v>121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" thickBot="1" x14ac:dyDescent="0.4">
      <c r="A44" s="52"/>
      <c r="N44" s="91"/>
      <c r="O44" s="91"/>
    </row>
    <row r="45" spans="1:15" ht="15" thickBot="1" x14ac:dyDescent="0.4">
      <c r="A45" s="54" t="s">
        <v>154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" thickBot="1" x14ac:dyDescent="0.4">
      <c r="A46" s="55" t="s">
        <v>153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" thickBot="1" x14ac:dyDescent="0.4">
      <c r="A47" s="55" t="s">
        <v>152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" thickBot="1" x14ac:dyDescent="0.4">
      <c r="A48" s="55" t="s">
        <v>194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" thickBot="1" x14ac:dyDescent="0.4">
      <c r="A49" s="56" t="s">
        <v>151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" thickBot="1" x14ac:dyDescent="0.4">
      <c r="A50" s="52"/>
      <c r="N50" s="91"/>
      <c r="O50" s="91"/>
    </row>
    <row r="51" spans="1:15" ht="15" thickBot="1" x14ac:dyDescent="0.4">
      <c r="A51" s="54" t="s">
        <v>150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" thickBot="1" x14ac:dyDescent="0.4">
      <c r="A52" s="55" t="s">
        <v>149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" thickBot="1" x14ac:dyDescent="0.4">
      <c r="A53" s="55" t="s">
        <v>148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" thickBot="1" x14ac:dyDescent="0.4">
      <c r="A54" s="55" t="s">
        <v>195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" thickBot="1" x14ac:dyDescent="0.4">
      <c r="A55" s="56" t="s">
        <v>147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" thickBot="1" x14ac:dyDescent="0.4">
      <c r="A56" s="52"/>
      <c r="N56" s="91"/>
      <c r="O56" s="91"/>
    </row>
    <row r="57" spans="1:15" ht="15" thickBot="1" x14ac:dyDescent="0.4">
      <c r="A57" s="54" t="s">
        <v>120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" thickBot="1" x14ac:dyDescent="0.4">
      <c r="A58" s="55" t="s">
        <v>119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" thickBot="1" x14ac:dyDescent="0.4">
      <c r="A59" s="55" t="s">
        <v>118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" thickBot="1" x14ac:dyDescent="0.4">
      <c r="A60" s="55" t="s">
        <v>117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" thickBot="1" x14ac:dyDescent="0.4">
      <c r="A61" s="55" t="s">
        <v>200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" thickBot="1" x14ac:dyDescent="0.4">
      <c r="A62" s="56" t="s">
        <v>116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" thickBot="1" x14ac:dyDescent="0.4">
      <c r="A63" s="52"/>
      <c r="N63" s="91"/>
      <c r="O63" s="91"/>
    </row>
    <row r="64" spans="1:15" ht="15" thickBot="1" x14ac:dyDescent="0.4">
      <c r="A64" s="54" t="s">
        <v>115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" thickBot="1" x14ac:dyDescent="0.4">
      <c r="A65" s="55" t="s">
        <v>114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" thickBot="1" x14ac:dyDescent="0.4">
      <c r="A66" s="55" t="s">
        <v>113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" thickBot="1" x14ac:dyDescent="0.4">
      <c r="A67" s="55" t="s">
        <v>112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" thickBot="1" x14ac:dyDescent="0.4">
      <c r="A68" s="55" t="s">
        <v>199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" thickBot="1" x14ac:dyDescent="0.4">
      <c r="A69" s="56" t="s">
        <v>111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" thickBot="1" x14ac:dyDescent="0.4">
      <c r="A70" s="52"/>
      <c r="N70" s="91"/>
      <c r="O70" s="91"/>
    </row>
    <row r="71" spans="1:15" ht="15" thickBot="1" x14ac:dyDescent="0.4">
      <c r="A71" s="54" t="s">
        <v>146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" thickBot="1" x14ac:dyDescent="0.4">
      <c r="A72" s="55" t="s">
        <v>145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" thickBot="1" x14ac:dyDescent="0.4">
      <c r="A73" s="55" t="s">
        <v>144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" thickBot="1" x14ac:dyDescent="0.4">
      <c r="A74" s="55" t="s">
        <v>143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" thickBot="1" x14ac:dyDescent="0.4">
      <c r="A75" s="56" t="s">
        <v>142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" thickBot="1" x14ac:dyDescent="0.4">
      <c r="A76" s="52"/>
      <c r="N76" s="91"/>
      <c r="O76" s="91"/>
    </row>
    <row r="77" spans="1:15" ht="15" thickBot="1" x14ac:dyDescent="0.4">
      <c r="A77" s="54" t="s">
        <v>141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" thickBot="1" x14ac:dyDescent="0.4">
      <c r="A78" s="55" t="s">
        <v>140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" thickBot="1" x14ac:dyDescent="0.4">
      <c r="A79" s="55" t="s">
        <v>139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" thickBot="1" x14ac:dyDescent="0.4">
      <c r="A80" s="55" t="s">
        <v>196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" thickBot="1" x14ac:dyDescent="0.4">
      <c r="A81" s="56" t="s">
        <v>138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" thickBot="1" x14ac:dyDescent="0.4">
      <c r="A82" s="52"/>
      <c r="N82" s="91"/>
      <c r="O82" s="91"/>
    </row>
    <row r="83" spans="1:15" ht="15" thickBot="1" x14ac:dyDescent="0.4">
      <c r="A83" s="54" t="s">
        <v>110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" thickBot="1" x14ac:dyDescent="0.4">
      <c r="A84" s="55" t="s">
        <v>109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" thickBot="1" x14ac:dyDescent="0.4">
      <c r="A85" s="55" t="s">
        <v>108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" thickBot="1" x14ac:dyDescent="0.4">
      <c r="A86" s="55" t="s">
        <v>107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" thickBot="1" x14ac:dyDescent="0.4">
      <c r="A87" s="55" t="s">
        <v>201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" thickBot="1" x14ac:dyDescent="0.4">
      <c r="A88" s="56" t="s">
        <v>106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" thickBot="1" x14ac:dyDescent="0.4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" thickBot="1" x14ac:dyDescent="0.4">
      <c r="A90" s="54" t="s">
        <v>105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" thickBot="1" x14ac:dyDescent="0.4">
      <c r="A91" s="55" t="s">
        <v>104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" thickBot="1" x14ac:dyDescent="0.4">
      <c r="A92" s="55" t="s">
        <v>103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" thickBot="1" x14ac:dyDescent="0.4">
      <c r="A93" s="55" t="s">
        <v>102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" thickBot="1" x14ac:dyDescent="0.4">
      <c r="A94" s="55" t="s">
        <v>201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" thickBot="1" x14ac:dyDescent="0.4">
      <c r="A95" s="56" t="s">
        <v>101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" thickBot="1" x14ac:dyDescent="0.4">
      <c r="N96" s="92"/>
      <c r="O96" s="92"/>
    </row>
    <row r="97" spans="1:15" s="52" customFormat="1" ht="15" thickBot="1" x14ac:dyDescent="0.4">
      <c r="A97" s="54" t="s">
        <v>137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" thickBot="1" x14ac:dyDescent="0.4">
      <c r="A98" s="55" t="s">
        <v>136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" thickBot="1" x14ac:dyDescent="0.4">
      <c r="A99" s="55" t="s">
        <v>135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" thickBot="1" x14ac:dyDescent="0.4">
      <c r="A100" s="55" t="s">
        <v>197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" thickBot="1" x14ac:dyDescent="0.4">
      <c r="A101" s="56" t="s">
        <v>134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" thickBot="1" x14ac:dyDescent="0.4">
      <c r="N102" s="92"/>
      <c r="O102" s="92"/>
    </row>
    <row r="103" spans="1:15" s="52" customFormat="1" ht="15" thickBot="1" x14ac:dyDescent="0.4">
      <c r="A103" s="54" t="s">
        <v>133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" thickBot="1" x14ac:dyDescent="0.4">
      <c r="A104" s="55" t="s">
        <v>132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" thickBot="1" x14ac:dyDescent="0.4">
      <c r="A105" s="55" t="s">
        <v>131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" thickBot="1" x14ac:dyDescent="0.4">
      <c r="A106" s="55" t="s">
        <v>198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" thickBot="1" x14ac:dyDescent="0.4">
      <c r="A107" s="56" t="s">
        <v>100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" thickBot="1" x14ac:dyDescent="0.4">
      <c r="N108" s="92"/>
      <c r="O108" s="92"/>
    </row>
    <row r="109" spans="1:15" s="52" customFormat="1" ht="15" thickBot="1" x14ac:dyDescent="0.4">
      <c r="A109" s="54" t="s">
        <v>99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" thickBot="1" x14ac:dyDescent="0.4">
      <c r="A110" s="55" t="s">
        <v>98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" thickBot="1" x14ac:dyDescent="0.4">
      <c r="A111" s="55" t="s">
        <v>97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" thickBot="1" x14ac:dyDescent="0.4">
      <c r="A112" s="55" t="s">
        <v>96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" thickBot="1" x14ac:dyDescent="0.4">
      <c r="A113" s="55" t="s">
        <v>202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" thickBot="1" x14ac:dyDescent="0.4">
      <c r="A114" s="56" t="s">
        <v>95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" thickBot="1" x14ac:dyDescent="0.4">
      <c r="N115" s="92"/>
      <c r="O115" s="92"/>
    </row>
    <row r="116" spans="1:15" s="52" customFormat="1" ht="15" thickBot="1" x14ac:dyDescent="0.4">
      <c r="A116" s="54" t="s">
        <v>94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" thickBot="1" x14ac:dyDescent="0.4">
      <c r="A117" s="55" t="s">
        <v>93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" thickBot="1" x14ac:dyDescent="0.4">
      <c r="A118" s="55" t="s">
        <v>92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" thickBot="1" x14ac:dyDescent="0.4">
      <c r="A119" s="55" t="s">
        <v>91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" thickBot="1" x14ac:dyDescent="0.4">
      <c r="A120" s="55" t="s">
        <v>202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" thickBot="1" x14ac:dyDescent="0.4">
      <c r="A121" s="56" t="s">
        <v>90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" thickBot="1" x14ac:dyDescent="0.4">
      <c r="N122" s="92"/>
      <c r="O122" s="92"/>
    </row>
    <row r="123" spans="1:15" s="52" customFormat="1" ht="15" thickBot="1" x14ac:dyDescent="0.4">
      <c r="A123" s="54" t="s">
        <v>63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" thickBot="1" x14ac:dyDescent="0.4">
      <c r="A124" s="55" t="s">
        <v>64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" thickBot="1" x14ac:dyDescent="0.4">
      <c r="A125" s="56" t="s">
        <v>65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35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35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" thickBot="1" x14ac:dyDescent="0.4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4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5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5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5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5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5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5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5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5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5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5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5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5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5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4"/>
    <row r="145" spans="1:15" ht="15" thickBot="1" x14ac:dyDescent="0.4">
      <c r="A145" s="12" t="s">
        <v>15</v>
      </c>
      <c r="C145" s="11" t="s">
        <v>18</v>
      </c>
    </row>
    <row r="146" spans="1:15" ht="15" thickBot="1" x14ac:dyDescent="0.4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4">
      <c r="A147" s="47" t="s">
        <v>57</v>
      </c>
      <c r="B147" s="35" t="s">
        <v>35</v>
      </c>
      <c r="D147" s="31" t="s">
        <v>56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4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4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4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4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4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4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4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4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4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4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4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4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4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4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4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4"/>
    <row r="166" spans="1:15" ht="15" thickBot="1" x14ac:dyDescent="0.4">
      <c r="A166" s="13" t="s">
        <v>19</v>
      </c>
      <c r="G166" s="77" t="s">
        <v>60</v>
      </c>
      <c r="H166" s="77" t="s">
        <v>205</v>
      </c>
      <c r="I166" s="77" t="s">
        <v>206</v>
      </c>
      <c r="J166" s="77" t="s">
        <v>207</v>
      </c>
      <c r="K166" s="8" t="s">
        <v>61</v>
      </c>
      <c r="L166" s="8" t="s">
        <v>78</v>
      </c>
      <c r="M166" s="85" t="s">
        <v>79</v>
      </c>
      <c r="N166" s="18" t="s">
        <v>8</v>
      </c>
      <c r="O166" s="18" t="s">
        <v>9</v>
      </c>
    </row>
    <row r="167" spans="1:15" ht="15" thickBot="1" x14ac:dyDescent="0.4">
      <c r="A167" s="54" t="s">
        <v>89</v>
      </c>
      <c r="G167" s="112">
        <f>SUM(G161:G162)+G160+G123</f>
        <v>43.545999999999999</v>
      </c>
      <c r="H167" s="112">
        <f>SUM(H$161:H$162)+H$160+H$123</f>
        <v>44.809000000000005</v>
      </c>
      <c r="I167" s="112">
        <f>SUM(I$161:I$162)+$I160+$I123</f>
        <v>44.365000000000002</v>
      </c>
      <c r="J167" s="112">
        <f>SUM(J$161:J$162)+J160+J123</f>
        <v>45.157000000000004</v>
      </c>
      <c r="K167" s="112">
        <f>SUM(K$161:K$162)+K$160+K123</f>
        <v>48.137999999999998</v>
      </c>
      <c r="L167" s="112">
        <f>SUM(L$161:L$162)+L$160+L123</f>
        <v>50.174999999999997</v>
      </c>
      <c r="M167" s="114">
        <f>SUM(M$161:M$162)+M$160+M123</f>
        <v>52.2</v>
      </c>
      <c r="N167" s="100">
        <f>SUM(N$161:N$162)+N$147+N$149+N$150+N$152+N$153+N$155+N$156+$N158+$N160+$N123</f>
        <v>9.24</v>
      </c>
      <c r="O167" s="100">
        <f>SUM(O$161:O$162)+O$147+O$149+O$150+O$152+O$153+O$155+O$156+$O158+$O160+$O123</f>
        <v>9.625</v>
      </c>
    </row>
    <row r="168" spans="1:15" ht="15" thickBot="1" x14ac:dyDescent="0.4">
      <c r="A168" s="55" t="s">
        <v>88</v>
      </c>
      <c r="G168" s="112">
        <f>SUM(G162,G161)+G160+G124</f>
        <v>43.741999999999997</v>
      </c>
      <c r="H168" s="112">
        <f>SUM(H$161:H$162)+H$160+H$123</f>
        <v>44.809000000000005</v>
      </c>
      <c r="I168" s="112">
        <f>SUM(I$161:I$162)+$I160+$I124</f>
        <v>44.745000000000005</v>
      </c>
      <c r="J168" s="112">
        <f>SUM(J$161:J$162)+J160+J124</f>
        <v>45.716999999999999</v>
      </c>
      <c r="K168" s="112">
        <f t="shared" ref="K168:M169" si="132">SUM(K$161:K$162)+K$160+K124</f>
        <v>48.921999999999997</v>
      </c>
      <c r="L168" s="112">
        <f t="shared" si="132"/>
        <v>52.695</v>
      </c>
      <c r="M168" s="114">
        <f t="shared" si="132"/>
        <v>56.1</v>
      </c>
      <c r="N168" s="100">
        <f>SUM(N$161:N$162)+N$147+N$149+N$150+N$152+N$153+N$155+N$156+$N159+$N161+$N124</f>
        <v>9.2279999999999998</v>
      </c>
      <c r="O168" s="100">
        <f>SUM(O$161:O$162)+O$147+O$149+O$150+O$152+O$153+O$155+O$156+$O159+$O161+$O124</f>
        <v>9.2850000000000001</v>
      </c>
    </row>
    <row r="169" spans="1:15" ht="15" thickBot="1" x14ac:dyDescent="0.4">
      <c r="A169" s="56" t="s">
        <v>87</v>
      </c>
      <c r="G169" s="113">
        <f>SUM(G161:G162)+G160+G125</f>
        <v>43.888999999999996</v>
      </c>
      <c r="H169" s="113">
        <f t="shared" ref="H169" si="133">SUM(H$161:H$162)+H$160+H$123</f>
        <v>44.809000000000005</v>
      </c>
      <c r="I169" s="113">
        <f>SUM(I$161:I$162)+$I160+$I125</f>
        <v>45.03</v>
      </c>
      <c r="J169" s="113">
        <f>SUM(J$161:J$162)+J160+J125</f>
        <v>46.137</v>
      </c>
      <c r="K169" s="113">
        <f t="shared" si="132"/>
        <v>49.510000000000005</v>
      </c>
      <c r="L169" s="113">
        <f t="shared" si="132"/>
        <v>53.325000000000003</v>
      </c>
      <c r="M169" s="111">
        <f t="shared" si="132"/>
        <v>57.075000000000003</v>
      </c>
      <c r="N169" s="100">
        <f>SUM(N$161:N$162)+N$147+N$149+N$150+N$152+N$153+N$155+N$156+$N160+$N125</f>
        <v>9.8819999999999997</v>
      </c>
      <c r="O169" s="100">
        <f>SUM(O$161:O$162)+O$147+O$149+O$150+O$152+O$153+O$155+O$156+$O160+$O125</f>
        <v>10.129999999999999</v>
      </c>
    </row>
    <row r="170" spans="1:15" ht="15" thickBot="1" x14ac:dyDescent="0.4"/>
    <row r="171" spans="1:15" ht="15" thickBot="1" x14ac:dyDescent="0.4">
      <c r="A171" s="54" t="s">
        <v>162</v>
      </c>
      <c r="G171" s="58">
        <f>SUM(G$161:G$162)+G$159+G$158+G$157+$G19</f>
        <v>36.242999999999995</v>
      </c>
      <c r="H171" s="58">
        <f>SUM(H$161:H$162)+H$159+H$158+H$157+$G19</f>
        <v>36.338999999999999</v>
      </c>
      <c r="I171" s="58">
        <f>SUM(I$161:I$162)+I$159+I$158+I$157+$I19</f>
        <v>37.835000000000001</v>
      </c>
      <c r="J171" s="58">
        <f>SUM(J$161:J$162)+J$159+J$158+J$157+$I19</f>
        <v>38.069000000000003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SUM(G$161:G$162)+G$159+G$158+G$157+$G19</f>
        <v>36.242999999999995</v>
      </c>
      <c r="N171" s="100">
        <f>SUM(N$161:N$162)+N$147+N$149+N$150+N$152+N$153+N$155+N$157+$N19</f>
        <v>9.9109999999999996</v>
      </c>
      <c r="O171" s="100">
        <f>SUM(O$161:O$162)+O$147+O$149+O$150+O$152+O$153+O$155+O$157+$O19</f>
        <v>9.5350000000000001</v>
      </c>
    </row>
    <row r="172" spans="1:15" ht="15" thickBot="1" x14ac:dyDescent="0.4">
      <c r="A172" s="55" t="s">
        <v>161</v>
      </c>
      <c r="G172" s="58">
        <f>SUM(G$161:G$162)+G$159+G$158+G$157+$G20</f>
        <v>36.096000000000004</v>
      </c>
      <c r="H172" s="58">
        <f>SUM(H$161:H$162)+H$159+H$158+H$157+$G20</f>
        <v>36.192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4">SUM(L$161:L$162)+L$159+L$158+L$157+$L20</f>
        <v>43.61</v>
      </c>
      <c r="M172" s="58">
        <f t="shared" ref="M172:M175" si="135">SUM(G$161:G$162)+G$159+G$158+G$157+$G20</f>
        <v>36.096000000000004</v>
      </c>
      <c r="N172" s="100">
        <f>SUM(N$161:N$162)+N$147+N$149+N$150+N$152+N$153+N$155+N$157+$N20</f>
        <v>9.4699999999999989</v>
      </c>
      <c r="O172" s="100">
        <f>SUM(O$161:O$162)+O$147+O$149+O$150+O$152+O$153+O$155+O$157+$O20</f>
        <v>9.1900000000000013</v>
      </c>
    </row>
    <row r="173" spans="1:15" ht="15" thickBot="1" x14ac:dyDescent="0.4">
      <c r="A173" s="55" t="s">
        <v>160</v>
      </c>
      <c r="G173" s="58">
        <f>SUM(G$161:G$162)+G$159+G$158+G$157+$G21</f>
        <v>35.9</v>
      </c>
      <c r="H173" s="58">
        <f t="shared" ref="H173:J175" si="136">SUM(H$161:H$162)+H$159+H$158+H$157+$G21</f>
        <v>35.995999999999995</v>
      </c>
      <c r="I173" s="58">
        <f t="shared" si="136"/>
        <v>36.158000000000001</v>
      </c>
      <c r="J173" s="58">
        <f t="shared" si="136"/>
        <v>36.391999999999996</v>
      </c>
      <c r="K173" s="58">
        <f t="shared" ref="K173:K174" si="137">SUM(K$161:K$162)+K$159+K$158+K$157+$K21</f>
        <v>39.908000000000001</v>
      </c>
      <c r="L173" s="58">
        <f t="shared" si="134"/>
        <v>42.769999999999996</v>
      </c>
      <c r="M173" s="58">
        <f t="shared" si="135"/>
        <v>35.9</v>
      </c>
      <c r="N173" s="100">
        <f>SUM(N$161:N$162)+N$147+N$149+N$150+N$152+N$153+N$155+N$157+$N21</f>
        <v>8.8819999999999997</v>
      </c>
      <c r="O173" s="100">
        <f>SUM(O$161:O$162)+O$147+O$149+O$150+O$152+O$153+O$155+O$157+$O21</f>
        <v>8.73</v>
      </c>
    </row>
    <row r="174" spans="1:15" ht="15" thickBot="1" x14ac:dyDescent="0.4">
      <c r="A174" s="55" t="s">
        <v>163</v>
      </c>
      <c r="G174" s="58">
        <f>SUM(G$161:G$162)+G$159+G$158+G$157+$G22</f>
        <v>35.262999999999998</v>
      </c>
      <c r="H174" s="58">
        <f t="shared" si="136"/>
        <v>35.359000000000002</v>
      </c>
      <c r="I174" s="58">
        <f t="shared" si="136"/>
        <v>35.521000000000001</v>
      </c>
      <c r="J174" s="58">
        <f t="shared" si="136"/>
        <v>35.755000000000003</v>
      </c>
      <c r="K174" s="58">
        <f t="shared" si="137"/>
        <v>37.36</v>
      </c>
      <c r="L174" s="58">
        <f t="shared" si="134"/>
        <v>40.04</v>
      </c>
      <c r="M174" s="58">
        <f t="shared" si="135"/>
        <v>35.262999999999998</v>
      </c>
      <c r="N174" s="100">
        <f>SUM(N$161:N$162)+N$147+N$149+N$150+N$152+N$153+N$155+N$157+$N22</f>
        <v>6.9710000000000001</v>
      </c>
      <c r="O174" s="100">
        <f>SUM(O$161:O$162)+O$147+O$149+O$150+O$152+O$153+O$155+O$157+$O22</f>
        <v>7.2350000000000003</v>
      </c>
    </row>
    <row r="175" spans="1:15" ht="15" thickBot="1" x14ac:dyDescent="0.4">
      <c r="A175" s="56" t="s">
        <v>159</v>
      </c>
      <c r="G175" s="63">
        <f t="shared" ref="G175" si="138">SUM(G$161:G$162)+G$159+G$158+G$157+$G23</f>
        <v>35.997999999999998</v>
      </c>
      <c r="H175" s="58">
        <f t="shared" si="136"/>
        <v>36.094000000000001</v>
      </c>
      <c r="I175" s="58">
        <f>SUM(I$161:I$162)+I$159+I$158+I$157+$I23</f>
        <v>37.36</v>
      </c>
      <c r="J175" s="58">
        <f t="shared" si="136"/>
        <v>36.49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 t="shared" si="135"/>
        <v>35.997999999999998</v>
      </c>
      <c r="N175" s="100">
        <f>SUM(N$161:N$162)+N$147+N$149+N$150+N$152+N$153+N$155+N$157+$N23</f>
        <v>9.1759999999999984</v>
      </c>
      <c r="O175" s="100">
        <f>SUM(O$161:O$162)+O$147+O$149+O$150+O$152+O$153+O$155+O$157+$O23</f>
        <v>8.9600000000000009</v>
      </c>
    </row>
    <row r="176" spans="1:15" ht="15" thickBot="1" x14ac:dyDescent="0.4">
      <c r="A176" s="52"/>
    </row>
    <row r="177" spans="1:15" ht="15" thickBot="1" x14ac:dyDescent="0.4">
      <c r="A177" s="54" t="s">
        <v>158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SUM(L$161:L$162)+L$159+L$158+L$157+$L25</f>
        <v>44.239999999999995</v>
      </c>
      <c r="N177" s="100">
        <f>SUM(N$161:N$162)+N$147+N$149+N$150+N$152+N$153+N$155+N$157+$N25</f>
        <v>9.9109999999999996</v>
      </c>
      <c r="O177" s="100">
        <f>SUM(O$161:O$162)+O$147+O$149+O$150+O$152+O$153+O$155+O$157+$O25</f>
        <v>9.5350000000000001</v>
      </c>
    </row>
    <row r="178" spans="1:15" ht="15" thickBot="1" x14ac:dyDescent="0.4">
      <c r="A178" s="55" t="s">
        <v>157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39">SUM(I$161:I$162)+I$159+I$158+I$157+$I26</f>
        <v>37.17</v>
      </c>
      <c r="J178" s="58">
        <f t="shared" ref="J178:J181" si="140">SUM(J$161:J$162)+J$159+J$158+J$157+$J26</f>
        <v>38.393999999999998</v>
      </c>
      <c r="K178" s="58">
        <f t="shared" ref="K178:K181" si="141">SUM(K$161:K$162)+K$159+K$158+K$157+$K26</f>
        <v>39.908000000000001</v>
      </c>
      <c r="L178" s="58">
        <f t="shared" ref="L178:L181" si="142">SUM(L$161:L$162)+L$159+L$158+L$157+$L26</f>
        <v>42.769999999999996</v>
      </c>
      <c r="M178" s="58">
        <f t="shared" ref="M178:M181" si="143">SUM(L$161:L$162)+L$159+L$158+L$157+$L26</f>
        <v>42.769999999999996</v>
      </c>
      <c r="N178" s="100">
        <f>SUM(N$161:N$162)+N$147+N$149+N$150+N$152+N$153+N$155+N$157+$N26</f>
        <v>8.8819999999999997</v>
      </c>
      <c r="O178" s="100">
        <f>SUM(O$161:O$162)+O$147+O$149+O$150+O$152+O$153+O$155+O$157+$O26</f>
        <v>8.73</v>
      </c>
    </row>
    <row r="179" spans="1:15" ht="15" thickBot="1" x14ac:dyDescent="0.4">
      <c r="A179" s="55" t="s">
        <v>156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39"/>
        <v>37.17</v>
      </c>
      <c r="J179" s="58">
        <f t="shared" si="140"/>
        <v>38.393999999999998</v>
      </c>
      <c r="K179" s="58">
        <f t="shared" si="141"/>
        <v>39.908000000000001</v>
      </c>
      <c r="L179" s="58">
        <f t="shared" si="142"/>
        <v>42.769999999999996</v>
      </c>
      <c r="M179" s="58">
        <f t="shared" si="143"/>
        <v>42.769999999999996</v>
      </c>
      <c r="N179" s="100">
        <f>SUM(N$161:N$162)+N$147+N$149+N$150+N$152+N$153+N$155+N$157+$N27</f>
        <v>8.8819999999999997</v>
      </c>
      <c r="O179" s="100">
        <f>SUM(O$161:O$162)+O$147+O$149+O$150+O$152+O$153+O$155+O$157+$O27</f>
        <v>8.73</v>
      </c>
    </row>
    <row r="180" spans="1:15" ht="15" thickBot="1" x14ac:dyDescent="0.4">
      <c r="A180" s="55" t="s">
        <v>164</v>
      </c>
      <c r="G180" s="58">
        <f t="shared" ref="G180:G181" si="144">SUM(G$161:G$162)+G$159+G$158+G$157+G28</f>
        <v>35.262999999999998</v>
      </c>
      <c r="H180" s="58">
        <f t="shared" ref="H180:H181" si="145">SUM(H$161:H$162)+H$159+H$158+H$157+$H28</f>
        <v>35.503</v>
      </c>
      <c r="I180" s="58">
        <f>SUM(I$161:I$162)+I$159+I$158+I$157+$I28</f>
        <v>35.935000000000002</v>
      </c>
      <c r="J180" s="58">
        <f t="shared" si="140"/>
        <v>36.573999999999998</v>
      </c>
      <c r="K180" s="58">
        <f t="shared" si="141"/>
        <v>37.36</v>
      </c>
      <c r="L180" s="58">
        <f t="shared" si="142"/>
        <v>40.04</v>
      </c>
      <c r="M180" s="58">
        <f t="shared" si="143"/>
        <v>40.04</v>
      </c>
      <c r="N180" s="100">
        <f>SUM(N$161:N$162)+N$147+N$149+N$150+N$152+N$153+N$155+N$157+$N28</f>
        <v>6.9710000000000001</v>
      </c>
      <c r="O180" s="100">
        <f>SUM(O$161:O$162)+O$147+O$149+O$150+O$152+O$153+O$155+O$157+$O28</f>
        <v>7.2350000000000003</v>
      </c>
    </row>
    <row r="181" spans="1:15" ht="15" thickBot="1" x14ac:dyDescent="0.4">
      <c r="A181" s="56" t="s">
        <v>155</v>
      </c>
      <c r="G181" s="63">
        <f t="shared" si="144"/>
        <v>35.997999999999998</v>
      </c>
      <c r="H181" s="58">
        <f t="shared" si="145"/>
        <v>36.478000000000002</v>
      </c>
      <c r="I181" s="58">
        <f t="shared" si="139"/>
        <v>37.36</v>
      </c>
      <c r="J181" s="58">
        <f t="shared" si="140"/>
        <v>38.673999999999999</v>
      </c>
      <c r="K181" s="63">
        <f t="shared" si="141"/>
        <v>40.299999999999997</v>
      </c>
      <c r="L181" s="63">
        <f t="shared" si="142"/>
        <v>43.19</v>
      </c>
      <c r="M181" s="63">
        <f t="shared" si="143"/>
        <v>43.19</v>
      </c>
      <c r="N181" s="100">
        <f>SUM(N$161:N$162)+N$147+N$149+N$150+N$152+N$153+N$155+N$157+$N29</f>
        <v>9.1759999999999984</v>
      </c>
      <c r="O181" s="100">
        <f>SUM(O$161:O$162)+O$147+O$149+O$150+O$152+O$153+O$155+O$157+$O29</f>
        <v>8.9600000000000009</v>
      </c>
    </row>
    <row r="182" spans="1:15" ht="15" thickBot="1" x14ac:dyDescent="0.4">
      <c r="A182" s="52"/>
    </row>
    <row r="183" spans="1:15" ht="15" thickBot="1" x14ac:dyDescent="0.4">
      <c r="A183" s="54" t="s">
        <v>130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>SUM(L$161:L$162)+L$159+L$158+L$157+$L31</f>
        <v>45.35</v>
      </c>
      <c r="N183" s="100">
        <f t="shared" ref="N183:N188" si="146">SUM(N$161:N$162)+N$147+N$149+N$150+N$152+N$153+N$155+N$157+$N31</f>
        <v>8.5879999999999992</v>
      </c>
      <c r="O183" s="100">
        <f t="shared" ref="O183:O188" si="147">SUM(O$161:O$162)+O$147+O$149+O$150+O$152+O$153+O$155+O$157+$O31</f>
        <v>8.5</v>
      </c>
    </row>
    <row r="184" spans="1:15" ht="15" thickBot="1" x14ac:dyDescent="0.4">
      <c r="A184" s="55" t="s">
        <v>129</v>
      </c>
      <c r="G184" s="58">
        <f t="shared" ref="G184:G188" si="148">SUM(G$161:G$162)+G$159+G$158+G$157+G32</f>
        <v>38.683999999999997</v>
      </c>
      <c r="H184" s="58">
        <f t="shared" ref="H184:H188" si="149">SUM(H$161:H$162)+H$159+H$158+H$157+$H32</f>
        <v>39.387999999999998</v>
      </c>
      <c r="I184" s="58">
        <f t="shared" ref="I184:I188" si="150">SUM(I$161:I$162)+I$159+I$158+I$157+$I32</f>
        <v>40.69</v>
      </c>
      <c r="J184" s="58">
        <f t="shared" ref="J184:J188" si="151">SUM(J$161:J$162)+J$159+J$158+J$157+$J32</f>
        <v>42.634</v>
      </c>
      <c r="K184" s="58">
        <f t="shared" ref="K184:K188" si="152">SUM(K$161:K$162)+K$159+K$158+K$157+$K32</f>
        <v>45.043999999999997</v>
      </c>
      <c r="L184" s="58">
        <f t="shared" ref="L184:L188" si="153">SUM(L$161:L$162)+L$159+L$158+L$157+$L32</f>
        <v>49.129999999999995</v>
      </c>
      <c r="M184" s="58">
        <f t="shared" ref="M184:M188" si="154">SUM(L$161:L$162)+L$159+L$158+L$157+$L32</f>
        <v>49.129999999999995</v>
      </c>
      <c r="N184" s="100">
        <f t="shared" si="146"/>
        <v>11.233999999999998</v>
      </c>
      <c r="O184" s="100">
        <f t="shared" si="147"/>
        <v>10.57</v>
      </c>
    </row>
    <row r="185" spans="1:15" ht="15" thickBot="1" x14ac:dyDescent="0.4">
      <c r="A185" s="55" t="s">
        <v>128</v>
      </c>
      <c r="G185" s="58">
        <f t="shared" si="148"/>
        <v>37.753</v>
      </c>
      <c r="H185" s="58">
        <f t="shared" si="149"/>
        <v>38.152999999999999</v>
      </c>
      <c r="I185" s="58">
        <f t="shared" si="150"/>
        <v>38.885000000000005</v>
      </c>
      <c r="J185" s="58">
        <f t="shared" si="151"/>
        <v>39.974000000000004</v>
      </c>
      <c r="K185" s="58">
        <f t="shared" si="152"/>
        <v>41.32</v>
      </c>
      <c r="L185" s="58">
        <f t="shared" si="153"/>
        <v>45.14</v>
      </c>
      <c r="M185" s="58">
        <f t="shared" si="154"/>
        <v>45.14</v>
      </c>
      <c r="N185" s="100">
        <f t="shared" si="146"/>
        <v>8.4409999999999989</v>
      </c>
      <c r="O185" s="100">
        <f t="shared" si="147"/>
        <v>8.3850000000000016</v>
      </c>
    </row>
    <row r="186" spans="1:15" ht="15" thickBot="1" x14ac:dyDescent="0.4">
      <c r="A186" s="55" t="s">
        <v>127</v>
      </c>
      <c r="G186" s="58">
        <f t="shared" si="148"/>
        <v>38.781999999999996</v>
      </c>
      <c r="H186" s="58">
        <f t="shared" si="149"/>
        <v>39.518000000000001</v>
      </c>
      <c r="I186" s="58">
        <f t="shared" si="150"/>
        <v>40.880000000000003</v>
      </c>
      <c r="J186" s="58">
        <f t="shared" si="151"/>
        <v>42.914000000000001</v>
      </c>
      <c r="K186" s="58">
        <f t="shared" si="152"/>
        <v>45.436000000000007</v>
      </c>
      <c r="L186" s="58">
        <f t="shared" si="153"/>
        <v>49.55</v>
      </c>
      <c r="M186" s="58">
        <f t="shared" si="154"/>
        <v>49.55</v>
      </c>
      <c r="N186" s="100">
        <f t="shared" si="146"/>
        <v>11.527999999999999</v>
      </c>
      <c r="O186" s="100">
        <f t="shared" si="147"/>
        <v>10.8</v>
      </c>
    </row>
    <row r="187" spans="1:15" ht="15" thickBot="1" x14ac:dyDescent="0.4">
      <c r="A187" s="55" t="s">
        <v>165</v>
      </c>
      <c r="G187" s="58">
        <f t="shared" si="148"/>
        <v>37.753</v>
      </c>
      <c r="H187" s="58">
        <f t="shared" si="149"/>
        <v>38.152999999999999</v>
      </c>
      <c r="I187" s="58">
        <f t="shared" si="150"/>
        <v>38.885000000000005</v>
      </c>
      <c r="J187" s="58">
        <f t="shared" si="151"/>
        <v>39.974000000000004</v>
      </c>
      <c r="K187" s="58">
        <f t="shared" si="152"/>
        <v>41.32</v>
      </c>
      <c r="L187" s="58">
        <f t="shared" si="153"/>
        <v>45.14</v>
      </c>
      <c r="M187" s="58">
        <f t="shared" si="154"/>
        <v>45.14</v>
      </c>
      <c r="N187" s="100">
        <f t="shared" si="146"/>
        <v>8.4409999999999989</v>
      </c>
      <c r="O187" s="100">
        <f t="shared" si="147"/>
        <v>8.3850000000000016</v>
      </c>
    </row>
    <row r="188" spans="1:15" ht="15" thickBot="1" x14ac:dyDescent="0.4">
      <c r="A188" s="56" t="s">
        <v>126</v>
      </c>
      <c r="G188" s="63">
        <f t="shared" si="148"/>
        <v>37.311999999999998</v>
      </c>
      <c r="H188" s="58">
        <f t="shared" si="149"/>
        <v>37.567999999999998</v>
      </c>
      <c r="I188" s="58">
        <f t="shared" si="150"/>
        <v>38.03</v>
      </c>
      <c r="J188" s="58">
        <f t="shared" si="151"/>
        <v>38.713999999999999</v>
      </c>
      <c r="K188" s="63">
        <f t="shared" si="152"/>
        <v>39.555999999999997</v>
      </c>
      <c r="L188" s="63">
        <f t="shared" si="153"/>
        <v>43.25</v>
      </c>
      <c r="M188" s="63">
        <f t="shared" si="154"/>
        <v>43.25</v>
      </c>
      <c r="N188" s="100">
        <f t="shared" si="146"/>
        <v>7.1179999999999994</v>
      </c>
      <c r="O188" s="100">
        <f t="shared" si="147"/>
        <v>7.35</v>
      </c>
    </row>
    <row r="189" spans="1:15" ht="15" thickBot="1" x14ac:dyDescent="0.4">
      <c r="A189" s="52"/>
    </row>
    <row r="190" spans="1:15" ht="15" thickBot="1" x14ac:dyDescent="0.4">
      <c r="A190" s="54" t="s">
        <v>125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SUM(K$161:K$162)+K$159+K$158+K$157+$K38</f>
        <v>41.516000000000005</v>
      </c>
      <c r="M190" s="58">
        <f>SUM(K$161:K$162)+K$159+K$158+K$157+$K38</f>
        <v>41.516000000000005</v>
      </c>
      <c r="N190" s="100">
        <f t="shared" ref="N190:N195" si="155">SUM(N$161:N$162)+N$147+N$149+N$150+N$152+N$153+N$155+N$157+$N38</f>
        <v>8.5879999999999992</v>
      </c>
      <c r="O190" s="100">
        <f t="shared" ref="O190:O195" si="156">SUM(O$161:O$162)+O$147+O$149+O$150+O$152+O$153+O$155+O$157+$O38</f>
        <v>8.5</v>
      </c>
    </row>
    <row r="191" spans="1:15" ht="15" thickBot="1" x14ac:dyDescent="0.4">
      <c r="A191" s="55" t="s">
        <v>124</v>
      </c>
      <c r="G191" s="58">
        <f t="shared" ref="G191:G195" si="157">SUM(G$161:G$162)+G$159+G$158+G$157+G39</f>
        <v>38.683999999999997</v>
      </c>
      <c r="H191" s="58">
        <f t="shared" ref="H191:H195" si="158">SUM(H$161:H$162)+H$159+H$158+H$157+$H39</f>
        <v>39.387999999999998</v>
      </c>
      <c r="I191" s="58">
        <f t="shared" ref="I191:I195" si="159">SUM(I$161:I$162)+I$159+I$158+I$157+$I39</f>
        <v>38.408100000000005</v>
      </c>
      <c r="J191" s="58">
        <f t="shared" ref="J191:J195" si="160">SUM(J$161:J$162)+J$159+J$158+J$157+$J39</f>
        <v>41.396680000000003</v>
      </c>
      <c r="K191" s="58">
        <f t="shared" ref="K191:K195" si="161">SUM(K$161:K$162)+K$159+K$158+K$157+$K39</f>
        <v>45.043999999999997</v>
      </c>
      <c r="L191" s="58">
        <f t="shared" ref="L191:L195" si="162">SUM(K$161:K$162)+K$159+K$158+K$157+$K39</f>
        <v>45.043999999999997</v>
      </c>
      <c r="M191" s="58">
        <f t="shared" ref="M191:M195" si="163">SUM(K$161:K$162)+K$159+K$158+K$157+$K39</f>
        <v>45.043999999999997</v>
      </c>
      <c r="N191" s="100">
        <f t="shared" si="155"/>
        <v>11.233999999999998</v>
      </c>
      <c r="O191" s="100">
        <f t="shared" si="156"/>
        <v>10.57</v>
      </c>
    </row>
    <row r="192" spans="1:15" ht="15" thickBot="1" x14ac:dyDescent="0.4">
      <c r="A192" s="55" t="s">
        <v>123</v>
      </c>
      <c r="G192" s="58">
        <f t="shared" si="157"/>
        <v>37.753</v>
      </c>
      <c r="H192" s="58">
        <f t="shared" si="158"/>
        <v>38.152999999999999</v>
      </c>
      <c r="I192" s="58">
        <f t="shared" si="159"/>
        <v>38.408100000000005</v>
      </c>
      <c r="J192" s="58">
        <f t="shared" si="160"/>
        <v>41.26634</v>
      </c>
      <c r="K192" s="58">
        <f t="shared" si="161"/>
        <v>41.32</v>
      </c>
      <c r="L192" s="58">
        <f t="shared" si="162"/>
        <v>41.32</v>
      </c>
      <c r="M192" s="58">
        <f t="shared" si="163"/>
        <v>41.32</v>
      </c>
      <c r="N192" s="100">
        <f t="shared" si="155"/>
        <v>8.4409999999999989</v>
      </c>
      <c r="O192" s="100">
        <f t="shared" si="156"/>
        <v>8.3850000000000016</v>
      </c>
    </row>
    <row r="193" spans="1:15" ht="15" thickBot="1" x14ac:dyDescent="0.4">
      <c r="A193" s="55" t="s">
        <v>122</v>
      </c>
      <c r="G193" s="58">
        <f t="shared" si="157"/>
        <v>38.781999999999996</v>
      </c>
      <c r="H193" s="58">
        <f t="shared" si="158"/>
        <v>39.518000000000001</v>
      </c>
      <c r="I193" s="58">
        <f t="shared" si="159"/>
        <v>38.408100000000005</v>
      </c>
      <c r="J193" s="58">
        <f t="shared" si="160"/>
        <v>41.410399999999996</v>
      </c>
      <c r="K193" s="58">
        <f t="shared" si="161"/>
        <v>45.436000000000007</v>
      </c>
      <c r="L193" s="58">
        <f t="shared" si="162"/>
        <v>45.436000000000007</v>
      </c>
      <c r="M193" s="58">
        <f t="shared" si="163"/>
        <v>45.436000000000007</v>
      </c>
      <c r="N193" s="100">
        <f t="shared" si="155"/>
        <v>11.527999999999999</v>
      </c>
      <c r="O193" s="100">
        <f t="shared" si="156"/>
        <v>10.8</v>
      </c>
    </row>
    <row r="194" spans="1:15" ht="15" thickBot="1" x14ac:dyDescent="0.4">
      <c r="A194" s="55" t="s">
        <v>165</v>
      </c>
      <c r="G194" s="58">
        <f t="shared" si="157"/>
        <v>37.753</v>
      </c>
      <c r="H194" s="58">
        <f t="shared" si="158"/>
        <v>38.152999999999999</v>
      </c>
      <c r="I194" s="58">
        <f t="shared" si="159"/>
        <v>38.408100000000005</v>
      </c>
      <c r="J194" s="58">
        <f t="shared" si="160"/>
        <v>41.26634</v>
      </c>
      <c r="K194" s="58">
        <f t="shared" si="161"/>
        <v>41.32</v>
      </c>
      <c r="L194" s="58">
        <f t="shared" si="162"/>
        <v>41.32</v>
      </c>
      <c r="M194" s="58">
        <f t="shared" si="163"/>
        <v>41.32</v>
      </c>
      <c r="N194" s="100">
        <f t="shared" si="155"/>
        <v>8.4409999999999989</v>
      </c>
      <c r="O194" s="100">
        <f t="shared" si="156"/>
        <v>8.3850000000000016</v>
      </c>
    </row>
    <row r="195" spans="1:15" ht="15" thickBot="1" x14ac:dyDescent="0.4">
      <c r="A195" s="56" t="s">
        <v>121</v>
      </c>
      <c r="G195" s="63">
        <f t="shared" si="157"/>
        <v>37.311999999999998</v>
      </c>
      <c r="H195" s="63">
        <f t="shared" si="158"/>
        <v>37.567999999999998</v>
      </c>
      <c r="I195" s="63">
        <f t="shared" si="159"/>
        <v>38.408100000000005</v>
      </c>
      <c r="J195" s="63">
        <f t="shared" si="160"/>
        <v>41.204599999999999</v>
      </c>
      <c r="K195" s="63">
        <f t="shared" si="161"/>
        <v>39.555999999999997</v>
      </c>
      <c r="L195" s="63">
        <f t="shared" si="162"/>
        <v>39.555999999999997</v>
      </c>
      <c r="M195" s="63">
        <f t="shared" si="163"/>
        <v>39.555999999999997</v>
      </c>
      <c r="N195" s="100">
        <f t="shared" si="155"/>
        <v>7.1179999999999994</v>
      </c>
      <c r="O195" s="100">
        <f t="shared" si="156"/>
        <v>7.35</v>
      </c>
    </row>
    <row r="196" spans="1:15" ht="15" thickBot="1" x14ac:dyDescent="0.4">
      <c r="A196" s="52"/>
    </row>
    <row r="197" spans="1:15" ht="15" thickBot="1" x14ac:dyDescent="0.4">
      <c r="A197" s="54" t="s">
        <v>154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>SUM(N$161:N$162)+N$147+N$149+N$150+N$152+N$154+$N45</f>
        <v>9.0240000000000009</v>
      </c>
      <c r="O197" s="100">
        <f>SUM(O$161:O$162)+O$147+O$149+O$150+O$152+O$154+$O45</f>
        <v>8.7349999999999994</v>
      </c>
    </row>
    <row r="198" spans="1:15" ht="15" thickBot="1" x14ac:dyDescent="0.4">
      <c r="A198" s="55" t="s">
        <v>153</v>
      </c>
      <c r="G198" s="63">
        <f>SUM(G$161:G$162)+G$159+G$158+G$156+G$155+G$154+G46</f>
        <v>34.707000000000001</v>
      </c>
      <c r="H198" s="63">
        <f t="shared" ref="H198:H201" si="164">SUM(H$161:H$162)+H$159+H$158+H$156+H$155+H$154+$H46</f>
        <v>35.266999999999996</v>
      </c>
      <c r="I198" s="63">
        <f t="shared" ref="I198:I201" si="165">SUM(I$161:I$162)+I$159+I$158+I$156+I$155+I$154+$I46</f>
        <v>36.29</v>
      </c>
      <c r="J198" s="63">
        <f t="shared" ref="J198:J201" si="166">SUM(J$161:J$162)+J$159+J$158+J$156+J$155+J$154+$J46</f>
        <v>37.811</v>
      </c>
      <c r="K198" s="58">
        <f t="shared" ref="K198:M201" si="167">SUM(K$161:K$162)+K$159+K$158+K$156+K$155+K$154+K46</f>
        <v>39.69</v>
      </c>
      <c r="L198" s="58">
        <f t="shared" si="167"/>
        <v>41.635000000000005</v>
      </c>
      <c r="M198" s="58">
        <f t="shared" si="167"/>
        <v>45.525000000000006</v>
      </c>
      <c r="N198" s="100">
        <f>SUM(N$161:N$162)+N$147+N$149+N$150+N$152+N$154+$N46</f>
        <v>8.5829999999999984</v>
      </c>
      <c r="O198" s="100">
        <f>SUM(O$161:O$162)+O$147+O$149+O$150+O$152+O$154+$O46</f>
        <v>8.39</v>
      </c>
    </row>
    <row r="199" spans="1:15" ht="15" thickBot="1" x14ac:dyDescent="0.4">
      <c r="A199" s="55" t="s">
        <v>152</v>
      </c>
      <c r="G199" s="63">
        <f>SUM(G$161:G$162)+G$159+G$158+G$156+G$155+G$154+G47</f>
        <v>34.510999999999996</v>
      </c>
      <c r="H199" s="63">
        <f t="shared" si="164"/>
        <v>35.006999999999998</v>
      </c>
      <c r="I199" s="63">
        <f t="shared" si="165"/>
        <v>35.909999999999997</v>
      </c>
      <c r="J199" s="63">
        <f t="shared" si="166"/>
        <v>37.250999999999998</v>
      </c>
      <c r="K199" s="58">
        <f t="shared" si="167"/>
        <v>38.905999999999999</v>
      </c>
      <c r="L199" s="58">
        <f t="shared" si="167"/>
        <v>40.795000000000002</v>
      </c>
      <c r="M199" s="58">
        <f t="shared" si="167"/>
        <v>44.225000000000001</v>
      </c>
      <c r="N199" s="100">
        <f>SUM(N$161:N$162)+N$147+N$149+N$150+N$152+N$154+$N47</f>
        <v>7.9950000000000001</v>
      </c>
      <c r="O199" s="100">
        <f>SUM(O$161:O$162)+O$147+O$149+O$150+O$152+O$154+$O47</f>
        <v>7.9300000000000006</v>
      </c>
    </row>
    <row r="200" spans="1:15" ht="15" thickBot="1" x14ac:dyDescent="0.4">
      <c r="A200" s="55" t="s">
        <v>166</v>
      </c>
      <c r="G200" s="63">
        <f t="shared" ref="G200:G201" si="168">SUM(G$161:G$162)+G$159+G$158+G$156+G$155+G$154+G48</f>
        <v>33.874000000000002</v>
      </c>
      <c r="H200" s="63">
        <f t="shared" si="164"/>
        <v>34.161999999999999</v>
      </c>
      <c r="I200" s="63">
        <f t="shared" si="165"/>
        <v>34.674999999999997</v>
      </c>
      <c r="J200" s="63">
        <f t="shared" si="166"/>
        <v>35.430999999999997</v>
      </c>
      <c r="K200" s="58">
        <f t="shared" si="167"/>
        <v>36.358000000000004</v>
      </c>
      <c r="L200" s="58">
        <f t="shared" si="167"/>
        <v>38.064999999999998</v>
      </c>
      <c r="M200" s="58">
        <f t="shared" si="167"/>
        <v>40</v>
      </c>
      <c r="N200" s="100">
        <f>SUM(N$161:N$162)+N$147+N$149+N$150+N$152+N$154+$N48</f>
        <v>6.0839999999999996</v>
      </c>
      <c r="O200" s="100">
        <f>SUM(O$161:O$162)+O$147+O$149+O$150+O$152+O$154+$O48</f>
        <v>6.4350000000000005</v>
      </c>
    </row>
    <row r="201" spans="1:15" ht="15" thickBot="1" x14ac:dyDescent="0.4">
      <c r="A201" s="56" t="s">
        <v>151</v>
      </c>
      <c r="G201" s="63">
        <f t="shared" si="168"/>
        <v>34.609000000000002</v>
      </c>
      <c r="H201" s="63">
        <f t="shared" si="164"/>
        <v>35.137</v>
      </c>
      <c r="I201" s="63">
        <f t="shared" si="165"/>
        <v>36.1</v>
      </c>
      <c r="J201" s="63">
        <f t="shared" si="166"/>
        <v>37.530999999999999</v>
      </c>
      <c r="K201" s="63">
        <f t="shared" si="167"/>
        <v>39.298000000000002</v>
      </c>
      <c r="L201" s="63">
        <f t="shared" si="167"/>
        <v>41.215000000000003</v>
      </c>
      <c r="M201" s="63">
        <f t="shared" si="167"/>
        <v>44.875</v>
      </c>
      <c r="N201" s="100">
        <f>SUM(N$161:N$162)+N$147+N$149+N$150+N$152+N$154+$N49</f>
        <v>8.2889999999999997</v>
      </c>
      <c r="O201" s="100">
        <f>SUM(O$161:O$162)+O$147+O$149+O$150+O$152+O$154+$O49</f>
        <v>8.16</v>
      </c>
    </row>
    <row r="202" spans="1:15" ht="15" thickBot="1" x14ac:dyDescent="0.4">
      <c r="A202" s="52"/>
    </row>
    <row r="203" spans="1:15" ht="15" thickBot="1" x14ac:dyDescent="0.4">
      <c r="A203" s="54" t="s">
        <v>150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>SUM(N$161:N$162)+N$147+N$149+N$150+N$152+N$154+$N51</f>
        <v>9.0240000000000009</v>
      </c>
      <c r="O203" s="100">
        <f>SUM(O$161:O$162)+O$147+O$149+O$150+O$152+O$154+$O51</f>
        <v>8.7349999999999994</v>
      </c>
    </row>
    <row r="204" spans="1:15" ht="15" thickBot="1" x14ac:dyDescent="0.4">
      <c r="A204" s="55" t="s">
        <v>149</v>
      </c>
      <c r="G204" s="58">
        <f t="shared" ref="G204:G207" si="169">SUM(G$161:G$162)+G$159+G$158+G$156+G$155+G$154+G52</f>
        <v>34.510999999999996</v>
      </c>
      <c r="H204" s="58">
        <f t="shared" ref="H204:H207" si="170">SUM(H$161:H$162)+H$159+H$158+H$156+H$155+H$154+$H52</f>
        <v>35.006999999999998</v>
      </c>
      <c r="I204" s="58">
        <f t="shared" ref="I204:I207" si="171">SUM(I$161:I$162)+I$159+I$158+I$156+I$155+I$154+$I52</f>
        <v>35.909999999999997</v>
      </c>
      <c r="J204" s="58">
        <f t="shared" ref="J204:J207" si="172">SUM(J$161:J$162)+J$159+J$158+J$156+J$155+J$154+$J52</f>
        <v>37.250999999999998</v>
      </c>
      <c r="K204" s="58">
        <f t="shared" ref="K204:M207" si="173">SUM(K$161:K$162)+K$159+K$158+K$156+K$155+K$154+K52</f>
        <v>38.905999999999999</v>
      </c>
      <c r="L204" s="58">
        <f t="shared" si="173"/>
        <v>40.795000000000002</v>
      </c>
      <c r="M204" s="58">
        <f t="shared" si="173"/>
        <v>44.225000000000001</v>
      </c>
      <c r="N204" s="100">
        <f>SUM(N$161:N$162)+N$147+N$149+N$150+N$152+N$154+$N52</f>
        <v>7.9950000000000001</v>
      </c>
      <c r="O204" s="100">
        <f>SUM(O$161:O$162)+O$147+O$149+O$150+O$152+O$154+$O52</f>
        <v>7.9300000000000006</v>
      </c>
    </row>
    <row r="205" spans="1:15" ht="15" thickBot="1" x14ac:dyDescent="0.4">
      <c r="A205" s="55" t="s">
        <v>148</v>
      </c>
      <c r="G205" s="58">
        <f t="shared" si="169"/>
        <v>34.510999999999996</v>
      </c>
      <c r="H205" s="58">
        <f t="shared" si="170"/>
        <v>35.006999999999998</v>
      </c>
      <c r="I205" s="58">
        <f t="shared" si="171"/>
        <v>35.909999999999997</v>
      </c>
      <c r="J205" s="58">
        <f t="shared" si="172"/>
        <v>37.250999999999998</v>
      </c>
      <c r="K205" s="58">
        <f t="shared" si="173"/>
        <v>38.905999999999999</v>
      </c>
      <c r="L205" s="58">
        <f t="shared" si="173"/>
        <v>40.795000000000002</v>
      </c>
      <c r="M205" s="58">
        <f t="shared" si="173"/>
        <v>44.225000000000001</v>
      </c>
      <c r="N205" s="100">
        <f>SUM(N$161:N$162)+N$147+N$149+N$150+N$152+N$154+$N53</f>
        <v>7.9950000000000001</v>
      </c>
      <c r="O205" s="100">
        <f>SUM(O$161:O$162)+O$147+O$149+O$150+O$152+O$154+$O53</f>
        <v>7.9300000000000006</v>
      </c>
    </row>
    <row r="206" spans="1:15" ht="15" thickBot="1" x14ac:dyDescent="0.4">
      <c r="A206" s="55" t="s">
        <v>167</v>
      </c>
      <c r="G206" s="58">
        <f t="shared" si="169"/>
        <v>33.874000000000002</v>
      </c>
      <c r="H206" s="58">
        <f t="shared" si="170"/>
        <v>34.161999999999999</v>
      </c>
      <c r="I206" s="58">
        <f t="shared" si="171"/>
        <v>34.674999999999997</v>
      </c>
      <c r="J206" s="58">
        <f t="shared" si="172"/>
        <v>35.430999999999997</v>
      </c>
      <c r="K206" s="58">
        <f t="shared" si="173"/>
        <v>36.358000000000004</v>
      </c>
      <c r="L206" s="58">
        <f t="shared" si="173"/>
        <v>38.064999999999998</v>
      </c>
      <c r="M206" s="58">
        <f t="shared" si="173"/>
        <v>40</v>
      </c>
      <c r="N206" s="100">
        <f>SUM(N$161:N$162)+N$147+N$149+N$150+N$152+N$154+$N54</f>
        <v>6.0839999999999996</v>
      </c>
      <c r="O206" s="100">
        <f>SUM(O$161:O$162)+O$147+O$149+O$150+O$152+O$154+$O54</f>
        <v>6.4350000000000005</v>
      </c>
    </row>
    <row r="207" spans="1:15" ht="15" thickBot="1" x14ac:dyDescent="0.4">
      <c r="A207" s="56" t="s">
        <v>147</v>
      </c>
      <c r="G207" s="63">
        <f t="shared" si="169"/>
        <v>34.609000000000002</v>
      </c>
      <c r="H207" s="63">
        <f t="shared" si="170"/>
        <v>35.137</v>
      </c>
      <c r="I207" s="63">
        <f t="shared" si="171"/>
        <v>36.1</v>
      </c>
      <c r="J207" s="63">
        <f t="shared" si="172"/>
        <v>37.530999999999999</v>
      </c>
      <c r="K207" s="63">
        <f t="shared" si="173"/>
        <v>39.298000000000002</v>
      </c>
      <c r="L207" s="63">
        <f t="shared" si="173"/>
        <v>41.215000000000003</v>
      </c>
      <c r="M207" s="63">
        <f t="shared" si="173"/>
        <v>44.875</v>
      </c>
      <c r="N207" s="100">
        <f>SUM(N$161:N$162)+N$147+N$149+N$150+N$152+N$154+$N55</f>
        <v>8.2889999999999997</v>
      </c>
      <c r="O207" s="100">
        <f>SUM(O$161:O$162)+O$147+O$149+O$150+O$152+O$154+$O55</f>
        <v>8.16</v>
      </c>
    </row>
    <row r="208" spans="1:15" ht="15" thickBot="1" x14ac:dyDescent="0.4">
      <c r="A208" s="52"/>
    </row>
    <row r="209" spans="1:15" ht="15" thickBot="1" x14ac:dyDescent="0.4">
      <c r="A209" s="54" t="s">
        <v>120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N214" si="174">SUM(N$161:N$162)+N$147+N$149+N$150+N$152+N$154+$N57</f>
        <v>7.7009999999999996</v>
      </c>
      <c r="O209" s="100">
        <f t="shared" ref="O209:O214" si="175">SUM(O$161:O$162)+O$147+O$149+O$150+O$152+O$154+$O57</f>
        <v>7.7000000000000011</v>
      </c>
    </row>
    <row r="210" spans="1:15" ht="15" thickBot="1" x14ac:dyDescent="0.4">
      <c r="A210" s="55" t="s">
        <v>119</v>
      </c>
      <c r="G210" s="58">
        <f t="shared" ref="G210:G214" si="176">SUM(G$161:G$162)+G$159+G$158+G$156+G$155+G$154+G58</f>
        <v>37.295000000000002</v>
      </c>
      <c r="H210" s="58">
        <f t="shared" ref="H210:H214" si="177">SUM(H$161:H$162)+H$159+H$158+H$156+H$155+H$154+$H58</f>
        <v>38.046999999999997</v>
      </c>
      <c r="I210" s="58">
        <f t="shared" ref="I210:I214" si="178">SUM(I$161:I$162)+I$159+I$158+I$156+I$155+I$154+$I58</f>
        <v>39.43</v>
      </c>
      <c r="J210" s="58">
        <f t="shared" ref="J210:J214" si="179">SUM(J$161:J$162)+J$159+J$158+J$156+J$155+J$154+$J58</f>
        <v>41.491</v>
      </c>
      <c r="K210" s="58">
        <f t="shared" ref="K210:M214" si="180">SUM(K$161:K$162)+K$159+K$158+K$156+K$155+K$154+K58</f>
        <v>44.042000000000002</v>
      </c>
      <c r="L210" s="58">
        <f t="shared" si="180"/>
        <v>47.155000000000001</v>
      </c>
      <c r="M210" s="58">
        <f t="shared" si="180"/>
        <v>52.424999999999997</v>
      </c>
      <c r="N210" s="100">
        <f t="shared" si="174"/>
        <v>10.347</v>
      </c>
      <c r="O210" s="100">
        <f t="shared" si="175"/>
        <v>9.77</v>
      </c>
    </row>
    <row r="211" spans="1:15" ht="15" thickBot="1" x14ac:dyDescent="0.4">
      <c r="A211" s="55" t="s">
        <v>118</v>
      </c>
      <c r="G211" s="58">
        <f t="shared" si="176"/>
        <v>36.364000000000004</v>
      </c>
      <c r="H211" s="58">
        <f t="shared" si="177"/>
        <v>36.811999999999998</v>
      </c>
      <c r="I211" s="58">
        <f t="shared" si="178"/>
        <v>37.625</v>
      </c>
      <c r="J211" s="58">
        <f t="shared" si="179"/>
        <v>38.831000000000003</v>
      </c>
      <c r="K211" s="58">
        <f t="shared" si="180"/>
        <v>40.317999999999998</v>
      </c>
      <c r="L211" s="58">
        <f t="shared" si="180"/>
        <v>43.165000000000006</v>
      </c>
      <c r="M211" s="58">
        <f t="shared" si="180"/>
        <v>46.25</v>
      </c>
      <c r="N211" s="100">
        <f t="shared" si="174"/>
        <v>7.5539999999999994</v>
      </c>
      <c r="O211" s="100">
        <f t="shared" si="175"/>
        <v>7.5850000000000009</v>
      </c>
    </row>
    <row r="212" spans="1:15" ht="15" thickBot="1" x14ac:dyDescent="0.4">
      <c r="A212" s="55" t="s">
        <v>117</v>
      </c>
      <c r="G212" s="58">
        <f t="shared" si="176"/>
        <v>37.393000000000001</v>
      </c>
      <c r="H212" s="58">
        <f t="shared" si="177"/>
        <v>38.177</v>
      </c>
      <c r="I212" s="58">
        <f t="shared" si="178"/>
        <v>39.620000000000005</v>
      </c>
      <c r="J212" s="58">
        <f t="shared" si="179"/>
        <v>41.771000000000001</v>
      </c>
      <c r="K212" s="58">
        <f t="shared" si="180"/>
        <v>44.434000000000005</v>
      </c>
      <c r="L212" s="58">
        <f t="shared" si="180"/>
        <v>47.575000000000003</v>
      </c>
      <c r="M212" s="58">
        <f t="shared" si="180"/>
        <v>53.075000000000003</v>
      </c>
      <c r="N212" s="100">
        <f t="shared" si="174"/>
        <v>10.640999999999998</v>
      </c>
      <c r="O212" s="100">
        <f t="shared" si="175"/>
        <v>10</v>
      </c>
    </row>
    <row r="213" spans="1:15" ht="15" thickBot="1" x14ac:dyDescent="0.4">
      <c r="A213" s="55" t="s">
        <v>168</v>
      </c>
      <c r="G213" s="58">
        <f t="shared" si="176"/>
        <v>36.364000000000004</v>
      </c>
      <c r="H213" s="58">
        <f t="shared" si="177"/>
        <v>36.811999999999998</v>
      </c>
      <c r="I213" s="58">
        <f t="shared" si="178"/>
        <v>37.625</v>
      </c>
      <c r="J213" s="58">
        <f t="shared" si="179"/>
        <v>38.831000000000003</v>
      </c>
      <c r="K213" s="58">
        <f t="shared" si="180"/>
        <v>40.317999999999998</v>
      </c>
      <c r="L213" s="58">
        <f t="shared" si="180"/>
        <v>43.165000000000006</v>
      </c>
      <c r="M213" s="58">
        <f t="shared" si="180"/>
        <v>46.25</v>
      </c>
      <c r="N213" s="100">
        <f t="shared" si="174"/>
        <v>7.5539999999999994</v>
      </c>
      <c r="O213" s="100">
        <f t="shared" si="175"/>
        <v>7.5850000000000009</v>
      </c>
    </row>
    <row r="214" spans="1:15" ht="15" thickBot="1" x14ac:dyDescent="0.4">
      <c r="A214" s="56" t="s">
        <v>116</v>
      </c>
      <c r="G214" s="63">
        <f t="shared" si="176"/>
        <v>35.923000000000002</v>
      </c>
      <c r="H214" s="63">
        <f t="shared" si="177"/>
        <v>36.226999999999997</v>
      </c>
      <c r="I214" s="63">
        <f t="shared" si="178"/>
        <v>36.770000000000003</v>
      </c>
      <c r="J214" s="63">
        <f t="shared" si="179"/>
        <v>37.570999999999998</v>
      </c>
      <c r="K214" s="63">
        <f t="shared" si="180"/>
        <v>38.554000000000002</v>
      </c>
      <c r="L214" s="63">
        <f t="shared" si="180"/>
        <v>41.275000000000006</v>
      </c>
      <c r="M214" s="63">
        <f t="shared" si="180"/>
        <v>43.325000000000003</v>
      </c>
      <c r="N214" s="100">
        <f t="shared" si="174"/>
        <v>6.2309999999999999</v>
      </c>
      <c r="O214" s="100">
        <f t="shared" si="175"/>
        <v>6.5500000000000007</v>
      </c>
    </row>
    <row r="215" spans="1:15" ht="15" thickBot="1" x14ac:dyDescent="0.4">
      <c r="A215" s="52"/>
    </row>
    <row r="216" spans="1:15" ht="15" thickBot="1" x14ac:dyDescent="0.4">
      <c r="A216" s="54" t="s">
        <v>115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N221" si="181">SUM(N$161:N$162)+N$147+N$149+N$150+N$152+N$154+$N64</f>
        <v>7.7009999999999996</v>
      </c>
      <c r="O216" s="100">
        <f t="shared" ref="O216:O221" si="182">SUM(O$161:O$162)+O$147+O$149+O$150+O$152+O$154+$O64</f>
        <v>7.7000000000000011</v>
      </c>
    </row>
    <row r="217" spans="1:15" ht="15" thickBot="1" x14ac:dyDescent="0.4">
      <c r="A217" s="55" t="s">
        <v>114</v>
      </c>
      <c r="G217" s="58">
        <f t="shared" ref="G217:G221" si="183">SUM(G$161:G$162)+G$159+G$158+G$156+G$155+G$154+G65</f>
        <v>37.295000000000002</v>
      </c>
      <c r="H217" s="58">
        <f t="shared" ref="H217:H221" si="184">SUM(H$161:H$162)+H$159+H$158+H$156+H$155+H$154+$H65</f>
        <v>38.046999999999997</v>
      </c>
      <c r="I217" s="58">
        <f t="shared" ref="I217:I221" si="185">SUM(I$161:I$162)+I$159+I$158+I$156+I$155+I$154+$I65</f>
        <v>39.43</v>
      </c>
      <c r="J217" s="58">
        <f t="shared" ref="J217:J221" si="186">SUM(J$161:J$162)+J$159+J$158+J$156+J$155+J$154+$J65</f>
        <v>41.491</v>
      </c>
      <c r="K217" s="58">
        <f t="shared" ref="K217:M221" si="187">SUM(K$161:K$162)+K$159+K$158+K$156+K$155+K$154+K65</f>
        <v>44.042000000000002</v>
      </c>
      <c r="L217" s="58">
        <f t="shared" si="187"/>
        <v>47.155000000000001</v>
      </c>
      <c r="M217" s="58">
        <f t="shared" si="187"/>
        <v>52.424999999999997</v>
      </c>
      <c r="N217" s="100">
        <f t="shared" si="181"/>
        <v>10.347</v>
      </c>
      <c r="O217" s="100">
        <f t="shared" si="182"/>
        <v>9.77</v>
      </c>
    </row>
    <row r="218" spans="1:15" ht="15" thickBot="1" x14ac:dyDescent="0.4">
      <c r="A218" s="55" t="s">
        <v>113</v>
      </c>
      <c r="G218" s="58">
        <f t="shared" si="183"/>
        <v>36.364000000000004</v>
      </c>
      <c r="H218" s="58">
        <f t="shared" si="184"/>
        <v>36.811999999999998</v>
      </c>
      <c r="I218" s="58">
        <f t="shared" si="185"/>
        <v>37.625</v>
      </c>
      <c r="J218" s="58">
        <f t="shared" si="186"/>
        <v>38.831000000000003</v>
      </c>
      <c r="K218" s="58">
        <f t="shared" si="187"/>
        <v>40.317999999999998</v>
      </c>
      <c r="L218" s="58">
        <f t="shared" si="187"/>
        <v>43.165000000000006</v>
      </c>
      <c r="M218" s="58">
        <f t="shared" si="187"/>
        <v>46.25</v>
      </c>
      <c r="N218" s="100">
        <f t="shared" si="181"/>
        <v>7.5539999999999994</v>
      </c>
      <c r="O218" s="100">
        <f t="shared" si="182"/>
        <v>7.5850000000000009</v>
      </c>
    </row>
    <row r="219" spans="1:15" ht="15" thickBot="1" x14ac:dyDescent="0.4">
      <c r="A219" s="55" t="s">
        <v>112</v>
      </c>
      <c r="G219" s="58">
        <f t="shared" si="183"/>
        <v>37.295000000000002</v>
      </c>
      <c r="H219" s="58">
        <f t="shared" si="184"/>
        <v>38.046999999999997</v>
      </c>
      <c r="I219" s="58">
        <f t="shared" si="185"/>
        <v>39.43</v>
      </c>
      <c r="J219" s="58">
        <f t="shared" si="186"/>
        <v>41.491</v>
      </c>
      <c r="K219" s="58">
        <f t="shared" si="187"/>
        <v>44.042000000000002</v>
      </c>
      <c r="L219" s="58">
        <f t="shared" si="187"/>
        <v>47.155000000000001</v>
      </c>
      <c r="M219" s="58">
        <f t="shared" si="187"/>
        <v>52.424999999999997</v>
      </c>
      <c r="N219" s="100">
        <f t="shared" si="181"/>
        <v>10.347</v>
      </c>
      <c r="O219" s="100">
        <f t="shared" si="182"/>
        <v>9.77</v>
      </c>
    </row>
    <row r="220" spans="1:15" ht="15" thickBot="1" x14ac:dyDescent="0.4">
      <c r="A220" s="55" t="s">
        <v>168</v>
      </c>
      <c r="G220" s="58">
        <f t="shared" si="183"/>
        <v>36.364000000000004</v>
      </c>
      <c r="H220" s="58">
        <f t="shared" si="184"/>
        <v>36.811999999999998</v>
      </c>
      <c r="I220" s="58">
        <f t="shared" si="185"/>
        <v>37.625</v>
      </c>
      <c r="J220" s="58">
        <f t="shared" si="186"/>
        <v>38.831000000000003</v>
      </c>
      <c r="K220" s="58">
        <f t="shared" si="187"/>
        <v>40.317999999999998</v>
      </c>
      <c r="L220" s="58">
        <f t="shared" si="187"/>
        <v>43.165000000000006</v>
      </c>
      <c r="M220" s="58">
        <f t="shared" si="187"/>
        <v>46.25</v>
      </c>
      <c r="N220" s="100">
        <f t="shared" si="181"/>
        <v>7.5539999999999994</v>
      </c>
      <c r="O220" s="100">
        <f t="shared" si="182"/>
        <v>7.5850000000000009</v>
      </c>
    </row>
    <row r="221" spans="1:15" ht="15" thickBot="1" x14ac:dyDescent="0.4">
      <c r="A221" s="56" t="s">
        <v>111</v>
      </c>
      <c r="G221" s="63">
        <f t="shared" si="183"/>
        <v>35.923000000000002</v>
      </c>
      <c r="H221" s="63">
        <f t="shared" si="184"/>
        <v>36.226999999999997</v>
      </c>
      <c r="I221" s="63">
        <f t="shared" si="185"/>
        <v>36.770000000000003</v>
      </c>
      <c r="J221" s="63">
        <f t="shared" si="186"/>
        <v>37.570999999999998</v>
      </c>
      <c r="K221" s="63">
        <f t="shared" si="187"/>
        <v>38.554000000000002</v>
      </c>
      <c r="L221" s="63">
        <f t="shared" si="187"/>
        <v>41.275000000000006</v>
      </c>
      <c r="M221" s="63">
        <f t="shared" si="187"/>
        <v>43.325000000000003</v>
      </c>
      <c r="N221" s="100">
        <f t="shared" si="181"/>
        <v>6.2309999999999999</v>
      </c>
      <c r="O221" s="100">
        <f t="shared" si="182"/>
        <v>6.5500000000000007</v>
      </c>
    </row>
    <row r="222" spans="1:15" ht="15" thickBot="1" x14ac:dyDescent="0.4">
      <c r="A222" s="52"/>
    </row>
    <row r="223" spans="1:15" ht="15" thickBot="1" x14ac:dyDescent="0.4">
      <c r="A223" s="54" t="s">
        <v>146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>SUM(N$161:N$162)+N$147+N$149+N$151+$N71</f>
        <v>8.1370000000000005</v>
      </c>
      <c r="O223" s="100">
        <f>SUM(O$161:O$162)+O$147+O$149+O$151+$O71</f>
        <v>7.9350000000000005</v>
      </c>
    </row>
    <row r="224" spans="1:15" ht="15" thickBot="1" x14ac:dyDescent="0.4">
      <c r="A224" s="55" t="s">
        <v>145</v>
      </c>
      <c r="G224" s="58">
        <f t="shared" ref="G224:G227" si="188">SUM(G$161:G$162)+G$159+G$158+G$156+G$155+G$153+G$152+G$151+G72</f>
        <v>37.118000000000002</v>
      </c>
      <c r="H224" s="58">
        <f t="shared" ref="H224:H227" si="189">SUM(H$161:H$162)+H$159+H$158+H$156+H$155+H$153+H$152+H$151+$H72</f>
        <v>37.725999999999999</v>
      </c>
      <c r="I224" s="58">
        <f t="shared" ref="I224:I227" si="190">SUM(I$161:I$162)+I$159+I$158+I$156+I$155+I$153+I$152+I$151+$I72</f>
        <v>38.83</v>
      </c>
      <c r="J224" s="58">
        <f t="shared" ref="J224:J227" si="191">SUM(J$161:J$162)+J$159+J$158+J$156+J$155+J$153+J$152+J$151+$J72</f>
        <v>40.468000000000004</v>
      </c>
      <c r="K224" s="58">
        <f t="shared" ref="K224:M227" si="192">SUM(K$161:K$162)+K$159+K$158+K$156+K$155+K$153+K$152+K$151+K72</f>
        <v>42.488</v>
      </c>
      <c r="L224" s="58">
        <f t="shared" si="192"/>
        <v>45.56</v>
      </c>
      <c r="M224" s="58">
        <f t="shared" si="192"/>
        <v>49.75</v>
      </c>
      <c r="N224" s="100">
        <f>SUM(N$161:N$162)+N$147+N$149+N$151+$N72</f>
        <v>7.6959999999999997</v>
      </c>
      <c r="O224" s="100">
        <f>SUM(O$161:O$162)+O$147+O$149+O$151+$O72</f>
        <v>7.59</v>
      </c>
    </row>
    <row r="225" spans="1:15" ht="15" thickBot="1" x14ac:dyDescent="0.4">
      <c r="A225" s="55" t="s">
        <v>144</v>
      </c>
      <c r="G225" s="58">
        <f t="shared" si="188"/>
        <v>36.921999999999997</v>
      </c>
      <c r="H225" s="58">
        <f t="shared" si="189"/>
        <v>37.466000000000001</v>
      </c>
      <c r="I225" s="58">
        <f t="shared" si="190"/>
        <v>38.450000000000003</v>
      </c>
      <c r="J225" s="58">
        <f t="shared" si="191"/>
        <v>39.908000000000001</v>
      </c>
      <c r="K225" s="58">
        <f t="shared" si="192"/>
        <v>41.704000000000001</v>
      </c>
      <c r="L225" s="58">
        <f t="shared" si="192"/>
        <v>44.72</v>
      </c>
      <c r="M225" s="58">
        <f t="shared" si="192"/>
        <v>48.45</v>
      </c>
      <c r="N225" s="100">
        <f>SUM(N$161:N$162)+N$147+N$149+N$151+$N73</f>
        <v>7.1080000000000005</v>
      </c>
      <c r="O225" s="100">
        <f>SUM(O$161:O$162)+O$147+O$149+O$151+$O73</f>
        <v>7.1300000000000008</v>
      </c>
    </row>
    <row r="226" spans="1:15" ht="15" thickBot="1" x14ac:dyDescent="0.4">
      <c r="A226" s="55" t="s">
        <v>143</v>
      </c>
      <c r="G226" s="58">
        <f t="shared" si="188"/>
        <v>36.285000000000004</v>
      </c>
      <c r="H226" s="58">
        <f t="shared" si="189"/>
        <v>36.621000000000002</v>
      </c>
      <c r="I226" s="58">
        <f t="shared" si="190"/>
        <v>37.215000000000003</v>
      </c>
      <c r="J226" s="58">
        <f t="shared" si="191"/>
        <v>38.088000000000001</v>
      </c>
      <c r="K226" s="58">
        <f t="shared" si="192"/>
        <v>39.156000000000006</v>
      </c>
      <c r="L226" s="58">
        <f t="shared" si="192"/>
        <v>41.99</v>
      </c>
      <c r="M226" s="58">
        <f t="shared" si="192"/>
        <v>44.225000000000001</v>
      </c>
      <c r="N226" s="100">
        <f>SUM(N$161:N$162)+N$147+N$149+N$151+$N74</f>
        <v>5.1970000000000001</v>
      </c>
      <c r="O226" s="100">
        <f>SUM(O$161:O$162)+O$147+O$149+O$151+$O74</f>
        <v>5.6349999999999998</v>
      </c>
    </row>
    <row r="227" spans="1:15" ht="15" thickBot="1" x14ac:dyDescent="0.4">
      <c r="A227" s="56" t="s">
        <v>142</v>
      </c>
      <c r="G227" s="63">
        <f t="shared" si="188"/>
        <v>37.020000000000003</v>
      </c>
      <c r="H227" s="63">
        <f t="shared" si="189"/>
        <v>37.596000000000004</v>
      </c>
      <c r="I227" s="63">
        <f t="shared" si="190"/>
        <v>38.64</v>
      </c>
      <c r="J227" s="63">
        <f t="shared" si="191"/>
        <v>40.188000000000002</v>
      </c>
      <c r="K227" s="63">
        <f t="shared" si="192"/>
        <v>42.096000000000004</v>
      </c>
      <c r="L227" s="63">
        <f t="shared" si="192"/>
        <v>45.14</v>
      </c>
      <c r="M227" s="63">
        <f t="shared" si="192"/>
        <v>49.099999999999994</v>
      </c>
      <c r="N227" s="100">
        <f>SUM(N$161:N$162)+N$147+N$149+N$151+$N75</f>
        <v>7.4019999999999992</v>
      </c>
      <c r="O227" s="100">
        <f>SUM(O$161:O$162)+O$147+O$149+O$151+$O75</f>
        <v>7.3599999999999994</v>
      </c>
    </row>
    <row r="228" spans="1:15" ht="15" thickBot="1" x14ac:dyDescent="0.4">
      <c r="A228" s="52"/>
    </row>
    <row r="229" spans="1:15" ht="15" thickBot="1" x14ac:dyDescent="0.4">
      <c r="A229" s="54" t="s">
        <v>141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>SUM(L$161:L$162)+L$159+L$158+L$156+L$155+L$153+L$152+L$151+L77</f>
        <v>46.19</v>
      </c>
      <c r="N229" s="100">
        <f>SUM(N$161:N$162)+N$147+N$149+N$151+$N77</f>
        <v>8.1370000000000005</v>
      </c>
      <c r="O229" s="100">
        <f>SUM(O$161:O$162)+O$147+O$149+O$151+$O77</f>
        <v>7.9350000000000005</v>
      </c>
    </row>
    <row r="230" spans="1:15" ht="15" thickBot="1" x14ac:dyDescent="0.4">
      <c r="A230" s="55" t="s">
        <v>140</v>
      </c>
      <c r="G230" s="58">
        <f t="shared" ref="G230:G233" si="193">SUM(G$161:G$162)+G$159+G$158+G$156+G$155+G$153+G$152+G$151+G78</f>
        <v>36.921999999999997</v>
      </c>
      <c r="H230" s="58">
        <f t="shared" ref="H230:H233" si="194">SUM(H$161:H$162)+H$159+H$158+H$156+H$155+H$153+H$152+H$151+$H78</f>
        <v>37.466000000000001</v>
      </c>
      <c r="I230" s="58">
        <f t="shared" ref="I230:I233" si="195">SUM(I$161:I$162)+I$159+I$158+I$156+I$155+I$153+I$152+I$151+$I78</f>
        <v>38.450000000000003</v>
      </c>
      <c r="J230" s="58">
        <f t="shared" ref="J230:J233" si="196">SUM(J$161:J$162)+J$159+J$158+J$156+J$155+J$153+J$152+J$151+$J78</f>
        <v>39.908000000000001</v>
      </c>
      <c r="K230" s="58">
        <f t="shared" ref="K230:L233" si="197">SUM(K$161:K$162)+K$159+K$158+K$156+K$155+K$153+K$152+K$151+K78</f>
        <v>41.704000000000001</v>
      </c>
      <c r="L230" s="58">
        <f t="shared" si="197"/>
        <v>44.72</v>
      </c>
      <c r="M230" s="58">
        <f t="shared" ref="M230:M233" si="198">SUM(L$161:L$162)+L$159+L$158+L$156+L$155+L$153+L$152+L$151+L78</f>
        <v>44.72</v>
      </c>
      <c r="N230" s="100">
        <f>SUM(N$161:N$162)+N$147+N$149+N$151+$N78</f>
        <v>7.1080000000000005</v>
      </c>
      <c r="O230" s="100">
        <f>SUM(O$161:O$162)+O$147+O$149+O$151+$O78</f>
        <v>7.1300000000000008</v>
      </c>
    </row>
    <row r="231" spans="1:15" ht="15" thickBot="1" x14ac:dyDescent="0.4">
      <c r="A231" s="55" t="s">
        <v>139</v>
      </c>
      <c r="G231" s="58">
        <f t="shared" si="193"/>
        <v>36.921999999999997</v>
      </c>
      <c r="H231" s="58">
        <f t="shared" si="194"/>
        <v>37.466000000000001</v>
      </c>
      <c r="I231" s="58">
        <f t="shared" si="195"/>
        <v>38.450000000000003</v>
      </c>
      <c r="J231" s="58">
        <f t="shared" si="196"/>
        <v>39.908000000000001</v>
      </c>
      <c r="K231" s="58">
        <f t="shared" si="197"/>
        <v>41.704000000000001</v>
      </c>
      <c r="L231" s="58">
        <f t="shared" si="197"/>
        <v>44.72</v>
      </c>
      <c r="M231" s="58">
        <f t="shared" si="198"/>
        <v>44.72</v>
      </c>
      <c r="N231" s="100">
        <f>SUM(N$161:N$162)+N$147+N$149+N$151+$N79</f>
        <v>7.1080000000000005</v>
      </c>
      <c r="O231" s="100">
        <f>SUM(O$161:O$162)+O$147+O$149+O$151+$O79</f>
        <v>7.1300000000000008</v>
      </c>
    </row>
    <row r="232" spans="1:15" ht="15" thickBot="1" x14ac:dyDescent="0.4">
      <c r="A232" s="55" t="s">
        <v>169</v>
      </c>
      <c r="G232" s="58">
        <f t="shared" si="193"/>
        <v>36.285000000000004</v>
      </c>
      <c r="H232" s="58">
        <f t="shared" si="194"/>
        <v>36.621000000000002</v>
      </c>
      <c r="I232" s="58">
        <f t="shared" si="195"/>
        <v>37.215000000000003</v>
      </c>
      <c r="J232" s="58">
        <f t="shared" si="196"/>
        <v>38.088000000000001</v>
      </c>
      <c r="K232" s="58">
        <f t="shared" si="197"/>
        <v>39.156000000000006</v>
      </c>
      <c r="L232" s="58">
        <f t="shared" si="197"/>
        <v>41.99</v>
      </c>
      <c r="M232" s="58">
        <f t="shared" si="198"/>
        <v>41.99</v>
      </c>
      <c r="N232" s="100">
        <f>SUM(N$161:N$162)+N$147+N$149+N$151+$N80</f>
        <v>5.1970000000000001</v>
      </c>
      <c r="O232" s="100">
        <f>SUM(O$161:O$162)+O$147+O$149+O$151+$O80</f>
        <v>5.6349999999999998</v>
      </c>
    </row>
    <row r="233" spans="1:15" ht="15" thickBot="1" x14ac:dyDescent="0.4">
      <c r="A233" s="56" t="s">
        <v>138</v>
      </c>
      <c r="G233" s="63">
        <f t="shared" si="193"/>
        <v>37.020000000000003</v>
      </c>
      <c r="H233" s="63">
        <f t="shared" si="194"/>
        <v>37.596000000000004</v>
      </c>
      <c r="I233" s="63">
        <f t="shared" si="195"/>
        <v>38.64</v>
      </c>
      <c r="J233" s="63">
        <f t="shared" si="196"/>
        <v>40.188000000000002</v>
      </c>
      <c r="K233" s="63">
        <f t="shared" si="197"/>
        <v>42.096000000000004</v>
      </c>
      <c r="L233" s="63">
        <f t="shared" si="197"/>
        <v>45.14</v>
      </c>
      <c r="M233" s="63">
        <f t="shared" si="198"/>
        <v>45.14</v>
      </c>
      <c r="N233" s="100">
        <f>SUM(N$161:N$162)+N$147+N$149+N$151+$N81</f>
        <v>7.4019999999999992</v>
      </c>
      <c r="O233" s="100">
        <f>SUM(O$161:O$162)+O$147+O$149+O$151+$O81</f>
        <v>7.3599999999999994</v>
      </c>
    </row>
    <row r="234" spans="1:15" ht="15" thickBot="1" x14ac:dyDescent="0.4">
      <c r="A234" s="52"/>
    </row>
    <row r="235" spans="1:15" ht="15" thickBot="1" x14ac:dyDescent="0.4">
      <c r="A235" s="54" t="s">
        <v>110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N240" si="199">SUM(N$161:N$162)+N$147+N$149+N$151+$N83</f>
        <v>6.8140000000000001</v>
      </c>
      <c r="O235" s="100">
        <f t="shared" ref="O235:O240" si="200">SUM(O$161:O$162)+O$147+O$149+O$151+$O83</f>
        <v>6.9</v>
      </c>
    </row>
    <row r="236" spans="1:15" ht="15" thickBot="1" x14ac:dyDescent="0.4">
      <c r="A236" s="55" t="s">
        <v>109</v>
      </c>
      <c r="G236" s="58">
        <f t="shared" ref="G236:G240" si="201">SUM(G$161:G$162)+G$159+G$158+G$156+G$155+G$153+G$152+G$151+G84</f>
        <v>39.706000000000003</v>
      </c>
      <c r="H236" s="58">
        <f t="shared" ref="H236:H240" si="202">SUM(H$161:H$162)+H$159+H$158+H$156+H$155+H$153+H$152+H$151+$H84</f>
        <v>40.506</v>
      </c>
      <c r="I236" s="58">
        <f t="shared" ref="I236:I240" si="203">SUM(I$161:I$162)+I$159+I$158+I$156+I$155+I$153+I$152+I$151+$I84</f>
        <v>41.97</v>
      </c>
      <c r="J236" s="58">
        <f t="shared" ref="J236:J240" si="204">SUM(J$161:J$162)+J$159+J$158+J$156+J$155+J$153+J$152+J$151+$J84</f>
        <v>44.147999999999996</v>
      </c>
      <c r="K236" s="58">
        <f t="shared" ref="K236:K240" si="205">SUM(K$161:K$162)+K$159+K$158+K$156+K$155+K$153+K$152+K$151+K84</f>
        <v>46.84</v>
      </c>
      <c r="L236" s="58">
        <f t="shared" ref="L236:L240" si="206">SUM(L$161:L$162)+L$159+L$158+L$156+L$155+L$153+L$152+L$151+L84</f>
        <v>51.08</v>
      </c>
      <c r="M236" s="58">
        <f t="shared" ref="M236:M240" si="207">SUM(M$161:M$162)+M$159+M$158+M$156+M$155+M$153+M$152+M$151+M84</f>
        <v>56.65</v>
      </c>
      <c r="N236" s="100">
        <f t="shared" si="199"/>
        <v>9.4599999999999991</v>
      </c>
      <c r="O236" s="100">
        <f t="shared" si="200"/>
        <v>8.9700000000000006</v>
      </c>
    </row>
    <row r="237" spans="1:15" ht="15" thickBot="1" x14ac:dyDescent="0.4">
      <c r="A237" s="55" t="s">
        <v>108</v>
      </c>
      <c r="G237" s="58">
        <f t="shared" si="201"/>
        <v>38.775000000000006</v>
      </c>
      <c r="H237" s="58">
        <f t="shared" si="202"/>
        <v>39.271000000000001</v>
      </c>
      <c r="I237" s="58">
        <f t="shared" si="203"/>
        <v>40.164999999999999</v>
      </c>
      <c r="J237" s="58">
        <f t="shared" si="204"/>
        <v>41.488</v>
      </c>
      <c r="K237" s="58">
        <f t="shared" si="205"/>
        <v>43.116</v>
      </c>
      <c r="L237" s="58">
        <f t="shared" si="206"/>
        <v>47.09</v>
      </c>
      <c r="M237" s="58">
        <f t="shared" si="207"/>
        <v>50.475000000000001</v>
      </c>
      <c r="N237" s="100">
        <f t="shared" si="199"/>
        <v>6.6669999999999998</v>
      </c>
      <c r="O237" s="100">
        <f t="shared" si="200"/>
        <v>6.7850000000000001</v>
      </c>
    </row>
    <row r="238" spans="1:15" ht="15" thickBot="1" x14ac:dyDescent="0.4">
      <c r="A238" s="55" t="s">
        <v>107</v>
      </c>
      <c r="G238" s="58">
        <f t="shared" si="201"/>
        <v>39.804000000000002</v>
      </c>
      <c r="H238" s="58">
        <f t="shared" si="202"/>
        <v>40.636000000000003</v>
      </c>
      <c r="I238" s="58">
        <f t="shared" si="203"/>
        <v>42.16</v>
      </c>
      <c r="J238" s="58">
        <f t="shared" si="204"/>
        <v>44.427999999999997</v>
      </c>
      <c r="K238" s="58">
        <f t="shared" si="205"/>
        <v>47.232000000000006</v>
      </c>
      <c r="L238" s="58">
        <f t="shared" si="206"/>
        <v>51.5</v>
      </c>
      <c r="M238" s="58">
        <f t="shared" si="207"/>
        <v>57.3</v>
      </c>
      <c r="N238" s="100">
        <f t="shared" si="199"/>
        <v>9.7539999999999996</v>
      </c>
      <c r="O238" s="100">
        <f t="shared" si="200"/>
        <v>9.2000000000000011</v>
      </c>
    </row>
    <row r="239" spans="1:15" ht="15" thickBot="1" x14ac:dyDescent="0.4">
      <c r="A239" s="55" t="s">
        <v>170</v>
      </c>
      <c r="G239" s="58">
        <f t="shared" si="201"/>
        <v>38.775000000000006</v>
      </c>
      <c r="H239" s="58">
        <f t="shared" si="202"/>
        <v>39.271000000000001</v>
      </c>
      <c r="I239" s="58">
        <f t="shared" si="203"/>
        <v>40.164999999999999</v>
      </c>
      <c r="J239" s="58">
        <f t="shared" si="204"/>
        <v>41.488</v>
      </c>
      <c r="K239" s="58">
        <f t="shared" si="205"/>
        <v>43.116</v>
      </c>
      <c r="L239" s="58">
        <f t="shared" si="206"/>
        <v>47.09</v>
      </c>
      <c r="M239" s="58">
        <f t="shared" si="207"/>
        <v>50.475000000000001</v>
      </c>
      <c r="N239" s="100">
        <f t="shared" si="199"/>
        <v>6.6669999999999998</v>
      </c>
      <c r="O239" s="100">
        <f t="shared" si="200"/>
        <v>6.7850000000000001</v>
      </c>
    </row>
    <row r="240" spans="1:15" ht="15" thickBot="1" x14ac:dyDescent="0.4">
      <c r="A240" s="56" t="s">
        <v>106</v>
      </c>
      <c r="G240" s="63">
        <f t="shared" si="201"/>
        <v>38.334000000000003</v>
      </c>
      <c r="H240" s="63">
        <f t="shared" si="202"/>
        <v>38.686</v>
      </c>
      <c r="I240" s="63">
        <f t="shared" si="203"/>
        <v>39.31</v>
      </c>
      <c r="J240" s="63">
        <f t="shared" si="204"/>
        <v>40.228000000000002</v>
      </c>
      <c r="K240" s="63">
        <f t="shared" si="205"/>
        <v>41.352000000000004</v>
      </c>
      <c r="L240" s="63">
        <f t="shared" si="206"/>
        <v>45.2</v>
      </c>
      <c r="M240" s="63">
        <f t="shared" si="207"/>
        <v>47.55</v>
      </c>
      <c r="N240" s="100">
        <f t="shared" si="199"/>
        <v>5.3439999999999994</v>
      </c>
      <c r="O240" s="100">
        <f t="shared" si="200"/>
        <v>5.75</v>
      </c>
    </row>
    <row r="241" spans="1:15" ht="15" thickBot="1" x14ac:dyDescent="0.4">
      <c r="A241" s="52"/>
    </row>
    <row r="242" spans="1:15" ht="15" thickBot="1" x14ac:dyDescent="0.4">
      <c r="A242" s="54" t="s">
        <v>105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N247" si="208">SUM(N$161:N$162)+N$147+N$149+N$151+$N90</f>
        <v>6.8140000000000001</v>
      </c>
      <c r="O242" s="100">
        <f t="shared" ref="O242:O247" si="209">SUM(O$161:O$162)+O$147+O$149+O$151+$O90</f>
        <v>6.9</v>
      </c>
    </row>
    <row r="243" spans="1:15" ht="15" thickBot="1" x14ac:dyDescent="0.4">
      <c r="A243" s="55" t="s">
        <v>104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M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08"/>
        <v>9.4599999999999991</v>
      </c>
      <c r="O243" s="100">
        <f t="shared" si="209"/>
        <v>8.9700000000000006</v>
      </c>
    </row>
    <row r="244" spans="1:15" ht="15" thickBot="1" x14ac:dyDescent="0.4">
      <c r="A244" s="55" t="s">
        <v>103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08"/>
        <v>6.6669999999999998</v>
      </c>
      <c r="O244" s="100">
        <f t="shared" si="209"/>
        <v>6.7850000000000001</v>
      </c>
    </row>
    <row r="245" spans="1:15" ht="15" thickBot="1" x14ac:dyDescent="0.4">
      <c r="A245" s="55" t="s">
        <v>102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08"/>
        <v>9.4599999999999991</v>
      </c>
      <c r="O245" s="100">
        <f t="shared" si="209"/>
        <v>8.9700000000000006</v>
      </c>
    </row>
    <row r="246" spans="1:15" ht="15" thickBot="1" x14ac:dyDescent="0.4">
      <c r="A246" s="55" t="s">
        <v>170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08"/>
        <v>6.6669999999999998</v>
      </c>
      <c r="O246" s="100">
        <f t="shared" si="209"/>
        <v>6.7850000000000001</v>
      </c>
    </row>
    <row r="247" spans="1:15" ht="15" thickBot="1" x14ac:dyDescent="0.4">
      <c r="A247" s="56" t="s">
        <v>101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08"/>
        <v>5.3439999999999994</v>
      </c>
      <c r="O247" s="100">
        <f t="shared" si="209"/>
        <v>5.75</v>
      </c>
    </row>
    <row r="248" spans="1:15" ht="15" thickBot="1" x14ac:dyDescent="0.4">
      <c r="A248" s="52"/>
    </row>
    <row r="249" spans="1:15" ht="15" thickBot="1" x14ac:dyDescent="0.4">
      <c r="A249" s="54" t="s">
        <v>137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>SUM(N$161:N$162)+N$148+$N97</f>
        <v>7.25</v>
      </c>
      <c r="O249" s="100">
        <f>SUM(O$161:O$162)+O$148+$O97</f>
        <v>7.1349999999999998</v>
      </c>
    </row>
    <row r="250" spans="1:15" ht="15" thickBot="1" x14ac:dyDescent="0.4">
      <c r="A250" s="55" t="s">
        <v>136</v>
      </c>
      <c r="G250" s="58">
        <f t="shared" ref="G250:G253" si="215">SUM(G$161:G$162)+G$159+G$158+G$156+G$155+G$153+G$152+G$150+G$149+G$148+G98</f>
        <v>35.332999999999998</v>
      </c>
      <c r="H250" s="58">
        <f t="shared" ref="H250:H253" si="216">SUM(H$161:H$162)+H$159+H$158+H$156+H$155+H$153+H$152+H$150+H$149+H$148+$H98</f>
        <v>35.924999999999997</v>
      </c>
      <c r="I250" s="58">
        <f t="shared" ref="I250:I253" si="217">SUM(I$161:I$162)+I$159+I$158+I$156+I$155+I$153+I$152+I$150+I$149+I$148+$I98</f>
        <v>36.989999999999995</v>
      </c>
      <c r="J250" s="58">
        <f t="shared" ref="J250:J253" si="218">SUM(J$161:J$162)+J$159+J$158+J$156+J$155+J$153+J$152+J$150+J$149+J$148+$J98</f>
        <v>38.564999999999998</v>
      </c>
      <c r="K250" s="58">
        <f t="shared" ref="K250:M253" si="219">SUM(K$161:K$162)+K$159+K$158+K$156+K$155+K$153+K$152+K$151+K98</f>
        <v>41.704000000000001</v>
      </c>
      <c r="L250" s="58">
        <f t="shared" si="219"/>
        <v>44.72</v>
      </c>
      <c r="M250" s="58">
        <f t="shared" si="219"/>
        <v>48.45</v>
      </c>
      <c r="N250" s="100">
        <f>SUM(N$161:N$162)+N$148+$N98</f>
        <v>6.2210000000000001</v>
      </c>
      <c r="O250" s="100">
        <f>SUM(O$161:O$162)+O$148+$O98</f>
        <v>6.33</v>
      </c>
    </row>
    <row r="251" spans="1:15" ht="15" thickBot="1" x14ac:dyDescent="0.4">
      <c r="A251" s="55" t="s">
        <v>135</v>
      </c>
      <c r="G251" s="58">
        <f t="shared" si="215"/>
        <v>35.332999999999998</v>
      </c>
      <c r="H251" s="58">
        <f t="shared" si="216"/>
        <v>35.924999999999997</v>
      </c>
      <c r="I251" s="58">
        <f t="shared" si="217"/>
        <v>36.989999999999995</v>
      </c>
      <c r="J251" s="58">
        <f t="shared" si="218"/>
        <v>38.564999999999998</v>
      </c>
      <c r="K251" s="58">
        <f t="shared" si="219"/>
        <v>41.704000000000001</v>
      </c>
      <c r="L251" s="58">
        <f t="shared" si="219"/>
        <v>44.72</v>
      </c>
      <c r="M251" s="58">
        <f t="shared" si="219"/>
        <v>48.45</v>
      </c>
      <c r="N251" s="100">
        <f>SUM(N$161:N$162)+N$148+$N99</f>
        <v>6.2210000000000001</v>
      </c>
      <c r="O251" s="100">
        <f>SUM(O$161:O$162)+O$148+$O99</f>
        <v>6.33</v>
      </c>
    </row>
    <row r="252" spans="1:15" ht="15" thickBot="1" x14ac:dyDescent="0.4">
      <c r="A252" s="55" t="s">
        <v>171</v>
      </c>
      <c r="G252" s="58">
        <f t="shared" si="215"/>
        <v>34.696000000000005</v>
      </c>
      <c r="H252" s="58">
        <f t="shared" si="216"/>
        <v>35.08</v>
      </c>
      <c r="I252" s="58">
        <f t="shared" si="217"/>
        <v>35.754999999999995</v>
      </c>
      <c r="J252" s="58">
        <f t="shared" si="218"/>
        <v>36.744999999999997</v>
      </c>
      <c r="K252" s="58">
        <f t="shared" si="219"/>
        <v>39.156000000000006</v>
      </c>
      <c r="L252" s="58">
        <f t="shared" si="219"/>
        <v>41.99</v>
      </c>
      <c r="M252" s="58">
        <f t="shared" si="219"/>
        <v>44.225000000000001</v>
      </c>
      <c r="N252" s="100">
        <f>SUM(N$161:N$162)+N$148+$N100</f>
        <v>4.3100000000000005</v>
      </c>
      <c r="O252" s="100">
        <f>SUM(O$161:O$162)+O$148+$O100</f>
        <v>4.835</v>
      </c>
    </row>
    <row r="253" spans="1:15" ht="15" thickBot="1" x14ac:dyDescent="0.4">
      <c r="A253" s="56" t="s">
        <v>134</v>
      </c>
      <c r="G253" s="63">
        <f t="shared" si="215"/>
        <v>35.431000000000004</v>
      </c>
      <c r="H253" s="63">
        <f t="shared" si="216"/>
        <v>36.055</v>
      </c>
      <c r="I253" s="63">
        <f t="shared" si="217"/>
        <v>37.18</v>
      </c>
      <c r="J253" s="63">
        <f t="shared" si="218"/>
        <v>38.844999999999999</v>
      </c>
      <c r="K253" s="63">
        <f t="shared" si="219"/>
        <v>42.096000000000004</v>
      </c>
      <c r="L253" s="63">
        <f t="shared" si="219"/>
        <v>45.14</v>
      </c>
      <c r="M253" s="63">
        <f t="shared" si="219"/>
        <v>49.099999999999994</v>
      </c>
      <c r="N253" s="100">
        <f>SUM(N$161:N$162)+N$148+$N101</f>
        <v>6.5149999999999997</v>
      </c>
      <c r="O253" s="100">
        <f>SUM(O$161:O$162)+O$148+$O101</f>
        <v>6.56</v>
      </c>
    </row>
    <row r="254" spans="1:15" ht="15" thickBot="1" x14ac:dyDescent="0.4">
      <c r="A254" s="52"/>
    </row>
    <row r="255" spans="1:15" ht="15" thickBot="1" x14ac:dyDescent="0.4">
      <c r="A255" s="54" t="s">
        <v>133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>SUM(N$161:N$162)+N$148+$N103</f>
        <v>7.25</v>
      </c>
      <c r="O255" s="100">
        <f>SUM(O$161:O$162)+O$148+$O103</f>
        <v>7.1349999999999998</v>
      </c>
    </row>
    <row r="256" spans="1:15" ht="15" thickBot="1" x14ac:dyDescent="0.4">
      <c r="A256" s="55" t="s">
        <v>132</v>
      </c>
      <c r="G256" s="58">
        <f t="shared" ref="G256:G259" si="220">SUM(G$161:G$162)+G$159+G$158+G$156+G$155+G$153+G$152+G$150+G$149+G$148+G104</f>
        <v>35.332999999999998</v>
      </c>
      <c r="H256" s="58">
        <f t="shared" ref="H256:H259" si="221">SUM(H$161:H$162)+H$159+H$158+H$156+H$155+H$153+H$152+H$150+H$149+H$148+$H104</f>
        <v>35.924999999999997</v>
      </c>
      <c r="I256" s="58">
        <f t="shared" ref="I256:I259" si="222">SUM(I$161:I$162)+I$159+I$158+I$156+I$155+I$153+I$152+I$150+I$149+I$148+$I104</f>
        <v>36.989999999999995</v>
      </c>
      <c r="J256" s="58">
        <f t="shared" ref="J256:J259" si="223">SUM(J$161:J$162)+J$159+J$158+J$156+J$155+J$153+J$152+J$150+J$149+J$148+$J104</f>
        <v>38.564999999999998</v>
      </c>
      <c r="K256" s="58">
        <f t="shared" ref="K256:L259" si="224">SUM(K$161:K$162)+K$159+K$158+K$156+K$155+K$153+K$152+K$150+K$149+K$148+K104</f>
        <v>40.501999999999995</v>
      </c>
      <c r="L256" s="58">
        <f t="shared" si="224"/>
        <v>44.645000000000003</v>
      </c>
      <c r="M256" s="58">
        <f>SUM(M$161:M$162)+M$159+M$158+M$156+M$155+M$153+M$152+M$150+M$149+M$148+M104</f>
        <v>48.674999999999997</v>
      </c>
      <c r="N256" s="100">
        <f>SUM(N$161:N$162)+N$148+$N104</f>
        <v>6.2210000000000001</v>
      </c>
      <c r="O256" s="100">
        <f>SUM(O$161:O$162)+O$148+$O104</f>
        <v>6.33</v>
      </c>
    </row>
    <row r="257" spans="1:15" ht="15" thickBot="1" x14ac:dyDescent="0.4">
      <c r="A257" s="55" t="s">
        <v>131</v>
      </c>
      <c r="G257" s="58">
        <f t="shared" si="220"/>
        <v>35.332999999999998</v>
      </c>
      <c r="H257" s="58">
        <f t="shared" si="221"/>
        <v>35.924999999999997</v>
      </c>
      <c r="I257" s="58">
        <f t="shared" si="222"/>
        <v>36.989999999999995</v>
      </c>
      <c r="J257" s="58">
        <f t="shared" si="223"/>
        <v>38.564999999999998</v>
      </c>
      <c r="K257" s="58">
        <f t="shared" si="224"/>
        <v>40.501999999999995</v>
      </c>
      <c r="L257" s="58">
        <f t="shared" si="224"/>
        <v>44.645000000000003</v>
      </c>
      <c r="M257" s="58">
        <f>SUM(M$161:M$162)+M$159+M$158+M$156+M$155+M$153+M$152+M$150+M$149+M$148+M105</f>
        <v>48.674999999999997</v>
      </c>
      <c r="N257" s="100">
        <f>SUM(N$161:N$162)+N$148+$N105</f>
        <v>6.2210000000000001</v>
      </c>
      <c r="O257" s="100">
        <f>SUM(O$161:O$162)+O$148+$O105</f>
        <v>6.33</v>
      </c>
    </row>
    <row r="258" spans="1:15" ht="15" thickBot="1" x14ac:dyDescent="0.4">
      <c r="A258" s="55" t="s">
        <v>172</v>
      </c>
      <c r="G258" s="58">
        <f t="shared" si="220"/>
        <v>34.696000000000005</v>
      </c>
      <c r="H258" s="58">
        <f t="shared" si="221"/>
        <v>35.08</v>
      </c>
      <c r="I258" s="58">
        <f t="shared" si="222"/>
        <v>35.754999999999995</v>
      </c>
      <c r="J258" s="58">
        <f t="shared" si="223"/>
        <v>36.744999999999997</v>
      </c>
      <c r="K258" s="58">
        <f t="shared" si="224"/>
        <v>37.953999999999994</v>
      </c>
      <c r="L258" s="58">
        <f t="shared" si="224"/>
        <v>41.915000000000006</v>
      </c>
      <c r="M258" s="58">
        <f>SUM(M$161:M$162)+M$159+M$158+M$156+M$155+M$153+M$152+M$150+M$149+M$148+M106</f>
        <v>44.45</v>
      </c>
      <c r="N258" s="100">
        <f>SUM(N$161:N$162)+N$148+$N106</f>
        <v>4.3100000000000005</v>
      </c>
      <c r="O258" s="100">
        <f>SUM(O$161:O$162)+O$148+$O106</f>
        <v>4.835</v>
      </c>
    </row>
    <row r="259" spans="1:15" ht="15" thickBot="1" x14ac:dyDescent="0.4">
      <c r="A259" s="56" t="s">
        <v>100</v>
      </c>
      <c r="G259" s="63">
        <f t="shared" si="220"/>
        <v>35.431000000000004</v>
      </c>
      <c r="H259" s="63">
        <f t="shared" si="221"/>
        <v>36.055</v>
      </c>
      <c r="I259" s="63">
        <f t="shared" si="222"/>
        <v>37.18</v>
      </c>
      <c r="J259" s="63">
        <f t="shared" si="223"/>
        <v>38.844999999999999</v>
      </c>
      <c r="K259" s="63">
        <f t="shared" si="224"/>
        <v>40.893999999999998</v>
      </c>
      <c r="L259" s="63">
        <f t="shared" si="224"/>
        <v>45.064999999999998</v>
      </c>
      <c r="M259" s="63">
        <f>SUM(M$161:M$162)+M$159+M$158+M$156+M$155+M$153+M$152+M$150+M$149+M$148+M107</f>
        <v>49.325000000000003</v>
      </c>
      <c r="N259" s="100">
        <f>SUM(N$161:N$162)+N$148+$N107</f>
        <v>6.5149999999999997</v>
      </c>
      <c r="O259" s="100">
        <f>SUM(O$161:O$162)+O$148+$O107</f>
        <v>6.56</v>
      </c>
    </row>
    <row r="260" spans="1:15" ht="15" thickBot="1" x14ac:dyDescent="0.4">
      <c r="A260" s="52"/>
    </row>
    <row r="261" spans="1:15" ht="15" thickBot="1" x14ac:dyDescent="0.4">
      <c r="A261" s="54" t="s">
        <v>99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N266" si="225">SUM(N$161:N$162)+N$148+$N109</f>
        <v>5.9269999999999996</v>
      </c>
      <c r="O261" s="100">
        <f t="shared" ref="O261:O266" si="226">SUM(O$161:O$162)+O$148+$O109</f>
        <v>6.1000000000000005</v>
      </c>
    </row>
    <row r="262" spans="1:15" ht="15" thickBot="1" x14ac:dyDescent="0.4">
      <c r="A262" s="55" t="s">
        <v>98</v>
      </c>
      <c r="G262" s="58">
        <f t="shared" ref="G262:G266" si="227">SUM(G$161:G$162)+G$159+G$158+G$156+G$155+G$153+G$152+G$150+G$149+G$148+G110</f>
        <v>38.117000000000004</v>
      </c>
      <c r="H262" s="58">
        <f t="shared" ref="H262:H266" si="228">SUM(H$161:H$162)+H$159+H$158+H$156+H$155+H$153+H$152+H$150+H$149+H$148+$H110</f>
        <v>38.964999999999996</v>
      </c>
      <c r="I262" s="58">
        <f t="shared" ref="I262:I266" si="229">SUM(I$161:I$162)+I$159+I$158+I$156+I$155+I$153+I$152+I$150+I$149+I$148+$I110</f>
        <v>40.51</v>
      </c>
      <c r="J262" s="58">
        <f t="shared" ref="J262:J266" si="230">SUM(J$161:J$162)+J$159+J$158+J$156+J$155+J$153+J$152+J$150+J$149+J$148+$J110</f>
        <v>42.805</v>
      </c>
      <c r="K262" s="58">
        <f t="shared" ref="K262:M266" si="231">SUM(K$161:K$162)+K$159+K$158+K$156+K$155+K$153+K$152+K$150+K$149+K$148+K110</f>
        <v>45.637999999999998</v>
      </c>
      <c r="L262" s="58">
        <f t="shared" si="231"/>
        <v>51.005000000000003</v>
      </c>
      <c r="M262" s="58">
        <f t="shared" si="231"/>
        <v>56.875</v>
      </c>
      <c r="N262" s="100">
        <f t="shared" si="225"/>
        <v>8.5730000000000004</v>
      </c>
      <c r="O262" s="100">
        <f t="shared" si="226"/>
        <v>8.17</v>
      </c>
    </row>
    <row r="263" spans="1:15" ht="15" thickBot="1" x14ac:dyDescent="0.4">
      <c r="A263" s="55" t="s">
        <v>97</v>
      </c>
      <c r="G263" s="58">
        <f t="shared" si="227"/>
        <v>37.186000000000007</v>
      </c>
      <c r="H263" s="58">
        <f t="shared" si="228"/>
        <v>37.729999999999997</v>
      </c>
      <c r="I263" s="58">
        <f t="shared" si="229"/>
        <v>38.704999999999998</v>
      </c>
      <c r="J263" s="58">
        <f t="shared" si="230"/>
        <v>40.144999999999996</v>
      </c>
      <c r="K263" s="58">
        <f t="shared" si="231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si="225"/>
        <v>5.7799999999999994</v>
      </c>
      <c r="O263" s="100">
        <f t="shared" si="226"/>
        <v>5.9850000000000003</v>
      </c>
    </row>
    <row r="264" spans="1:15" ht="15" thickBot="1" x14ac:dyDescent="0.4">
      <c r="A264" s="55" t="s">
        <v>96</v>
      </c>
      <c r="G264" s="58">
        <f t="shared" si="227"/>
        <v>38.215000000000003</v>
      </c>
      <c r="H264" s="58">
        <f t="shared" si="228"/>
        <v>39.094999999999999</v>
      </c>
      <c r="I264" s="58">
        <f t="shared" si="229"/>
        <v>40.700000000000003</v>
      </c>
      <c r="J264" s="58">
        <f t="shared" si="230"/>
        <v>43.085000000000001</v>
      </c>
      <c r="K264" s="58">
        <f t="shared" si="231"/>
        <v>46.03</v>
      </c>
      <c r="L264" s="58">
        <f t="shared" si="231"/>
        <v>51.425000000000004</v>
      </c>
      <c r="M264" s="58">
        <f t="shared" si="231"/>
        <v>57.525000000000006</v>
      </c>
      <c r="N264" s="100">
        <f t="shared" si="225"/>
        <v>8.8669999999999991</v>
      </c>
      <c r="O264" s="100">
        <f t="shared" si="226"/>
        <v>8.4</v>
      </c>
    </row>
    <row r="265" spans="1:15" ht="15" thickBot="1" x14ac:dyDescent="0.4">
      <c r="A265" s="55" t="s">
        <v>173</v>
      </c>
      <c r="G265" s="58">
        <f t="shared" si="227"/>
        <v>37.186000000000007</v>
      </c>
      <c r="H265" s="58">
        <f t="shared" si="228"/>
        <v>37.729999999999997</v>
      </c>
      <c r="I265" s="58">
        <f t="shared" si="229"/>
        <v>38.704999999999998</v>
      </c>
      <c r="J265" s="58">
        <f t="shared" si="230"/>
        <v>40.144999999999996</v>
      </c>
      <c r="K265" s="58">
        <f t="shared" si="231"/>
        <v>41.914000000000001</v>
      </c>
      <c r="L265" s="58">
        <f t="shared" si="231"/>
        <v>47.015000000000001</v>
      </c>
      <c r="M265" s="58">
        <f>SUM(M$161:M$162)+M$159+M$158+M$156+M$155+M$153+M$152+M$150+M$149+M$148+M113</f>
        <v>50.7</v>
      </c>
      <c r="N265" s="100">
        <f t="shared" si="225"/>
        <v>5.7799999999999994</v>
      </c>
      <c r="O265" s="100">
        <f t="shared" si="226"/>
        <v>5.9850000000000003</v>
      </c>
    </row>
    <row r="266" spans="1:15" ht="15" thickBot="1" x14ac:dyDescent="0.4">
      <c r="A266" s="56" t="s">
        <v>95</v>
      </c>
      <c r="G266" s="63">
        <f t="shared" si="227"/>
        <v>36.745000000000005</v>
      </c>
      <c r="H266" s="63">
        <f t="shared" si="228"/>
        <v>37.144999999999996</v>
      </c>
      <c r="I266" s="63">
        <f t="shared" si="229"/>
        <v>37.85</v>
      </c>
      <c r="J266" s="63">
        <f t="shared" si="230"/>
        <v>38.884999999999998</v>
      </c>
      <c r="K266" s="63">
        <f t="shared" si="231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si="225"/>
        <v>4.4569999999999999</v>
      </c>
      <c r="O266" s="100">
        <f t="shared" si="226"/>
        <v>4.95</v>
      </c>
    </row>
    <row r="267" spans="1:15" ht="15" thickBot="1" x14ac:dyDescent="0.4">
      <c r="A267" s="52"/>
    </row>
    <row r="268" spans="1:15" ht="15" thickBot="1" x14ac:dyDescent="0.4">
      <c r="A268" s="54" t="s">
        <v>94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M273" si="232">SUM(K$161:K$162)+K$159+K$158+K$156+K$155+K$153+K$152+K$150+K$149+K$148+K116</f>
        <v>42.11</v>
      </c>
      <c r="L268" s="58">
        <f t="shared" si="232"/>
        <v>47.225000000000009</v>
      </c>
      <c r="M268" s="58">
        <f t="shared" si="232"/>
        <v>51.025000000000006</v>
      </c>
      <c r="N268" s="100">
        <f t="shared" ref="N268:N273" si="233">SUM(N$161:N$162)+N$148+$N116</f>
        <v>5.9269999999999996</v>
      </c>
      <c r="O268" s="100">
        <f t="shared" ref="O268:O273" si="234">SUM(O$161:O$162)+O$148+$O116</f>
        <v>6.1000000000000005</v>
      </c>
    </row>
    <row r="269" spans="1:15" ht="15" thickBot="1" x14ac:dyDescent="0.4">
      <c r="A269" s="55" t="s">
        <v>93</v>
      </c>
      <c r="G269" s="58">
        <f t="shared" ref="G269:G273" si="235">SUM(G$161:G$162)+G$159+G$158+G$156+G$155+G$153+G$152+G$150+G$149+G$148+G117</f>
        <v>38.117000000000004</v>
      </c>
      <c r="H269" s="58">
        <f t="shared" ref="H269:H273" si="236">SUM(H$161:H$162)+H$159+H$158+H$156+H$155+H$153+H$152+H$150+H$149+H$148+$H117</f>
        <v>38.964999999999996</v>
      </c>
      <c r="I269" s="58">
        <f t="shared" ref="I269:I273" si="237">SUM(I$161:I$162)+I$159+I$158+I$156+I$155+I$153+I$152+I$150+I$149+I$148+$I117</f>
        <v>40.51</v>
      </c>
      <c r="J269" s="58">
        <f t="shared" ref="J269:J273" si="238">SUM(J$161:J$162)+J$159+J$158+J$156+J$155+J$153+J$152+J$150+J$149+J$148+$J117</f>
        <v>42.805</v>
      </c>
      <c r="K269" s="58">
        <f t="shared" si="232"/>
        <v>45.637999999999998</v>
      </c>
      <c r="L269" s="58">
        <f t="shared" si="232"/>
        <v>51.005000000000003</v>
      </c>
      <c r="M269" s="58">
        <f t="shared" si="232"/>
        <v>56.875</v>
      </c>
      <c r="N269" s="100">
        <f t="shared" si="233"/>
        <v>8.5730000000000004</v>
      </c>
      <c r="O269" s="100">
        <f t="shared" si="234"/>
        <v>8.17</v>
      </c>
    </row>
    <row r="270" spans="1:15" ht="15" thickBot="1" x14ac:dyDescent="0.4">
      <c r="A270" s="55" t="s">
        <v>92</v>
      </c>
      <c r="G270" s="58">
        <f t="shared" si="235"/>
        <v>37.186000000000007</v>
      </c>
      <c r="H270" s="58">
        <f t="shared" si="236"/>
        <v>37.729999999999997</v>
      </c>
      <c r="I270" s="58">
        <f t="shared" si="237"/>
        <v>38.704999999999998</v>
      </c>
      <c r="J270" s="58">
        <f t="shared" si="238"/>
        <v>40.144999999999996</v>
      </c>
      <c r="K270" s="58">
        <f t="shared" si="232"/>
        <v>41.914000000000001</v>
      </c>
      <c r="L270" s="58">
        <f t="shared" si="232"/>
        <v>47.015000000000001</v>
      </c>
      <c r="M270" s="58">
        <f t="shared" si="232"/>
        <v>50.7</v>
      </c>
      <c r="N270" s="100">
        <f t="shared" si="233"/>
        <v>5.7799999999999994</v>
      </c>
      <c r="O270" s="100">
        <f t="shared" si="234"/>
        <v>5.9850000000000003</v>
      </c>
    </row>
    <row r="271" spans="1:15" ht="15" thickBot="1" x14ac:dyDescent="0.4">
      <c r="A271" s="55" t="s">
        <v>91</v>
      </c>
      <c r="G271" s="58">
        <f t="shared" si="235"/>
        <v>38.215000000000003</v>
      </c>
      <c r="H271" s="58">
        <f t="shared" si="236"/>
        <v>39.094999999999999</v>
      </c>
      <c r="I271" s="58">
        <f t="shared" si="237"/>
        <v>40.700000000000003</v>
      </c>
      <c r="J271" s="58">
        <f t="shared" si="238"/>
        <v>43.085000000000001</v>
      </c>
      <c r="K271" s="58">
        <f t="shared" si="232"/>
        <v>46.03</v>
      </c>
      <c r="L271" s="58">
        <f t="shared" si="232"/>
        <v>51.425000000000004</v>
      </c>
      <c r="M271" s="58">
        <f t="shared" si="232"/>
        <v>57.525000000000006</v>
      </c>
      <c r="N271" s="100">
        <f t="shared" si="233"/>
        <v>8.8669999999999991</v>
      </c>
      <c r="O271" s="100">
        <f t="shared" si="234"/>
        <v>8.4</v>
      </c>
    </row>
    <row r="272" spans="1:15" ht="15" thickBot="1" x14ac:dyDescent="0.4">
      <c r="A272" s="55" t="s">
        <v>173</v>
      </c>
      <c r="G272" s="58">
        <f t="shared" si="235"/>
        <v>37.186000000000007</v>
      </c>
      <c r="H272" s="58">
        <f t="shared" si="236"/>
        <v>37.729999999999997</v>
      </c>
      <c r="I272" s="58">
        <f t="shared" si="237"/>
        <v>38.704999999999998</v>
      </c>
      <c r="J272" s="58">
        <f t="shared" si="238"/>
        <v>40.144999999999996</v>
      </c>
      <c r="K272" s="58">
        <f t="shared" si="232"/>
        <v>41.914000000000001</v>
      </c>
      <c r="L272" s="58">
        <f t="shared" si="232"/>
        <v>47.015000000000001</v>
      </c>
      <c r="M272" s="58">
        <f t="shared" si="232"/>
        <v>50.7</v>
      </c>
      <c r="N272" s="100">
        <f t="shared" si="233"/>
        <v>5.7799999999999994</v>
      </c>
      <c r="O272" s="100">
        <f t="shared" si="234"/>
        <v>5.9850000000000003</v>
      </c>
    </row>
    <row r="273" spans="1:15" ht="15" thickBot="1" x14ac:dyDescent="0.4">
      <c r="A273" s="56" t="s">
        <v>90</v>
      </c>
      <c r="G273" s="63">
        <f t="shared" si="235"/>
        <v>36.745000000000005</v>
      </c>
      <c r="H273" s="63">
        <f t="shared" si="236"/>
        <v>37.144999999999996</v>
      </c>
      <c r="I273" s="63">
        <f t="shared" si="237"/>
        <v>37.85</v>
      </c>
      <c r="J273" s="63">
        <f t="shared" si="238"/>
        <v>38.884999999999998</v>
      </c>
      <c r="K273" s="63">
        <f t="shared" si="232"/>
        <v>40.15</v>
      </c>
      <c r="L273" s="63">
        <f t="shared" si="232"/>
        <v>45.125</v>
      </c>
      <c r="M273" s="63">
        <f t="shared" si="232"/>
        <v>47.775000000000006</v>
      </c>
      <c r="N273" s="100">
        <f t="shared" si="233"/>
        <v>4.4569999999999999</v>
      </c>
      <c r="O273" s="100">
        <f t="shared" si="234"/>
        <v>4.95</v>
      </c>
    </row>
    <row r="274" spans="1:15" x14ac:dyDescent="0.35">
      <c r="A274" s="52"/>
    </row>
    <row r="275" spans="1:15" ht="15" thickBot="1" x14ac:dyDescent="0.4"/>
    <row r="276" spans="1:15" ht="15" thickBot="1" x14ac:dyDescent="0.4">
      <c r="A276" s="54" t="s">
        <v>80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39">MIN(I167:I273)</f>
        <v>34.674999999999997</v>
      </c>
      <c r="J276" s="78">
        <f t="shared" si="239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35.262999999999998</v>
      </c>
      <c r="N276" s="18">
        <f>MIN(N171:N274)</f>
        <v>4.3100000000000005</v>
      </c>
      <c r="O276" s="18">
        <f>MIN(O171:O274)</f>
        <v>4.835</v>
      </c>
    </row>
    <row r="277" spans="1:15" ht="15" thickBot="1" x14ac:dyDescent="0.4">
      <c r="A277" s="56" t="s">
        <v>81</v>
      </c>
      <c r="G277" s="78">
        <f>MAX(G167:G273)</f>
        <v>43.888999999999996</v>
      </c>
      <c r="H277" s="78">
        <f t="shared" ref="H277:J277" si="240">MAX(H167:H273)</f>
        <v>44.809000000000005</v>
      </c>
      <c r="I277" s="78">
        <f t="shared" si="240"/>
        <v>45.03</v>
      </c>
      <c r="J277" s="78">
        <f t="shared" si="240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11.527999999999999</v>
      </c>
      <c r="O277" s="18">
        <f>MAX(O171:O274)</f>
        <v>10.8</v>
      </c>
    </row>
    <row r="279" spans="1:15" ht="15" thickBot="1" x14ac:dyDescent="0.4"/>
    <row r="280" spans="1:15" ht="15" thickBot="1" x14ac:dyDescent="0.4">
      <c r="A280" s="80" t="s">
        <v>82</v>
      </c>
      <c r="C280" s="119" t="s">
        <v>203</v>
      </c>
      <c r="D280" s="120"/>
      <c r="E280" s="121"/>
      <c r="G280" s="119" t="s">
        <v>204</v>
      </c>
      <c r="H280" s="120"/>
      <c r="I280" s="121"/>
    </row>
    <row r="281" spans="1:15" ht="15" thickBot="1" x14ac:dyDescent="0.4">
      <c r="A281" s="81" t="s">
        <v>86</v>
      </c>
      <c r="C281" s="118">
        <v>47</v>
      </c>
      <c r="D281" s="104">
        <v>862</v>
      </c>
      <c r="E281" s="117" t="s">
        <v>85</v>
      </c>
      <c r="G281" s="103">
        <v>950</v>
      </c>
      <c r="H281" s="104">
        <v>2150</v>
      </c>
      <c r="I281" s="115" t="s">
        <v>85</v>
      </c>
    </row>
    <row r="282" spans="1:15" ht="15" thickBot="1" x14ac:dyDescent="0.4">
      <c r="A282" s="79" t="s">
        <v>83</v>
      </c>
      <c r="C282" s="116">
        <f>G276</f>
        <v>33.874000000000002</v>
      </c>
      <c r="D282" s="116">
        <f>K276</f>
        <v>36.358000000000004</v>
      </c>
      <c r="E282" s="116">
        <f>D282-C282</f>
        <v>2.4840000000000018</v>
      </c>
      <c r="G282" s="102">
        <f>L276</f>
        <v>38.064999999999998</v>
      </c>
      <c r="H282" s="102">
        <f>M276</f>
        <v>35.262999999999998</v>
      </c>
      <c r="I282" s="102">
        <f>G282-H282</f>
        <v>2.8019999999999996</v>
      </c>
    </row>
    <row r="283" spans="1:15" ht="15" thickBot="1" x14ac:dyDescent="0.4">
      <c r="A283" s="78" t="s">
        <v>84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4">
      <c r="A284" s="78" t="s">
        <v>85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22.262000000000008</v>
      </c>
      <c r="I284" s="90">
        <f>H283-G282</f>
        <v>19.460000000000008</v>
      </c>
    </row>
    <row r="286" spans="1:15" ht="15" thickBot="1" x14ac:dyDescent="0.4"/>
    <row r="287" spans="1:15" ht="15" thickBot="1" x14ac:dyDescent="0.4">
      <c r="C287" s="13" t="s">
        <v>174</v>
      </c>
      <c r="D287" s="110" t="s">
        <v>175</v>
      </c>
    </row>
    <row r="288" spans="1:15" ht="15" thickBot="1" x14ac:dyDescent="0.4">
      <c r="A288" s="8" t="s">
        <v>177</v>
      </c>
      <c r="C288" s="82">
        <f>N277</f>
        <v>11.527999999999999</v>
      </c>
      <c r="D288" s="82">
        <f>O277</f>
        <v>10.8</v>
      </c>
    </row>
    <row r="289" spans="3:4" x14ac:dyDescent="0.35">
      <c r="C289" s="83" t="s">
        <v>176</v>
      </c>
      <c r="D289" s="83" t="s">
        <v>176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="55" zoomScaleNormal="55" workbookViewId="0">
      <selection activeCell="R16" sqref="R16"/>
    </sheetView>
  </sheetViews>
  <sheetFormatPr baseColWidth="10" defaultRowHeight="14.5" x14ac:dyDescent="0.35"/>
  <cols>
    <col min="1" max="1" width="38.81640625" customWidth="1"/>
    <col min="9" max="16" width="11.6328125" bestFit="1" customWidth="1"/>
  </cols>
  <sheetData>
    <row r="1" spans="1:18" x14ac:dyDescent="0.35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55</v>
      </c>
      <c r="I1" s="42" t="s">
        <v>70</v>
      </c>
      <c r="J1" s="42" t="s">
        <v>67</v>
      </c>
      <c r="K1" s="42" t="s">
        <v>68</v>
      </c>
      <c r="L1" s="42" t="s">
        <v>69</v>
      </c>
      <c r="M1" s="42" t="s">
        <v>71</v>
      </c>
      <c r="N1" s="42" t="s">
        <v>72</v>
      </c>
      <c r="O1" s="42" t="s">
        <v>52</v>
      </c>
      <c r="P1" s="45" t="s">
        <v>51</v>
      </c>
    </row>
    <row r="2" spans="1:18" ht="15" thickBot="1" x14ac:dyDescent="0.4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514</v>
      </c>
      <c r="J2" s="44">
        <v>530</v>
      </c>
      <c r="K2" s="44">
        <v>570</v>
      </c>
      <c r="L2" s="44">
        <v>626</v>
      </c>
      <c r="M2" s="44">
        <v>650</v>
      </c>
      <c r="N2" s="44">
        <v>674</v>
      </c>
      <c r="O2" s="44">
        <v>770</v>
      </c>
      <c r="P2" s="46">
        <v>2150</v>
      </c>
    </row>
    <row r="3" spans="1:18" ht="15" thickBot="1" x14ac:dyDescent="0.4">
      <c r="A3" s="72" t="s">
        <v>53</v>
      </c>
    </row>
    <row r="4" spans="1:18" ht="15" thickBot="1" x14ac:dyDescent="0.4">
      <c r="A4" s="73" t="s">
        <v>2</v>
      </c>
    </row>
    <row r="5" spans="1:18" x14ac:dyDescent="0.35">
      <c r="A5" s="70" t="s">
        <v>54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</v>
      </c>
      <c r="L5" s="2">
        <v>0.11</v>
      </c>
      <c r="M5" s="2">
        <v>0.11</v>
      </c>
      <c r="N5" s="2">
        <v>0.11</v>
      </c>
      <c r="O5" s="2">
        <v>0.12</v>
      </c>
      <c r="P5" s="2">
        <v>0.23</v>
      </c>
    </row>
    <row r="6" spans="1:18" ht="15" thickBot="1" x14ac:dyDescent="0.4">
      <c r="A6" s="32"/>
    </row>
    <row r="7" spans="1:18" ht="15" thickBot="1" x14ac:dyDescent="0.4">
      <c r="A7" s="73" t="s">
        <v>73</v>
      </c>
    </row>
    <row r="8" spans="1:18" x14ac:dyDescent="0.35">
      <c r="A8" s="70" t="s">
        <v>74</v>
      </c>
      <c r="F8" s="2">
        <v>1</v>
      </c>
    </row>
    <row r="9" spans="1:18" x14ac:dyDescent="0.35">
      <c r="A9" s="9" t="s">
        <v>75</v>
      </c>
      <c r="G9" s="2">
        <v>8</v>
      </c>
    </row>
    <row r="10" spans="1:18" x14ac:dyDescent="0.35">
      <c r="A10" s="9" t="s">
        <v>76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O10" s="2">
        <v>15</v>
      </c>
    </row>
    <row r="11" spans="1:18" x14ac:dyDescent="0.35">
      <c r="A11" s="9" t="s">
        <v>208</v>
      </c>
      <c r="P11" s="2">
        <v>42</v>
      </c>
    </row>
    <row r="12" spans="1:18" x14ac:dyDescent="0.35">
      <c r="A12" s="9" t="s">
        <v>209</v>
      </c>
      <c r="P12" s="2">
        <v>37</v>
      </c>
    </row>
    <row r="14" spans="1:18" ht="15" thickBot="1" x14ac:dyDescent="0.4"/>
    <row r="15" spans="1:18" x14ac:dyDescent="0.35">
      <c r="A15" s="101" t="s">
        <v>178</v>
      </c>
    </row>
    <row r="16" spans="1:18" x14ac:dyDescent="0.35">
      <c r="A16" s="9" t="s">
        <v>179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P16" s="2">
        <v>50</v>
      </c>
      <c r="R16" t="s">
        <v>255</v>
      </c>
    </row>
    <row r="17" spans="1:16" x14ac:dyDescent="0.35">
      <c r="A17" s="9" t="s">
        <v>180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30</v>
      </c>
      <c r="P17" s="2">
        <v>20</v>
      </c>
    </row>
    <row r="18" spans="1:16" x14ac:dyDescent="0.35">
      <c r="A18" s="9" t="s">
        <v>181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  <c r="P18" s="2">
        <v>9</v>
      </c>
    </row>
    <row r="19" spans="1:16" x14ac:dyDescent="0.35">
      <c r="A19" s="9" t="s">
        <v>182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110</v>
      </c>
      <c r="P19" s="2">
        <v>124</v>
      </c>
    </row>
    <row r="20" spans="1:16" x14ac:dyDescent="0.35">
      <c r="A20" s="9" t="s">
        <v>183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  <c r="P20" s="2">
        <v>35</v>
      </c>
    </row>
    <row r="22" spans="1:16" ht="15" thickBot="1" x14ac:dyDescent="0.4"/>
    <row r="23" spans="1:16" x14ac:dyDescent="0.35">
      <c r="A23" s="101" t="s">
        <v>184</v>
      </c>
    </row>
    <row r="24" spans="1:16" x14ac:dyDescent="0.35">
      <c r="A24" s="9" t="s">
        <v>179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  <c r="O24" s="2">
        <v>28</v>
      </c>
    </row>
    <row r="25" spans="1:16" x14ac:dyDescent="0.35">
      <c r="A25" s="9" t="s">
        <v>180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  <c r="O25" s="2">
        <v>20</v>
      </c>
    </row>
    <row r="26" spans="1:16" x14ac:dyDescent="0.35">
      <c r="A26" s="9" t="s">
        <v>181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  <c r="O26" s="2">
        <v>6.5</v>
      </c>
    </row>
    <row r="27" spans="1:16" x14ac:dyDescent="0.35">
      <c r="A27" s="9" t="s">
        <v>185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  <c r="O27" s="2">
        <v>106</v>
      </c>
    </row>
    <row r="28" spans="1:16" x14ac:dyDescent="0.35">
      <c r="A28" s="9" t="s">
        <v>183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  <c r="O28" s="2">
        <v>35</v>
      </c>
    </row>
    <row r="30" spans="1:16" ht="15" thickBot="1" x14ac:dyDescent="0.4"/>
    <row r="31" spans="1:16" x14ac:dyDescent="0.35">
      <c r="A31" s="105" t="s">
        <v>186</v>
      </c>
    </row>
    <row r="32" spans="1:16" x14ac:dyDescent="0.35">
      <c r="A32" s="107" t="s">
        <v>187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  <c r="O32" s="106">
        <v>50</v>
      </c>
    </row>
    <row r="33" spans="1:15" x14ac:dyDescent="0.35">
      <c r="A33" s="107" t="s">
        <v>188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06">
        <v>15</v>
      </c>
    </row>
    <row r="34" spans="1:15" x14ac:dyDescent="0.35">
      <c r="A34" s="107" t="s">
        <v>189</v>
      </c>
      <c r="F34" s="106">
        <f>F32-F33-31.54+20*LOG(F2)</f>
        <v>77.460000000000008</v>
      </c>
      <c r="G34" s="108">
        <f>G32-G33-31.54+20*LOG(G2)</f>
        <v>64.904385894678384</v>
      </c>
      <c r="H34" s="108">
        <f>H32-H33-31.54+20*LOG(H2)</f>
        <v>57.120940764776996</v>
      </c>
      <c r="I34" s="108">
        <f>I32-I33-31.54+20*LOG(I2)</f>
        <v>57.679262379905516</v>
      </c>
      <c r="J34" s="108">
        <f>J32-J33-31.54+20*LOG(J2)</f>
        <v>57.94551739201578</v>
      </c>
      <c r="K34" s="108">
        <f>K32-K33-31.54+20*LOG(K2)</f>
        <v>58.57749711344983</v>
      </c>
      <c r="L34" s="108">
        <f>L32-L33-31.54+20*LOG(L2)</f>
        <v>59.391486664208593</v>
      </c>
      <c r="M34" s="108">
        <f>M32-M33-31.54+20*LOG(M2)</f>
        <v>59.718267132857115</v>
      </c>
      <c r="N34" s="108">
        <f>N32-N33-31.54+20*LOG(N2)</f>
        <v>60.0331979307064</v>
      </c>
      <c r="O34" s="108">
        <f>O32-O33-31.54+20*LOG(O2)</f>
        <v>61.189814503449639</v>
      </c>
    </row>
    <row r="35" spans="1:15" x14ac:dyDescent="0.35">
      <c r="A35" s="107" t="s">
        <v>190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57.49</v>
      </c>
      <c r="K35" s="106">
        <v>58.12</v>
      </c>
      <c r="L35" s="106">
        <v>58.93</v>
      </c>
      <c r="M35" s="106">
        <v>59.26</v>
      </c>
      <c r="N35" s="106">
        <v>59.57</v>
      </c>
      <c r="O35" s="106">
        <v>60.73</v>
      </c>
    </row>
    <row r="36" spans="1:15" x14ac:dyDescent="0.35">
      <c r="A36" s="107" t="s">
        <v>191</v>
      </c>
      <c r="F36" s="109" t="s">
        <v>176</v>
      </c>
      <c r="G36" s="109" t="s">
        <v>176</v>
      </c>
      <c r="H36" s="109" t="s">
        <v>176</v>
      </c>
      <c r="I36" s="109" t="s">
        <v>176</v>
      </c>
      <c r="J36" s="109" t="s">
        <v>176</v>
      </c>
      <c r="K36" s="109" t="s">
        <v>176</v>
      </c>
      <c r="L36" s="109" t="s">
        <v>176</v>
      </c>
      <c r="M36" s="109" t="s">
        <v>176</v>
      </c>
      <c r="N36" s="109" t="s">
        <v>176</v>
      </c>
      <c r="O36" s="109" t="s">
        <v>176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"/>
  <sheetViews>
    <sheetView tabSelected="1" zoomScale="70" zoomScaleNormal="70" workbookViewId="0">
      <selection activeCell="E3" sqref="E3"/>
    </sheetView>
  </sheetViews>
  <sheetFormatPr baseColWidth="10" defaultRowHeight="14.5" x14ac:dyDescent="0.35"/>
  <cols>
    <col min="1" max="1" width="20" customWidth="1"/>
    <col min="2" max="2" width="16.81640625" customWidth="1"/>
    <col min="3" max="3" width="16.36328125" customWidth="1"/>
  </cols>
  <sheetData>
    <row r="2" spans="1:3" x14ac:dyDescent="0.35">
      <c r="A2" s="32"/>
      <c r="B2" s="122" t="s">
        <v>210</v>
      </c>
      <c r="C2" s="123"/>
    </row>
    <row r="3" spans="1:3" x14ac:dyDescent="0.35">
      <c r="A3" s="124"/>
      <c r="B3" s="125" t="s">
        <v>211</v>
      </c>
      <c r="C3" s="125" t="s">
        <v>212</v>
      </c>
    </row>
    <row r="4" spans="1:3" x14ac:dyDescent="0.35">
      <c r="A4" s="126" t="s">
        <v>213</v>
      </c>
      <c r="B4" s="127">
        <v>39.49</v>
      </c>
      <c r="C4" s="127">
        <v>39.49</v>
      </c>
    </row>
    <row r="5" spans="1:3" x14ac:dyDescent="0.35">
      <c r="A5" s="128" t="s">
        <v>214</v>
      </c>
      <c r="B5" s="129">
        <v>30</v>
      </c>
      <c r="C5" s="129">
        <v>19.2</v>
      </c>
    </row>
    <row r="6" spans="1:3" x14ac:dyDescent="0.35">
      <c r="A6" s="128" t="s">
        <v>215</v>
      </c>
      <c r="B6" s="129">
        <f>B5-0.36</f>
        <v>29.64</v>
      </c>
      <c r="C6" s="129">
        <f>-0.36-19.2</f>
        <v>-19.559999999999999</v>
      </c>
    </row>
    <row r="7" spans="1:3" x14ac:dyDescent="0.35">
      <c r="A7" s="128" t="s">
        <v>216</v>
      </c>
      <c r="B7" s="127">
        <v>47.88</v>
      </c>
      <c r="C7" s="127">
        <v>43.35</v>
      </c>
    </row>
    <row r="8" spans="1:3" x14ac:dyDescent="0.35">
      <c r="A8" s="128" t="s">
        <v>217</v>
      </c>
      <c r="B8" s="127">
        <v>6378.16</v>
      </c>
      <c r="C8" s="127">
        <v>6378.16</v>
      </c>
    </row>
    <row r="9" spans="1:3" x14ac:dyDescent="0.35">
      <c r="A9" s="128" t="s">
        <v>218</v>
      </c>
      <c r="B9" s="127">
        <v>35786.300000000003</v>
      </c>
      <c r="C9" s="127">
        <v>35786.300000000003</v>
      </c>
    </row>
    <row r="10" spans="1:3" x14ac:dyDescent="0.35">
      <c r="A10" s="128" t="s">
        <v>219</v>
      </c>
      <c r="B10" s="127">
        <v>38180.474999999999</v>
      </c>
      <c r="C10" s="127">
        <v>37780.794999999998</v>
      </c>
    </row>
    <row r="11" spans="1:3" x14ac:dyDescent="0.35">
      <c r="A11" s="128" t="s">
        <v>220</v>
      </c>
      <c r="B11" s="127">
        <v>35</v>
      </c>
      <c r="C11" s="127">
        <v>40</v>
      </c>
    </row>
    <row r="12" spans="1:3" x14ac:dyDescent="0.35">
      <c r="A12" s="128" t="s">
        <v>221</v>
      </c>
      <c r="B12" s="127">
        <v>221.82</v>
      </c>
      <c r="C12" s="127">
        <v>150.81</v>
      </c>
    </row>
    <row r="13" spans="1:3" x14ac:dyDescent="0.35">
      <c r="A13" s="130"/>
      <c r="B13" s="130"/>
      <c r="C13" s="130"/>
    </row>
    <row r="14" spans="1:3" x14ac:dyDescent="0.35">
      <c r="A14" s="125" t="s">
        <v>222</v>
      </c>
      <c r="B14" s="127">
        <v>54</v>
      </c>
      <c r="C14" s="127">
        <v>51</v>
      </c>
    </row>
    <row r="15" spans="1:3" x14ac:dyDescent="0.35">
      <c r="A15" s="125" t="s">
        <v>223</v>
      </c>
      <c r="B15" s="127">
        <f>B14-20*LOG10((4*PI()*B10*10^3)/((3*10^8)/(12.75*10^9)))-1.8+138.75</f>
        <v>-15.238802423677953</v>
      </c>
      <c r="C15" s="127">
        <f>C14-20*LOG10((4*PI()*C10*10^3)/((3*10^8)/(12.75*10^9)))-1.8+138.75</f>
        <v>-18.147397727373288</v>
      </c>
    </row>
    <row r="16" spans="1:3" x14ac:dyDescent="0.35">
      <c r="A16" s="131"/>
      <c r="B16" s="132"/>
      <c r="C16" s="132"/>
    </row>
    <row r="17" spans="1:3" x14ac:dyDescent="0.35">
      <c r="A17" s="125" t="s">
        <v>224</v>
      </c>
      <c r="B17" s="127">
        <f>B23-10*LOG10(1+(B21/B20))</f>
        <v>17.132739049129246</v>
      </c>
      <c r="C17" s="127">
        <f>C23-10*LOG10(1+(C21/C20))</f>
        <v>14.22414374543391</v>
      </c>
    </row>
    <row r="18" spans="1:3" x14ac:dyDescent="0.35">
      <c r="A18" s="125" t="s">
        <v>225</v>
      </c>
      <c r="B18" s="127">
        <f>B15+B19</f>
        <v>23.761197576322047</v>
      </c>
      <c r="C18" s="127">
        <f>C15+C19</f>
        <v>20.852602272626712</v>
      </c>
    </row>
    <row r="19" spans="1:3" x14ac:dyDescent="0.35">
      <c r="A19" s="125" t="s">
        <v>226</v>
      </c>
      <c r="B19" s="127">
        <v>39</v>
      </c>
      <c r="C19" s="127">
        <v>39</v>
      </c>
    </row>
    <row r="20" spans="1:3" x14ac:dyDescent="0.35">
      <c r="A20" s="125" t="s">
        <v>227</v>
      </c>
      <c r="B20" s="127">
        <v>110</v>
      </c>
      <c r="C20" s="127">
        <v>110</v>
      </c>
    </row>
    <row r="21" spans="1:3" x14ac:dyDescent="0.35">
      <c r="A21" s="125" t="s">
        <v>228</v>
      </c>
      <c r="B21" s="127">
        <f>290*(10^(0.75/10)-1)</f>
        <v>54.665645956735368</v>
      </c>
      <c r="C21" s="127">
        <f>290*(10^(0.75/10)-1)</f>
        <v>54.665645956735368</v>
      </c>
    </row>
    <row r="22" spans="1:3" x14ac:dyDescent="0.35">
      <c r="A22" s="125" t="s">
        <v>229</v>
      </c>
      <c r="B22" s="127">
        <f>10*LOG10((1.38*10^(-23))*B20*B24)+138.75</f>
        <v>4.8763553571844795</v>
      </c>
      <c r="C22" s="127">
        <f>10*LOG10((1.38*10^(-23))*C20*C24)+138.75</f>
        <v>4.8763553571844795</v>
      </c>
    </row>
    <row r="23" spans="1:3" x14ac:dyDescent="0.35">
      <c r="A23" s="125" t="s">
        <v>230</v>
      </c>
      <c r="B23" s="127">
        <f>B18-B22</f>
        <v>18.884842219137568</v>
      </c>
      <c r="C23" s="127">
        <f>C18-C22</f>
        <v>15.976246915442232</v>
      </c>
    </row>
    <row r="24" spans="1:3" x14ac:dyDescent="0.35">
      <c r="A24" s="125" t="s">
        <v>231</v>
      </c>
      <c r="B24" s="127">
        <f>27*1000000</f>
        <v>27000000</v>
      </c>
      <c r="C24" s="127">
        <f>27*1000000</f>
        <v>27000000</v>
      </c>
    </row>
    <row r="25" spans="1:3" x14ac:dyDescent="0.35">
      <c r="A25" s="133"/>
      <c r="B25" s="130"/>
      <c r="C25" s="130"/>
    </row>
    <row r="26" spans="1:3" x14ac:dyDescent="0.35">
      <c r="A26" s="125" t="s">
        <v>232</v>
      </c>
      <c r="B26" s="135">
        <v>25</v>
      </c>
      <c r="C26" s="135">
        <v>25</v>
      </c>
    </row>
    <row r="27" spans="1:3" x14ac:dyDescent="0.35">
      <c r="A27" s="136" t="s">
        <v>233</v>
      </c>
      <c r="B27" s="137">
        <v>35</v>
      </c>
      <c r="C27" s="137">
        <v>35</v>
      </c>
    </row>
    <row r="28" spans="1:3" x14ac:dyDescent="0.35">
      <c r="A28" s="136" t="s">
        <v>234</v>
      </c>
      <c r="B28" s="137">
        <v>110</v>
      </c>
      <c r="C28" s="137">
        <v>110</v>
      </c>
    </row>
    <row r="29" spans="1:3" x14ac:dyDescent="0.35">
      <c r="A29" s="136" t="s">
        <v>235</v>
      </c>
      <c r="B29" s="137">
        <f>B28+(B26-B27)/2</f>
        <v>105</v>
      </c>
      <c r="C29" s="137">
        <f>C28+(C26-C27)/2</f>
        <v>105</v>
      </c>
    </row>
    <row r="30" spans="1:3" x14ac:dyDescent="0.35">
      <c r="A30" s="136" t="s">
        <v>236</v>
      </c>
      <c r="B30" s="137">
        <f>B29+7.5*LOG10(30-1)</f>
        <v>115.96798498424216</v>
      </c>
      <c r="C30" s="137">
        <f>C29+7.5*LOG10(30-1)</f>
        <v>115.96798498424216</v>
      </c>
    </row>
    <row r="31" spans="1:3" x14ac:dyDescent="0.35">
      <c r="A31" s="136" t="s">
        <v>237</v>
      </c>
      <c r="B31" s="137">
        <v>118.5</v>
      </c>
      <c r="C31" s="137">
        <v>118.5</v>
      </c>
    </row>
    <row r="34" spans="1:3" x14ac:dyDescent="0.35">
      <c r="A34" s="134" t="s">
        <v>245</v>
      </c>
      <c r="B34" s="138">
        <v>54</v>
      </c>
      <c r="C34" s="138">
        <v>51</v>
      </c>
    </row>
    <row r="35" spans="1:3" x14ac:dyDescent="0.35">
      <c r="A35" s="134" t="s">
        <v>238</v>
      </c>
      <c r="B35" s="138">
        <v>0.7</v>
      </c>
      <c r="C35" s="138">
        <v>0.7</v>
      </c>
    </row>
    <row r="36" spans="1:3" x14ac:dyDescent="0.35">
      <c r="A36" s="134" t="s">
        <v>244</v>
      </c>
      <c r="B36" s="138">
        <v>50</v>
      </c>
      <c r="C36" s="138">
        <v>50</v>
      </c>
    </row>
    <row r="37" spans="1:3" x14ac:dyDescent="0.35">
      <c r="A37" s="134" t="s">
        <v>243</v>
      </c>
      <c r="B37" s="138">
        <v>3</v>
      </c>
      <c r="C37" s="138">
        <v>3</v>
      </c>
    </row>
    <row r="38" spans="1:3" x14ac:dyDescent="0.35">
      <c r="A38" s="134" t="s">
        <v>239</v>
      </c>
      <c r="B38" s="138">
        <v>27</v>
      </c>
      <c r="C38" s="138">
        <v>27</v>
      </c>
    </row>
    <row r="39" spans="1:3" x14ac:dyDescent="0.35">
      <c r="A39" s="134" t="s">
        <v>240</v>
      </c>
      <c r="B39" s="138">
        <v>0.7</v>
      </c>
      <c r="C39" s="138">
        <v>0.7</v>
      </c>
    </row>
    <row r="40" spans="1:3" x14ac:dyDescent="0.35">
      <c r="A40" s="134" t="s">
        <v>241</v>
      </c>
      <c r="B40" s="138">
        <v>12.75</v>
      </c>
      <c r="C40" s="138">
        <v>12.75</v>
      </c>
    </row>
    <row r="41" spans="1:3" x14ac:dyDescent="0.35">
      <c r="A41" s="134" t="s">
        <v>246</v>
      </c>
      <c r="B41" s="138">
        <f>92.44+20*LOG10(B40)+20*LOG10(B10)</f>
        <v>206.18703023762927</v>
      </c>
      <c r="C41" s="138">
        <f>92.44+20*LOG10(C40)+20*LOG10(C10)</f>
        <v>206.09562554132461</v>
      </c>
    </row>
    <row r="42" spans="1:3" x14ac:dyDescent="0.35">
      <c r="A42" s="134" t="s">
        <v>247</v>
      </c>
      <c r="B42" s="138">
        <v>5.0999999999999996</v>
      </c>
      <c r="C42" s="138">
        <v>5.0999999999999996</v>
      </c>
    </row>
    <row r="43" spans="1:3" x14ac:dyDescent="0.35">
      <c r="A43" s="134" t="s">
        <v>254</v>
      </c>
      <c r="B43" s="139">
        <v>1.3800000000000001E-23</v>
      </c>
      <c r="C43" s="139">
        <v>1.3800000000000001E-23</v>
      </c>
    </row>
    <row r="44" spans="1:3" x14ac:dyDescent="0.35">
      <c r="A44" s="134" t="s">
        <v>248</v>
      </c>
      <c r="B44" s="138">
        <f>B36+290*(POWER(10,B39/10)-1)</f>
        <v>100.72029093246357</v>
      </c>
      <c r="C44" s="138">
        <f>C36+290*(POWER(10,C39/10)-1)</f>
        <v>100.72029093246357</v>
      </c>
    </row>
    <row r="45" spans="1:3" x14ac:dyDescent="0.35">
      <c r="A45" s="134" t="s">
        <v>249</v>
      </c>
      <c r="B45" s="140">
        <f>11+B37</f>
        <v>14</v>
      </c>
      <c r="C45" s="138">
        <f>11+C37</f>
        <v>14</v>
      </c>
    </row>
    <row r="46" spans="1:3" x14ac:dyDescent="0.35">
      <c r="A46" s="134" t="s">
        <v>242</v>
      </c>
      <c r="B46" s="139">
        <f>10*LOG10(B43*B44*B38*1000000)</f>
        <v>-134.25640177870341</v>
      </c>
      <c r="C46" s="139">
        <f>10*LOG10(C43*C44*C38*1000000)</f>
        <v>-134.25640177870341</v>
      </c>
    </row>
    <row r="47" spans="1:3" x14ac:dyDescent="0.35">
      <c r="A47" s="134" t="s">
        <v>250</v>
      </c>
      <c r="B47" s="139">
        <f>B45-B34+B41+B42+B46</f>
        <v>37.030628458925861</v>
      </c>
      <c r="C47" s="139">
        <f>C45-C34+C41+C42+C46</f>
        <v>39.939223762621197</v>
      </c>
    </row>
    <row r="48" spans="1:3" x14ac:dyDescent="0.35">
      <c r="A48" s="134" t="s">
        <v>251</v>
      </c>
      <c r="B48" s="138">
        <f>300000000/(B40*1000000000)</f>
        <v>2.3529411764705882E-2</v>
      </c>
      <c r="C48" s="138">
        <f>300000000/(C40*1000000000)</f>
        <v>2.3529411764705882E-2</v>
      </c>
    </row>
    <row r="50" spans="1:3" x14ac:dyDescent="0.35">
      <c r="A50" s="134"/>
      <c r="B50" s="139">
        <f>B48*POWER(10,(B47/20))</f>
        <v>1.671638992470837</v>
      </c>
      <c r="C50" s="139">
        <f>C48*POWER(10,(C47/20))</f>
        <v>2.3365348234310672</v>
      </c>
    </row>
    <row r="51" spans="1:3" x14ac:dyDescent="0.35">
      <c r="A51" s="134" t="s">
        <v>252</v>
      </c>
      <c r="B51" s="139">
        <f>B50/(PI()*SQRT(B35))</f>
        <v>0.63598020768129437</v>
      </c>
      <c r="C51" s="139">
        <f>C50/(PI()*SQRT(C35))</f>
        <v>0.8889418761785618</v>
      </c>
    </row>
    <row r="52" spans="1:3" x14ac:dyDescent="0.35">
      <c r="A52" s="134" t="s">
        <v>253</v>
      </c>
      <c r="B52" s="139">
        <f>B47-10*LOG10(B44)</f>
        <v>16.999458743231507</v>
      </c>
      <c r="C52" s="139">
        <f>C47-10*LOG10(C44)</f>
        <v>19.908054046926843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Network</vt:lpstr>
      <vt:lpstr>Antenna +Headend</vt:lpstr>
      <vt:lpstr>Satellite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Lenovo</cp:lastModifiedBy>
  <dcterms:created xsi:type="dcterms:W3CDTF">2022-11-21T18:37:15Z</dcterms:created>
  <dcterms:modified xsi:type="dcterms:W3CDTF">2022-12-12T18:44:07Z</dcterms:modified>
</cp:coreProperties>
</file>