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6-1/ITSIT/Trabajo/"/>
    </mc:Choice>
  </mc:AlternateContent>
  <xr:revisionPtr revIDLastSave="292" documentId="14_{9F4157DC-F50C-4A01-87BD-49BE01D9B9B2}" xr6:coauthVersionLast="47" xr6:coauthVersionMax="47" xr10:uidLastSave="{EE77D37A-44EC-474A-ADD5-BF697E65C8EA}"/>
  <bookViews>
    <workbookView xWindow="-108" yWindow="-108" windowWidth="23256" windowHeight="12456" xr2:uid="{00000000-000D-0000-FFFF-FFFF00000000}"/>
  </bookViews>
  <sheets>
    <sheet name="Network" sheetId="1" r:id="rId1"/>
    <sheet name="Antenna + Headend" sheetId="2" r:id="rId2"/>
    <sheet name="Satellite" sheetId="3" r:id="rId3"/>
    <sheet name="Mast + Tow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2" i="1" l="1"/>
  <c r="N262" i="1"/>
  <c r="I282" i="1"/>
  <c r="B312" i="1"/>
  <c r="B313" i="1"/>
  <c r="N273" i="1"/>
  <c r="O273" i="1"/>
  <c r="N272" i="1"/>
  <c r="O272" i="1"/>
  <c r="N271" i="1"/>
  <c r="O271" i="1"/>
  <c r="N270" i="1"/>
  <c r="O270" i="1"/>
  <c r="N269" i="1"/>
  <c r="O269" i="1"/>
  <c r="N268" i="1"/>
  <c r="O268" i="1"/>
  <c r="N266" i="1"/>
  <c r="O266" i="1"/>
  <c r="N265" i="1"/>
  <c r="O265" i="1"/>
  <c r="N264" i="1"/>
  <c r="O264" i="1"/>
  <c r="N263" i="1"/>
  <c r="O263" i="1"/>
  <c r="N261" i="1"/>
  <c r="O261" i="1"/>
  <c r="N259" i="1"/>
  <c r="O259" i="1"/>
  <c r="N258" i="1"/>
  <c r="O258" i="1"/>
  <c r="N257" i="1"/>
  <c r="O257" i="1"/>
  <c r="N256" i="1"/>
  <c r="O256" i="1"/>
  <c r="N255" i="1"/>
  <c r="O255" i="1"/>
  <c r="N253" i="1"/>
  <c r="O253" i="1"/>
  <c r="N252" i="1"/>
  <c r="O252" i="1"/>
  <c r="N251" i="1"/>
  <c r="O251" i="1"/>
  <c r="N250" i="1"/>
  <c r="O250" i="1"/>
  <c r="N249" i="1"/>
  <c r="O249" i="1"/>
  <c r="N247" i="1"/>
  <c r="O247" i="1"/>
  <c r="N246" i="1"/>
  <c r="O246" i="1"/>
  <c r="N245" i="1"/>
  <c r="O245" i="1"/>
  <c r="N244" i="1"/>
  <c r="O244" i="1"/>
  <c r="N243" i="1"/>
  <c r="O243" i="1"/>
  <c r="N242" i="1"/>
  <c r="O242" i="1"/>
  <c r="N240" i="1"/>
  <c r="O240" i="1"/>
  <c r="N239" i="1"/>
  <c r="O239" i="1"/>
  <c r="N238" i="1"/>
  <c r="O238" i="1"/>
  <c r="N237" i="1"/>
  <c r="O237" i="1"/>
  <c r="M238" i="1"/>
  <c r="M239" i="1"/>
  <c r="M240" i="1"/>
  <c r="N236" i="1"/>
  <c r="O236" i="1"/>
  <c r="N235" i="1"/>
  <c r="O235" i="1"/>
  <c r="M233" i="1"/>
  <c r="N233" i="1"/>
  <c r="O233" i="1"/>
  <c r="M232" i="1"/>
  <c r="N232" i="1"/>
  <c r="O232" i="1"/>
  <c r="M231" i="1"/>
  <c r="N231" i="1"/>
  <c r="O231" i="1"/>
  <c r="M230" i="1"/>
  <c r="N230" i="1"/>
  <c r="O230" i="1"/>
  <c r="M229" i="1"/>
  <c r="N229" i="1"/>
  <c r="O229" i="1"/>
  <c r="N227" i="1"/>
  <c r="O227" i="1"/>
  <c r="N226" i="1"/>
  <c r="O226" i="1"/>
  <c r="N225" i="1"/>
  <c r="O225" i="1"/>
  <c r="N224" i="1"/>
  <c r="O224" i="1"/>
  <c r="N223" i="1"/>
  <c r="O223" i="1"/>
  <c r="N221" i="1"/>
  <c r="O221" i="1"/>
  <c r="N220" i="1"/>
  <c r="O220" i="1"/>
  <c r="N219" i="1"/>
  <c r="O219" i="1"/>
  <c r="N218" i="1"/>
  <c r="O218" i="1"/>
  <c r="N217" i="1"/>
  <c r="O217" i="1"/>
  <c r="N216" i="1"/>
  <c r="O216" i="1"/>
  <c r="N214" i="1"/>
  <c r="O214" i="1"/>
  <c r="N213" i="1"/>
  <c r="O213" i="1"/>
  <c r="N212" i="1"/>
  <c r="O212" i="1"/>
  <c r="N211" i="1"/>
  <c r="O211" i="1"/>
  <c r="O210" i="1"/>
  <c r="N210" i="1"/>
  <c r="N209" i="1"/>
  <c r="O209" i="1"/>
  <c r="N197" i="1"/>
  <c r="O197" i="1"/>
  <c r="L195" i="1"/>
  <c r="M195" i="1"/>
  <c r="N195" i="1"/>
  <c r="O195" i="1"/>
  <c r="L194" i="1"/>
  <c r="M194" i="1"/>
  <c r="N194" i="1"/>
  <c r="O194" i="1"/>
  <c r="L193" i="1"/>
  <c r="M193" i="1"/>
  <c r="N193" i="1"/>
  <c r="O193" i="1"/>
  <c r="K195" i="1"/>
  <c r="K194" i="1"/>
  <c r="K193" i="1"/>
  <c r="L192" i="1"/>
  <c r="M192" i="1"/>
  <c r="N192" i="1"/>
  <c r="O192" i="1"/>
  <c r="K192" i="1"/>
  <c r="L191" i="1"/>
  <c r="M191" i="1"/>
  <c r="N191" i="1"/>
  <c r="O191" i="1"/>
  <c r="K191" i="1"/>
  <c r="O190" i="1"/>
  <c r="N190" i="1"/>
  <c r="M190" i="1"/>
  <c r="L190" i="1"/>
  <c r="O188" i="1"/>
  <c r="O187" i="1"/>
  <c r="O186" i="1"/>
  <c r="O185" i="1"/>
  <c r="O184" i="1"/>
  <c r="O183" i="1"/>
  <c r="N188" i="1"/>
  <c r="N187" i="1"/>
  <c r="N186" i="1"/>
  <c r="N185" i="1"/>
  <c r="N184" i="1"/>
  <c r="N183" i="1"/>
  <c r="M188" i="1"/>
  <c r="M187" i="1"/>
  <c r="M186" i="1"/>
  <c r="M185" i="1"/>
  <c r="M184" i="1"/>
  <c r="M183" i="1"/>
  <c r="O180" i="1"/>
  <c r="O179" i="1"/>
  <c r="O181" i="1"/>
  <c r="N181" i="1"/>
  <c r="N180" i="1"/>
  <c r="N179" i="1"/>
  <c r="N178" i="1"/>
  <c r="M181" i="1"/>
  <c r="M180" i="1"/>
  <c r="M179" i="1"/>
  <c r="M178" i="1"/>
  <c r="O178" i="1"/>
  <c r="O177" i="1"/>
  <c r="N177" i="1"/>
  <c r="M177" i="1"/>
  <c r="N207" i="1"/>
  <c r="O207" i="1"/>
  <c r="N206" i="1"/>
  <c r="O206" i="1"/>
  <c r="N205" i="1"/>
  <c r="O205" i="1"/>
  <c r="N204" i="1"/>
  <c r="O204" i="1"/>
  <c r="N203" i="1"/>
  <c r="O203" i="1"/>
  <c r="N201" i="1"/>
  <c r="O201" i="1"/>
  <c r="N200" i="1"/>
  <c r="O200" i="1"/>
  <c r="N199" i="1"/>
  <c r="O199" i="1"/>
  <c r="N198" i="1"/>
  <c r="O198" i="1"/>
  <c r="J174" i="1"/>
  <c r="I174" i="1"/>
  <c r="H174" i="1"/>
  <c r="H173" i="1"/>
  <c r="I173" i="1"/>
  <c r="J173" i="1"/>
  <c r="O172" i="1"/>
  <c r="H171" i="1"/>
  <c r="J171" i="1"/>
  <c r="O171" i="1"/>
  <c r="J175" i="1"/>
  <c r="H175" i="1"/>
  <c r="N175" i="1"/>
  <c r="O175" i="1"/>
  <c r="N174" i="1"/>
  <c r="O174" i="1"/>
  <c r="M175" i="1"/>
  <c r="M174" i="1"/>
  <c r="N173" i="1"/>
  <c r="O173" i="1"/>
  <c r="M173" i="1"/>
  <c r="N172" i="1"/>
  <c r="H172" i="1"/>
  <c r="N171" i="1"/>
  <c r="M172" i="1"/>
  <c r="M171" i="1"/>
  <c r="N169" i="1"/>
  <c r="O169" i="1"/>
  <c r="N168" i="1"/>
  <c r="O168" i="1"/>
  <c r="N167" i="1"/>
  <c r="O167" i="1"/>
  <c r="N49" i="2" l="1"/>
  <c r="M49" i="2"/>
  <c r="L49" i="2"/>
  <c r="K49" i="2"/>
  <c r="J49" i="2"/>
  <c r="I49" i="2"/>
  <c r="H49" i="2"/>
  <c r="G49" i="2"/>
  <c r="F49" i="2"/>
  <c r="J25" i="4"/>
  <c r="B26" i="3"/>
  <c r="C42" i="4"/>
  <c r="B45" i="4" s="1"/>
  <c r="B46" i="4"/>
  <c r="B314" i="1" l="1"/>
  <c r="B47" i="4"/>
  <c r="B48" i="4" s="1"/>
  <c r="B6" i="3"/>
  <c r="B7" i="3" s="1"/>
  <c r="C6" i="3"/>
  <c r="C7" i="3" s="1"/>
  <c r="B25" i="3"/>
  <c r="B27" i="3" s="1"/>
  <c r="C25" i="3"/>
  <c r="C27" i="3" s="1"/>
  <c r="C26" i="3"/>
  <c r="B29" i="3"/>
  <c r="C29" i="3"/>
  <c r="M18" i="4"/>
  <c r="J24" i="4"/>
  <c r="J23" i="4"/>
  <c r="J21" i="4"/>
  <c r="J19" i="4"/>
  <c r="J17" i="4"/>
  <c r="E28" i="4"/>
  <c r="C17" i="4"/>
  <c r="B27" i="4" s="1"/>
  <c r="B29" i="4" s="1"/>
  <c r="B30" i="4" s="1"/>
  <c r="C12" i="4"/>
  <c r="C13" i="4" s="1"/>
  <c r="H24" i="4" s="1"/>
  <c r="M17" i="4" s="1"/>
  <c r="B12" i="4"/>
  <c r="B13" i="4" s="1"/>
  <c r="B28" i="4"/>
  <c r="F23" i="4"/>
  <c r="F21" i="4"/>
  <c r="F19" i="4"/>
  <c r="F17" i="4"/>
  <c r="C21" i="4"/>
  <c r="C23" i="4"/>
  <c r="C19" i="4"/>
  <c r="B4" i="4"/>
  <c r="B3" i="4" s="1"/>
  <c r="E27" i="4" l="1"/>
  <c r="C11" i="3"/>
  <c r="B11" i="3"/>
  <c r="B12" i="3"/>
  <c r="B22" i="3" s="1"/>
  <c r="B10" i="3"/>
  <c r="C12" i="3"/>
  <c r="C22" i="3" s="1"/>
  <c r="C10" i="3"/>
  <c r="B6" i="4"/>
  <c r="B2" i="4" s="1"/>
  <c r="C28" i="3" l="1"/>
  <c r="C31" i="3" s="1"/>
  <c r="B28" i="3"/>
  <c r="B34" i="3" s="1"/>
  <c r="C33" i="3" l="1"/>
  <c r="C35" i="3" s="1"/>
  <c r="C36" i="3" s="1"/>
  <c r="C37" i="3" s="1"/>
  <c r="C38" i="3" s="1"/>
  <c r="B33" i="3"/>
  <c r="B35" i="3" s="1"/>
  <c r="B36" i="3" s="1"/>
  <c r="B37" i="3" s="1"/>
  <c r="B38" i="3" s="1"/>
  <c r="B31" i="3"/>
  <c r="C34" i="3"/>
  <c r="C32" i="3"/>
  <c r="B32" i="3"/>
  <c r="F87" i="2" l="1"/>
  <c r="O87" i="2" l="1"/>
  <c r="F41" i="2"/>
  <c r="N52" i="2"/>
  <c r="M52" i="2"/>
  <c r="L52" i="2"/>
  <c r="K52" i="2"/>
  <c r="J52" i="2"/>
  <c r="I52" i="2"/>
  <c r="H52" i="2"/>
  <c r="G52" i="2"/>
  <c r="F52" i="2"/>
  <c r="N50" i="2"/>
  <c r="H50" i="2"/>
  <c r="I50" i="2"/>
  <c r="J50" i="2"/>
  <c r="K50" i="2"/>
  <c r="L50" i="2"/>
  <c r="M50" i="2"/>
  <c r="G50" i="2"/>
  <c r="F50" i="2"/>
  <c r="N53" i="2" l="1"/>
  <c r="N54" i="2" s="1"/>
  <c r="F53" i="2"/>
  <c r="F54" i="2" s="1"/>
  <c r="J53" i="2"/>
  <c r="K53" i="2"/>
  <c r="M53" i="2"/>
  <c r="L53" i="2"/>
  <c r="I53" i="2"/>
  <c r="G53" i="2"/>
  <c r="H53" i="2"/>
  <c r="H45" i="2"/>
  <c r="J45" i="2"/>
  <c r="K45" i="2"/>
  <c r="L45" i="2"/>
  <c r="M45" i="2"/>
  <c r="N45" i="2"/>
  <c r="O45" i="2"/>
  <c r="I87" i="2"/>
  <c r="G87" i="2"/>
  <c r="G45" i="2" s="1"/>
  <c r="F45" i="2"/>
  <c r="O43" i="2"/>
  <c r="N43" i="2"/>
  <c r="M43" i="2"/>
  <c r="L43" i="2"/>
  <c r="K43" i="2"/>
  <c r="J43" i="2"/>
  <c r="I43" i="2"/>
  <c r="H43" i="2"/>
  <c r="G43" i="2"/>
  <c r="F43" i="2"/>
  <c r="O41" i="2"/>
  <c r="N41" i="2"/>
  <c r="M41" i="2"/>
  <c r="L41" i="2"/>
  <c r="K41" i="2"/>
  <c r="J41" i="2"/>
  <c r="I41" i="2"/>
  <c r="H41" i="2"/>
  <c r="G41" i="2"/>
  <c r="L54" i="2" l="1"/>
  <c r="J54" i="2"/>
  <c r="H54" i="2"/>
  <c r="K54" i="2"/>
  <c r="M44" i="2"/>
  <c r="M91" i="2" s="1"/>
  <c r="I45" i="2"/>
  <c r="G54" i="2"/>
  <c r="I54" i="2"/>
  <c r="M54" i="2"/>
  <c r="L44" i="2"/>
  <c r="L91" i="2" s="1"/>
  <c r="N44" i="2"/>
  <c r="N91" i="2" s="1"/>
  <c r="F44" i="2"/>
  <c r="F58" i="2" s="1"/>
  <c r="J44" i="2"/>
  <c r="K44" i="2"/>
  <c r="K91" i="2" s="1"/>
  <c r="G44" i="2"/>
  <c r="G58" i="2" s="1"/>
  <c r="H44" i="2"/>
  <c r="H91" i="2" s="1"/>
  <c r="O44" i="2"/>
  <c r="I44" i="2"/>
  <c r="I91" i="2" s="1"/>
  <c r="J46" i="2" l="1"/>
  <c r="J91" i="2"/>
  <c r="O46" i="2"/>
  <c r="O91" i="2"/>
  <c r="O92" i="2" s="1"/>
  <c r="H58" i="2"/>
  <c r="H46" i="2"/>
  <c r="H92" i="2"/>
  <c r="N92" i="2"/>
  <c r="L92" i="2"/>
  <c r="I92" i="2"/>
  <c r="M92" i="2"/>
  <c r="M46" i="2"/>
  <c r="I46" i="2"/>
  <c r="I58" i="2"/>
  <c r="I59" i="2" s="1"/>
  <c r="L58" i="2"/>
  <c r="L62" i="2" s="1"/>
  <c r="L64" i="2" s="1"/>
  <c r="L46" i="2"/>
  <c r="G46" i="2"/>
  <c r="N46" i="2"/>
  <c r="K58" i="2"/>
  <c r="K59" i="2" s="1"/>
  <c r="F46" i="2"/>
  <c r="N58" i="2"/>
  <c r="N62" i="2" s="1"/>
  <c r="N64" i="2" s="1"/>
  <c r="M58" i="2"/>
  <c r="M59" i="2" s="1"/>
  <c r="K46" i="2"/>
  <c r="J58" i="2"/>
  <c r="F59" i="2"/>
  <c r="F62" i="2"/>
  <c r="F64" i="2" s="1"/>
  <c r="G62" i="2"/>
  <c r="G64" i="2" s="1"/>
  <c r="G59" i="2"/>
  <c r="H59" i="2"/>
  <c r="H62" i="2"/>
  <c r="H64" i="2" s="1"/>
  <c r="I62" i="2" l="1"/>
  <c r="I64" i="2" s="1"/>
  <c r="L59" i="2"/>
  <c r="N59" i="2"/>
  <c r="K62" i="2"/>
  <c r="K64" i="2" s="1"/>
  <c r="M62" i="2"/>
  <c r="M64" i="2" s="1"/>
  <c r="K92" i="2"/>
  <c r="J92" i="2"/>
  <c r="J59" i="2"/>
  <c r="I63" i="2"/>
  <c r="I96" i="2" s="1"/>
  <c r="J62" i="2"/>
  <c r="J64" i="2" s="1"/>
  <c r="M75" i="2"/>
  <c r="M76" i="2" s="1"/>
  <c r="N75" i="2"/>
  <c r="N76" i="2" s="1"/>
  <c r="L63" i="2"/>
  <c r="H63" i="2"/>
  <c r="H96" i="2" s="1"/>
  <c r="N63" i="2"/>
  <c r="N95" i="2" s="1"/>
  <c r="F63" i="2"/>
  <c r="G63" i="2"/>
  <c r="M63" i="2" l="1"/>
  <c r="M95" i="2" s="1"/>
  <c r="K63" i="2"/>
  <c r="K95" i="2" s="1"/>
  <c r="I95" i="2"/>
  <c r="I97" i="2"/>
  <c r="N96" i="2"/>
  <c r="N97" i="2" s="1"/>
  <c r="L95" i="2"/>
  <c r="L96" i="2"/>
  <c r="L97" i="2" s="1"/>
  <c r="K96" i="2"/>
  <c r="K97" i="2" s="1"/>
  <c r="M96" i="2"/>
  <c r="M97" i="2" s="1"/>
  <c r="H95" i="2"/>
  <c r="H97" i="2"/>
  <c r="J63" i="2"/>
  <c r="J96" i="2" s="1"/>
  <c r="J95" i="2" l="1"/>
  <c r="J97" i="2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G167" i="1"/>
  <c r="G168" i="1"/>
  <c r="G169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67" i="1"/>
  <c r="H168" i="1"/>
  <c r="H169" i="1"/>
  <c r="G224" i="1"/>
  <c r="G246" i="1"/>
  <c r="K273" i="1"/>
  <c r="K271" i="1"/>
  <c r="K272" i="1"/>
  <c r="K269" i="1"/>
  <c r="K270" i="1"/>
  <c r="K172" i="1"/>
  <c r="J167" i="1"/>
  <c r="J172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5" i="1"/>
  <c r="I172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L201" i="1"/>
  <c r="L212" i="1"/>
  <c r="L220" i="1"/>
  <c r="L231" i="1"/>
  <c r="L240" i="1"/>
  <c r="L223" i="1"/>
  <c r="L197" i="1"/>
  <c r="L261" i="1"/>
  <c r="L198" i="1"/>
  <c r="L217" i="1"/>
  <c r="L237" i="1"/>
  <c r="L203" i="1"/>
  <c r="L177" i="1"/>
  <c r="L173" i="1"/>
  <c r="L255" i="1"/>
  <c r="L185" i="1"/>
  <c r="L204" i="1"/>
  <c r="L213" i="1"/>
  <c r="L221" i="1"/>
  <c r="L232" i="1"/>
  <c r="L250" i="1"/>
  <c r="L235" i="1"/>
  <c r="L209" i="1"/>
  <c r="L256" i="1"/>
  <c r="L186" i="1"/>
  <c r="L205" i="1"/>
  <c r="L214" i="1"/>
  <c r="L233" i="1"/>
  <c r="L251" i="1"/>
  <c r="L257" i="1"/>
  <c r="L187" i="1"/>
  <c r="L206" i="1"/>
  <c r="L224" i="1"/>
  <c r="L243" i="1"/>
  <c r="L252" i="1"/>
  <c r="L249" i="1"/>
  <c r="L175" i="1"/>
  <c r="L258" i="1"/>
  <c r="L266" i="1"/>
  <c r="L268" i="1"/>
  <c r="L188" i="1"/>
  <c r="L207" i="1"/>
  <c r="L225" i="1"/>
  <c r="L236" i="1"/>
  <c r="L244" i="1"/>
  <c r="L253" i="1"/>
  <c r="L242" i="1"/>
  <c r="L183" i="1"/>
  <c r="L178" i="1"/>
  <c r="L171" i="1"/>
  <c r="L172" i="1"/>
  <c r="L259" i="1"/>
  <c r="L262" i="1"/>
  <c r="L226" i="1"/>
  <c r="L245" i="1"/>
  <c r="L229" i="1"/>
  <c r="L179" i="1"/>
  <c r="L167" i="1"/>
  <c r="L199" i="1"/>
  <c r="L210" i="1"/>
  <c r="L218" i="1"/>
  <c r="L227" i="1"/>
  <c r="L238" i="1"/>
  <c r="L246" i="1"/>
  <c r="L180" i="1"/>
  <c r="L174" i="1"/>
  <c r="L264" i="1"/>
  <c r="L168" i="1"/>
  <c r="L200" i="1"/>
  <c r="L211" i="1"/>
  <c r="L219" i="1"/>
  <c r="L230" i="1"/>
  <c r="L239" i="1"/>
  <c r="L247" i="1"/>
  <c r="L216" i="1"/>
  <c r="L181" i="1"/>
  <c r="L265" i="1"/>
  <c r="L169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K198" i="1"/>
  <c r="K226" i="1"/>
  <c r="K238" i="1"/>
  <c r="K244" i="1"/>
  <c r="K179" i="1"/>
  <c r="K174" i="1"/>
  <c r="K259" i="1"/>
  <c r="K262" i="1"/>
  <c r="K168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K184" i="1"/>
  <c r="K200" i="1"/>
  <c r="K210" i="1"/>
  <c r="K218" i="1"/>
  <c r="K230" i="1"/>
  <c r="K240" i="1"/>
  <c r="K246" i="1"/>
  <c r="K181" i="1"/>
  <c r="K171" i="1"/>
  <c r="K264" i="1"/>
  <c r="K220" i="1"/>
  <c r="K185" i="1"/>
  <c r="K201" i="1"/>
  <c r="K211" i="1"/>
  <c r="K219" i="1"/>
  <c r="K231" i="1"/>
  <c r="K247" i="1"/>
  <c r="K265" i="1"/>
  <c r="K186" i="1"/>
  <c r="K204" i="1"/>
  <c r="K212" i="1"/>
  <c r="K232" i="1"/>
  <c r="K250" i="1"/>
  <c r="K266" i="1"/>
  <c r="K187" i="1"/>
  <c r="K205" i="1"/>
  <c r="K213" i="1"/>
  <c r="K221" i="1"/>
  <c r="K233" i="1"/>
  <c r="K251" i="1"/>
  <c r="K242" i="1"/>
  <c r="K203" i="1"/>
  <c r="K177" i="1"/>
  <c r="K256" i="1"/>
  <c r="K261" i="1"/>
  <c r="K268" i="1"/>
  <c r="K188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G242" i="1"/>
  <c r="G220" i="1"/>
  <c r="G25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23" i="1"/>
  <c r="M197" i="1"/>
  <c r="M169" i="1"/>
  <c r="M216" i="1"/>
  <c r="M201" i="1"/>
  <c r="M213" i="1"/>
  <c r="M221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l="1"/>
  <c r="L75" i="2"/>
  <c r="L76" i="2" s="1"/>
  <c r="F299" i="1"/>
  <c r="F298" i="1"/>
  <c r="C299" i="1"/>
  <c r="C298" i="1"/>
  <c r="E299" i="1"/>
  <c r="E298" i="1"/>
  <c r="E301" i="1" s="1"/>
  <c r="D299" i="1"/>
  <c r="D298" i="1"/>
  <c r="D301" i="1" s="1"/>
  <c r="I277" i="1"/>
  <c r="J276" i="1"/>
  <c r="I276" i="1"/>
  <c r="H277" i="1"/>
  <c r="H276" i="1"/>
  <c r="J277" i="1"/>
  <c r="G276" i="1"/>
  <c r="K276" i="1"/>
  <c r="D282" i="1" s="1"/>
  <c r="K277" i="1"/>
  <c r="G277" i="1"/>
  <c r="L276" i="1"/>
  <c r="G282" i="1" s="1"/>
  <c r="L277" i="1"/>
  <c r="M277" i="1"/>
  <c r="H283" i="1" s="1"/>
  <c r="M276" i="1"/>
  <c r="H282" i="1" s="1"/>
  <c r="F301" i="1" l="1"/>
  <c r="H74" i="2"/>
  <c r="H75" i="2"/>
  <c r="H76" i="2" s="1"/>
  <c r="I74" i="2"/>
  <c r="K74" i="2"/>
  <c r="K75" i="2"/>
  <c r="K76" i="2" s="1"/>
  <c r="I75" i="2"/>
  <c r="I76" i="2" s="1"/>
  <c r="J75" i="2"/>
  <c r="J76" i="2" s="1"/>
  <c r="J74" i="2"/>
  <c r="K80" i="2"/>
  <c r="K81" i="2" s="1"/>
  <c r="H80" i="2"/>
  <c r="H81" i="2" s="1"/>
  <c r="H79" i="2"/>
  <c r="I79" i="2"/>
  <c r="I80" i="2"/>
  <c r="I81" i="2" s="1"/>
  <c r="K79" i="2"/>
  <c r="J79" i="2"/>
  <c r="J80" i="2"/>
  <c r="J81" i="2" s="1"/>
  <c r="G283" i="1"/>
  <c r="I283" i="1" s="1"/>
  <c r="D308" i="1"/>
  <c r="D307" i="1"/>
  <c r="G74" i="2"/>
  <c r="G75" i="2"/>
  <c r="G76" i="2" s="1"/>
  <c r="G80" i="2"/>
  <c r="G81" i="2" s="1"/>
  <c r="G79" i="2"/>
  <c r="C301" i="1"/>
  <c r="F74" i="2"/>
  <c r="F75" i="2"/>
  <c r="F76" i="2" s="1"/>
  <c r="F79" i="2"/>
  <c r="F80" i="2"/>
  <c r="F81" i="2" s="1"/>
  <c r="C283" i="1"/>
  <c r="C307" i="1"/>
  <c r="D283" i="1"/>
  <c r="E283" i="1" s="1"/>
  <c r="M74" i="2"/>
  <c r="L74" i="2"/>
  <c r="N74" i="2"/>
  <c r="N80" i="2"/>
  <c r="N81" i="2" s="1"/>
  <c r="N79" i="2"/>
  <c r="M79" i="2"/>
  <c r="L80" i="2"/>
  <c r="L81" i="2" s="1"/>
  <c r="L79" i="2"/>
  <c r="M80" i="2"/>
  <c r="M81" i="2" s="1"/>
  <c r="C282" i="1"/>
  <c r="C308" i="1"/>
  <c r="G284" i="1"/>
  <c r="E282" i="1"/>
  <c r="C284" i="1"/>
  <c r="I284" i="1"/>
  <c r="H284" i="1"/>
  <c r="E29" i="4"/>
  <c r="E30" i="4" s="1"/>
  <c r="D284" i="1" l="1"/>
  <c r="E284" i="1"/>
</calcChain>
</file>

<file path=xl/sharedStrings.xml><?xml version="1.0" encoding="utf-8"?>
<sst xmlns="http://schemas.openxmlformats.org/spreadsheetml/2006/main" count="493" uniqueCount="339">
  <si>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</si>
  <si>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</si>
  <si>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</si>
  <si>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</si>
  <si>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</si>
  <si>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</si>
  <si>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</si>
  <si>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</si>
  <si>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</si>
  <si>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</si>
  <si>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</si>
  <si>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</si>
  <si>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</si>
  <si>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</si>
  <si>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</si>
  <si>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</si>
  <si>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</si>
  <si>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</si>
  <si>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</si>
  <si>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</si>
  <si>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</si>
  <si>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</si>
  <si>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</si>
  <si>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</si>
  <si>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</si>
  <si>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</si>
  <si>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</si>
  <si>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</si>
  <si>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</si>
  <si>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</si>
  <si>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</si>
  <si>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</si>
  <si>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</si>
  <si>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</si>
  <si>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</si>
  <si>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</si>
  <si>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</si>
  <si>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</si>
  <si>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</si>
  <si>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</si>
  <si>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</si>
  <si>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</si>
  <si>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</si>
  <si>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</si>
  <si>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</si>
  <si>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</si>
  <si>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</si>
  <si>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</si>
  <si>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</si>
  <si>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</si>
  <si>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</si>
  <si>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</si>
  <si>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</si>
  <si>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</si>
  <si>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</si>
  <si>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</si>
  <si>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</si>
  <si>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</si>
  <si>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</si>
  <si>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</si>
  <si>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</si>
  <si>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</si>
  <si>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</si>
  <si>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</si>
  <si>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</si>
  <si>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</si>
  <si>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</si>
  <si>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</si>
  <si>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</si>
  <si>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</si>
  <si>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</si>
  <si>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</si>
  <si>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</si>
  <si>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</si>
  <si>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</si>
  <si>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</si>
  <si>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</si>
  <si>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</si>
  <si>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</si>
  <si>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</si>
  <si>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</si>
  <si>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</si>
  <si>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</si>
  <si>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</si>
  <si>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</si>
  <si>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Main bedroom apartment down CD floor5</t>
  </si>
  <si>
    <t>Living room apartment down CD floor5</t>
  </si>
  <si>
    <t>Kitchen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</si>
  <si>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</si>
  <si>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</si>
  <si>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</si>
  <si>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</si>
  <si>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Main bedroom apartment down CD floor4</t>
  </si>
  <si>
    <t>Living room apartment down CD floor4</t>
  </si>
  <si>
    <t>Kitchen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</si>
  <si>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</si>
  <si>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</si>
  <si>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</si>
  <si>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</si>
  <si>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</si>
  <si>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</si>
  <si>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</si>
  <si>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</si>
  <si>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</si>
  <si>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</si>
  <si>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</si>
  <si>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</si>
  <si>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</si>
  <si>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</si>
  <si>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</si>
  <si>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</si>
  <si>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</si>
  <si>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</si>
  <si>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</si>
  <si>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</si>
  <si>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</si>
  <si>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</si>
  <si>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Main bedroom apartment down AB floor5</t>
  </si>
  <si>
    <t>Living room apartment down AB floor5</t>
  </si>
  <si>
    <t>Kitchen apartment up AB floor5</t>
  </si>
  <si>
    <t>Main bedroom apartment up AB floor5</t>
  </si>
  <si>
    <t>Living room apartment up AB floor5</t>
  </si>
  <si>
    <t>Kitchen apartment down AB floor4</t>
  </si>
  <si>
    <t>Main bedroom apartment down AB floor4</t>
  </si>
  <si>
    <t>Living room apartment down AB floor4</t>
  </si>
  <si>
    <t>Kitchen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</si>
  <si>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</si>
  <si>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</si>
  <si>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</si>
  <si>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</si>
  <si>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</si>
  <si>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</si>
  <si>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</si>
  <si>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</si>
  <si>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</si>
  <si>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</si>
  <si>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</si>
  <si>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</si>
  <si>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</si>
  <si>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</si>
  <si>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</si>
  <si>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</si>
  <si>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</si>
  <si>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</si>
  <si>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</si>
  <si>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</si>
  <si>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</si>
  <si>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</si>
  <si>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</si>
  <si>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</si>
  <si>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</si>
  <si>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</si>
  <si>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</si>
  <si>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</si>
  <si>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</si>
  <si>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</si>
  <si>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</si>
  <si>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</si>
  <si>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</si>
  <si>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</si>
  <si>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</si>
  <si>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</si>
  <si>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</si>
  <si>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</si>
  <si>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</si>
  <si>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</si>
  <si>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</si>
  <si>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</si>
  <si>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</si>
  <si>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</si>
  <si>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</si>
  <si>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</si>
  <si>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</si>
  <si>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</si>
  <si>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</si>
  <si>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</si>
  <si>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</si>
  <si>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</si>
  <si>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</si>
  <si>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</si>
  <si>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</si>
  <si>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</si>
  <si>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</si>
  <si>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 xml:space="preserve">Offset </t>
  </si>
  <si>
    <t>BW (MHz)</t>
  </si>
  <si>
    <t>F_lnb</t>
  </si>
  <si>
    <t>Frec (GHz)</t>
  </si>
  <si>
    <t>ThermalNoise(dBW)</t>
  </si>
  <si>
    <t>L_fs (dB)</t>
  </si>
  <si>
    <t>L_atmos (dB)</t>
  </si>
  <si>
    <t>T (K)</t>
  </si>
  <si>
    <t>C/N (dB) DVB-S</t>
  </si>
  <si>
    <t>lambda (m)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</si>
  <si>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</si>
  <si>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</si>
  <si>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</si>
  <si>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</si>
  <si>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</si>
  <si>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</si>
  <si>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</si>
  <si>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</si>
  <si>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</si>
  <si>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</si>
  <si>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</si>
  <si>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</si>
  <si>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</si>
  <si>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</si>
  <si>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</si>
  <si>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</si>
  <si>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>C31 (RGE2)</t>
  </si>
  <si>
    <t>Sc max = 120</t>
  </si>
  <si>
    <t>Sc max= 113</t>
  </si>
  <si>
    <t>Sc max = 113</t>
  </si>
  <si>
    <t>Sc max =110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</si>
  <si>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</si>
  <si>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</si>
  <si>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</si>
  <si>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</si>
  <si>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</si>
  <si>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</si>
  <si>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</si>
  <si>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</si>
  <si>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</si>
  <si>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</si>
  <si>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</si>
  <si>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</si>
  <si>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</si>
  <si>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</si>
  <si>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</si>
  <si>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</si>
  <si>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</si>
  <si>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</si>
  <si>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</si>
  <si>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</si>
  <si>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</si>
  <si>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</si>
  <si>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</si>
  <si>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</si>
  <si>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</si>
  <si>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</si>
  <si>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</si>
  <si>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</si>
  <si>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</si>
  <si>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</si>
  <si>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</si>
  <si>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</si>
  <si>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</si>
  <si>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</si>
  <si>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</si>
  <si>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</si>
  <si>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</si>
  <si>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</si>
  <si>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</si>
  <si>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</si>
  <si>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</si>
  <si>
    <t>Worst outlet</t>
  </si>
  <si>
    <t>Best outlet</t>
  </si>
  <si>
    <t>ATTENUATION OUTLET</t>
  </si>
  <si>
    <t xml:space="preserve">C28-C29 (MPE4) </t>
  </si>
  <si>
    <t>Beta</t>
  </si>
  <si>
    <t>RadioTierra</t>
  </si>
  <si>
    <t>DistGeosta</t>
  </si>
  <si>
    <t xml:space="preserve">Elevacion </t>
  </si>
  <si>
    <t>Azimuth</t>
  </si>
  <si>
    <t>dist sat-ant</t>
  </si>
  <si>
    <t>Phi</t>
  </si>
  <si>
    <t>Velocidad viento (m/s)</t>
  </si>
  <si>
    <t>Gravedad (m/s2)</t>
  </si>
  <si>
    <t>Area efectiva incidente (m2)</t>
  </si>
  <si>
    <t>Presion Viento (N/m2)</t>
  </si>
  <si>
    <t>Carga Viento (N)</t>
  </si>
  <si>
    <t>altura_mastil (m)</t>
  </si>
  <si>
    <t>coeficiente_viento</t>
  </si>
  <si>
    <t>area_efectiva_viento (m2)</t>
  </si>
  <si>
    <t>AREA EFECTIVA VIENTO EN MASTIL</t>
  </si>
  <si>
    <t>Carga_viento_TDT (N)</t>
  </si>
  <si>
    <t>Distancia_suelo_TDT (m)</t>
  </si>
  <si>
    <t>Carga_viento_DAB (N)</t>
  </si>
  <si>
    <t>Distancia_suelo_DAB (m)</t>
  </si>
  <si>
    <t>Distancia_suelo_FM (m)</t>
  </si>
  <si>
    <t>Carga_viento_SAT1 (N)</t>
  </si>
  <si>
    <t>Distancia_suelo_SAT1 (m)</t>
  </si>
  <si>
    <t>Carga_viento_FM (N)</t>
  </si>
  <si>
    <t>Torre Serie 180</t>
  </si>
  <si>
    <t>Tramo superior</t>
  </si>
  <si>
    <t>Mástil</t>
  </si>
  <si>
    <t>EJEMPLO PDF</t>
  </si>
  <si>
    <t>grosor_mastil (m)</t>
  </si>
  <si>
    <t>Area efectiva viento(m2)</t>
  </si>
  <si>
    <t>Momento antena (Nm)</t>
  </si>
  <si>
    <t>carga_viento (N)</t>
  </si>
  <si>
    <t>https://www.televes.com/es/g-041-base-fija-de-atornillar-empotrar.html</t>
  </si>
  <si>
    <t>https://www.televes.com/es/3032-tramo-superior-zinc-rpr.html</t>
  </si>
  <si>
    <t>https://www.televes.com/es/3010-mastil-3m-x-o-45mm-x-espesor-2mm.html</t>
  </si>
  <si>
    <t>Pin (dBW)</t>
  </si>
  <si>
    <t>Vin (uV)</t>
  </si>
  <si>
    <t>Vin_log (dBuV)</t>
  </si>
  <si>
    <t>D (m)</t>
  </si>
  <si>
    <t>Prx (dBW)</t>
  </si>
  <si>
    <t>C/N (dB)</t>
  </si>
  <si>
    <t>G_IF (dB)</t>
  </si>
  <si>
    <t>Momentos antenas (Nm)</t>
  </si>
  <si>
    <t>Ma&gt;Mtotal-Mmastil</t>
  </si>
  <si>
    <t>Ma&lt;Mtotal-Mmastil</t>
  </si>
  <si>
    <t>MOMENTO FLECTOR  MASTIL</t>
  </si>
  <si>
    <t>AREA EFECTIVA EN TORRE-MASTIL</t>
  </si>
  <si>
    <t>Gain dish antenna(dB)</t>
  </si>
  <si>
    <t>Temp (K)</t>
  </si>
  <si>
    <t>Margin (dB)</t>
  </si>
  <si>
    <t>EIRP (dBW)</t>
  </si>
  <si>
    <t>MOMENTO FLECTOR TORRETA-MASTIL*</t>
  </si>
  <si>
    <t>F_horizontal</t>
  </si>
  <si>
    <t>F_vertical</t>
  </si>
  <si>
    <t>Distancia_suelo_cargas (m)</t>
  </si>
  <si>
    <t>Momento_antenas (Nm)</t>
  </si>
  <si>
    <t>Momento_mastil (Nm)</t>
  </si>
  <si>
    <t>Momento_total (Nm)</t>
  </si>
  <si>
    <t>Inecuacion (Nm)</t>
  </si>
  <si>
    <t>Fuerzas laterales (N)</t>
  </si>
  <si>
    <t>Fuerzas verticales (N)</t>
  </si>
  <si>
    <t>CALCULATION OF AMPLITUDE-FREQUENCY RESPONSE AND RIPPLE</t>
  </si>
  <si>
    <t>Planicity of the dispersion + interior network (worst outlet)</t>
  </si>
  <si>
    <t>Planicity of the distribution network (worst outlet)</t>
  </si>
  <si>
    <t>Total cable ripple (dB)</t>
  </si>
  <si>
    <t>Bedroom 2 apartment up AB floor4</t>
  </si>
  <si>
    <t>Bedroom 2 apartment down AB floor4</t>
  </si>
  <si>
    <t>Bedroom 1 apartment up CD floor4</t>
  </si>
  <si>
    <t>Bedroom 2 apartment up CD floor4</t>
  </si>
  <si>
    <t>Bedroom 1 apartment down CD floor4</t>
  </si>
  <si>
    <t>Bedroom 2 apartment down CD floor4</t>
  </si>
  <si>
    <t>Bedroom 2 apartment up AB floor5</t>
  </si>
  <si>
    <t>Bedroom 2 apartment down AB floor5</t>
  </si>
  <si>
    <t>Bedroom 1 apartment up CD floor5</t>
  </si>
  <si>
    <t>Bedroom 1 apartment down CD floor5</t>
  </si>
  <si>
    <t>Bedroom 2 apartment down CD floor5</t>
  </si>
  <si>
    <t>Bedroom 2 apartment up CD floor5</t>
  </si>
  <si>
    <t>Service room apartment down AB floor2</t>
  </si>
  <si>
    <t>Service room apartment up CD floor2</t>
  </si>
  <si>
    <t>Service room apartment up AB floor4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</si>
</sst>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39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164" fontId="0" fillId="9" borderId="31" xfId="0" applyNumberFormat="1" applyFill="1" applyBorder="1"/>
    <xf numFmtId="164" fontId="0" fillId="9" borderId="32" xfId="0" applyNumberFormat="1" applyFill="1" applyBorder="1"/>
    <xf numFmtId="0" fontId="0" fillId="9" borderId="4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2" xfId="0" applyFill="1" applyBorder="1"/>
    <xf numFmtId="0" fontId="0" fillId="9" borderId="44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4" xfId="0" applyNumberFormat="1" applyFill="1" applyBorder="1"/>
    <xf numFmtId="2" fontId="0" fillId="9" borderId="35" xfId="0" applyNumberFormat="1" applyFill="1" applyBorder="1"/>
    <xf numFmtId="2" fontId="0" fillId="9" borderId="41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2" xfId="0" applyNumberFormat="1" applyFill="1" applyBorder="1"/>
    <xf numFmtId="0" fontId="0" fillId="9" borderId="48" xfId="0" applyFill="1" applyBorder="1"/>
    <xf numFmtId="2" fontId="0" fillId="9" borderId="48" xfId="0" applyNumberFormat="1" applyFill="1" applyBorder="1"/>
    <xf numFmtId="0" fontId="1" fillId="9" borderId="31" xfId="0" applyFont="1" applyFill="1" applyBorder="1"/>
    <xf numFmtId="0" fontId="1" fillId="9" borderId="47" xfId="0" applyFont="1" applyFill="1" applyBorder="1"/>
    <xf numFmtId="0" fontId="1" fillId="9" borderId="32" xfId="0" applyFont="1" applyFill="1" applyBorder="1"/>
    <xf numFmtId="0" fontId="1" fillId="9" borderId="33" xfId="0" applyFont="1" applyFill="1" applyBorder="1"/>
    <xf numFmtId="0" fontId="1" fillId="9" borderId="34" xfId="0" applyFont="1" applyFill="1" applyBorder="1" applyAlignment="1">
      <alignment horizontal="right"/>
    </xf>
    <xf numFmtId="0" fontId="1" fillId="9" borderId="35" xfId="0" applyFont="1" applyFill="1" applyBorder="1" applyAlignment="1">
      <alignment horizontal="right"/>
    </xf>
    <xf numFmtId="0" fontId="1" fillId="9" borderId="36" xfId="0" applyFont="1" applyFill="1" applyBorder="1" applyAlignment="1">
      <alignment horizontal="right"/>
    </xf>
    <xf numFmtId="0" fontId="1" fillId="9" borderId="42" xfId="0" applyFont="1" applyFill="1" applyBorder="1"/>
    <xf numFmtId="0" fontId="1" fillId="9" borderId="48" xfId="0" applyFont="1" applyFill="1" applyBorder="1"/>
    <xf numFmtId="0" fontId="1" fillId="9" borderId="44" xfId="0" applyFont="1" applyFill="1" applyBorder="1"/>
    <xf numFmtId="0" fontId="1" fillId="9" borderId="49" xfId="0" applyFont="1" applyFill="1" applyBorder="1" applyAlignment="1">
      <alignment horizontal="right"/>
    </xf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2" fontId="1" fillId="9" borderId="4" xfId="0" applyNumberFormat="1" applyFont="1" applyFill="1" applyBorder="1"/>
    <xf numFmtId="2" fontId="1" fillId="9" borderId="42" xfId="0" applyNumberFormat="1" applyFont="1" applyFill="1" applyBorder="1"/>
    <xf numFmtId="2" fontId="1" fillId="9" borderId="44" xfId="0" applyNumberFormat="1" applyFont="1" applyFill="1" applyBorder="1"/>
    <xf numFmtId="0" fontId="0" fillId="9" borderId="43" xfId="0" applyFill="1" applyBorder="1" applyAlignment="1">
      <alignment horizontal="right"/>
    </xf>
    <xf numFmtId="0" fontId="0" fillId="9" borderId="45" xfId="0" applyFill="1" applyBorder="1" applyAlignment="1">
      <alignment horizontal="right"/>
    </xf>
    <xf numFmtId="0" fontId="0" fillId="9" borderId="46" xfId="0" applyFill="1" applyBorder="1" applyAlignment="1">
      <alignment horizontal="right"/>
    </xf>
    <xf numFmtId="0" fontId="0" fillId="9" borderId="50" xfId="0" applyFill="1" applyBorder="1"/>
    <xf numFmtId="0" fontId="1" fillId="9" borderId="51" xfId="0" applyFont="1" applyFill="1" applyBorder="1"/>
    <xf numFmtId="0" fontId="0" fillId="0" borderId="52" xfId="0" applyBorder="1"/>
    <xf numFmtId="0" fontId="0" fillId="9" borderId="51" xfId="0" applyFill="1" applyBorder="1"/>
    <xf numFmtId="2" fontId="1" fillId="9" borderId="8" xfId="0" applyNumberFormat="1" applyFont="1" applyFill="1" applyBorder="1"/>
    <xf numFmtId="2" fontId="1" fillId="0" borderId="0" xfId="0" applyNumberFormat="1" applyFont="1"/>
    <xf numFmtId="0" fontId="0" fillId="0" borderId="53" xfId="0" applyBorder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18" borderId="30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2" fontId="0" fillId="19" borderId="4" xfId="0" applyNumberFormat="1" applyFill="1" applyBorder="1" applyAlignment="1">
      <alignment horizontal="center"/>
    </xf>
    <xf numFmtId="1" fontId="0" fillId="19" borderId="4" xfId="0" applyNumberFormat="1" applyFill="1" applyBorder="1" applyAlignment="1">
      <alignment horizontal="center"/>
    </xf>
    <xf numFmtId="165" fontId="0" fillId="19" borderId="4" xfId="0" applyNumberFormat="1" applyFill="1" applyBorder="1" applyAlignment="1">
      <alignment horizontal="center"/>
    </xf>
    <xf numFmtId="11" fontId="0" fillId="0" borderId="0" xfId="0" applyNumberFormat="1"/>
    <xf numFmtId="164" fontId="0" fillId="12" borderId="4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0" fillId="0" borderId="55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21" borderId="56" xfId="0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1" fillId="15" borderId="40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0" fillId="22" borderId="0" xfId="0" applyFont="1" applyFill="1"/>
    <xf numFmtId="0" fontId="0" fillId="0" borderId="54" xfId="0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4"/>
  <sheetViews>
    <sheetView tabSelected="1" topLeftCell="A287" zoomScale="90" zoomScaleNormal="90" workbookViewId="0">
      <selection activeCell="O262" sqref="O262"/>
    </sheetView>
  </sheetViews>
  <sheetFormatPr baseColWidth="10" defaultRowHeight="14.4" x14ac:dyDescent="0.3"/>
  <cols>
    <col min="1" max="1" width="59.77734375" customWidth="1"/>
    <col min="2" max="2" width="16.109375" customWidth="1"/>
    <col min="3" max="3" width="21.33203125" customWidth="1"/>
    <col min="4" max="4" width="16.5546875" customWidth="1"/>
    <col min="5" max="5" width="14.5546875" customWidth="1"/>
    <col min="7" max="7" width="12.6640625" customWidth="1"/>
    <col min="14" max="14" width="15.33203125" customWidth="1"/>
  </cols>
  <sheetData>
    <row r="1" spans="1:15" ht="15" thickBot="1" x14ac:dyDescent="0.35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">
      <c r="A2" s="1" t="s">
        <v>0</v>
      </c>
      <c r="B2" s="1"/>
      <c r="C2" s="1"/>
      <c r="D2" s="1"/>
      <c r="E2" s="1"/>
    </row>
    <row r="3" spans="1:15" ht="15" thickBot="1" x14ac:dyDescent="0.35"/>
    <row r="4" spans="1:15" ht="15" thickBot="1" x14ac:dyDescent="0.35">
      <c r="A4" s="15" t="s">
        <v>2</v>
      </c>
    </row>
    <row r="5" spans="1:15" x14ac:dyDescent="0.3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35"/>
    <row r="10" spans="1:15" ht="15" thickBot="1" x14ac:dyDescent="0.35">
      <c r="A10" s="17" t="s">
        <v>7</v>
      </c>
      <c r="C10" s="18" t="s">
        <v>8</v>
      </c>
      <c r="D10" s="18" t="s">
        <v>9</v>
      </c>
    </row>
    <row r="11" spans="1:15" x14ac:dyDescent="0.3">
      <c r="A11" s="16" t="s">
        <v>57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">
      <c r="A12" s="9" t="s">
        <v>71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">
      <c r="A14" s="9" t="s">
        <v>62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35"/>
    <row r="16" spans="1:15" ht="15" thickBot="1" x14ac:dyDescent="0.35">
      <c r="A16" s="28" t="s">
        <v>28</v>
      </c>
      <c r="B16" s="29"/>
      <c r="C16" s="30"/>
    </row>
    <row r="17" spans="1:15" ht="15" thickBot="1" x14ac:dyDescent="0.35"/>
    <row r="18" spans="1:15" ht="16.2" thickBot="1" x14ac:dyDescent="0.35">
      <c r="A18" s="53" t="s">
        <v>58</v>
      </c>
      <c r="D18" s="57" t="s">
        <v>61</v>
      </c>
      <c r="E18" s="8" t="s">
        <v>11</v>
      </c>
      <c r="G18" s="8" t="s">
        <v>59</v>
      </c>
      <c r="H18" s="8" t="s">
        <v>173</v>
      </c>
      <c r="I18" s="8" t="s">
        <v>174</v>
      </c>
      <c r="J18" s="8" t="s">
        <v>175</v>
      </c>
      <c r="K18" s="84" t="s">
        <v>60</v>
      </c>
      <c r="L18" s="86" t="s">
        <v>72</v>
      </c>
      <c r="M18" s="87" t="s">
        <v>73</v>
      </c>
    </row>
    <row r="19" spans="1:15" ht="15" thickBot="1" x14ac:dyDescent="0.35">
      <c r="A19" s="54" t="s">
        <v>143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" thickBot="1" x14ac:dyDescent="0.35">
      <c r="A20" s="55" t="s">
        <v>142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" thickBot="1" x14ac:dyDescent="0.35">
      <c r="A21" s="55" t="s">
        <v>141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" thickBot="1" x14ac:dyDescent="0.35">
      <c r="A22" s="55" t="s">
        <v>144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" thickBot="1" x14ac:dyDescent="0.35">
      <c r="A23" s="56" t="s">
        <v>140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" thickBot="1" x14ac:dyDescent="0.35">
      <c r="A24" s="52"/>
      <c r="N24" s="91"/>
      <c r="O24" s="91"/>
    </row>
    <row r="25" spans="1:15" ht="15" thickBot="1" x14ac:dyDescent="0.35">
      <c r="A25" s="54" t="s">
        <v>139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" thickBot="1" x14ac:dyDescent="0.35">
      <c r="A26" s="55" t="s">
        <v>138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" thickBot="1" x14ac:dyDescent="0.35">
      <c r="A27" s="55" t="s">
        <v>137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" thickBot="1" x14ac:dyDescent="0.35">
      <c r="A28" s="55" t="s">
        <v>336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" thickBot="1" x14ac:dyDescent="0.35">
      <c r="A29" s="56" t="s">
        <v>136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" thickBot="1" x14ac:dyDescent="0.35">
      <c r="A30" s="52"/>
      <c r="N30" s="91"/>
      <c r="O30" s="91"/>
    </row>
    <row r="31" spans="1:15" ht="15" thickBot="1" x14ac:dyDescent="0.35">
      <c r="A31" s="54" t="s">
        <v>116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" thickBot="1" x14ac:dyDescent="0.35">
      <c r="A32" s="55" t="s">
        <v>115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" thickBot="1" x14ac:dyDescent="0.35">
      <c r="A33" s="55" t="s">
        <v>114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" thickBot="1" x14ac:dyDescent="0.35">
      <c r="A34" s="55" t="s">
        <v>113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" thickBot="1" x14ac:dyDescent="0.35">
      <c r="A35" s="55" t="s">
        <v>337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" thickBot="1" x14ac:dyDescent="0.35">
      <c r="A36" s="56" t="s">
        <v>112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" thickBot="1" x14ac:dyDescent="0.35">
      <c r="A37" s="52"/>
      <c r="N37" s="91"/>
      <c r="O37" s="91"/>
    </row>
    <row r="38" spans="1:15" ht="15" thickBot="1" x14ac:dyDescent="0.35">
      <c r="A38" s="54" t="s">
        <v>111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" thickBot="1" x14ac:dyDescent="0.35">
      <c r="A39" s="55" t="s">
        <v>110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" thickBot="1" x14ac:dyDescent="0.35">
      <c r="A40" s="55" t="s">
        <v>109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" thickBot="1" x14ac:dyDescent="0.35">
      <c r="A41" s="55" t="s">
        <v>108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" thickBot="1" x14ac:dyDescent="0.35">
      <c r="A42" s="55" t="s">
        <v>337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" thickBot="1" x14ac:dyDescent="0.35">
      <c r="A43" s="56" t="s">
        <v>107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" thickBot="1" x14ac:dyDescent="0.35">
      <c r="A44" s="52"/>
      <c r="N44" s="91"/>
      <c r="O44" s="91"/>
    </row>
    <row r="45" spans="1:15" ht="15" thickBot="1" x14ac:dyDescent="0.35">
      <c r="A45" s="54" t="s">
        <v>135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" thickBot="1" x14ac:dyDescent="0.35">
      <c r="A46" s="55" t="s">
        <v>134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" thickBot="1" x14ac:dyDescent="0.35">
      <c r="A47" s="55" t="s">
        <v>133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" thickBot="1" x14ac:dyDescent="0.35">
      <c r="A48" s="55" t="s">
        <v>147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" thickBot="1" x14ac:dyDescent="0.35">
      <c r="A49" s="56" t="s">
        <v>132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" thickBot="1" x14ac:dyDescent="0.35">
      <c r="A50" s="52"/>
      <c r="N50" s="91"/>
      <c r="O50" s="91"/>
    </row>
    <row r="51" spans="1:15" ht="15" thickBot="1" x14ac:dyDescent="0.35">
      <c r="A51" s="54" t="s">
        <v>131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" thickBot="1" x14ac:dyDescent="0.35">
      <c r="A52" s="55" t="s">
        <v>130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" thickBot="1" x14ac:dyDescent="0.35">
      <c r="A53" s="55" t="s">
        <v>129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" thickBot="1" x14ac:dyDescent="0.35">
      <c r="A54" s="55" t="s">
        <v>148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" thickBot="1" x14ac:dyDescent="0.35">
      <c r="A55" s="56" t="s">
        <v>128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" thickBot="1" x14ac:dyDescent="0.35">
      <c r="A56" s="52"/>
      <c r="N56" s="91"/>
      <c r="O56" s="91"/>
    </row>
    <row r="57" spans="1:15" ht="15" thickBot="1" x14ac:dyDescent="0.35">
      <c r="A57" s="54" t="s">
        <v>106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" thickBot="1" x14ac:dyDescent="0.35">
      <c r="A58" s="55" t="s">
        <v>105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" thickBot="1" x14ac:dyDescent="0.35">
      <c r="A59" s="55" t="s">
        <v>104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" thickBot="1" x14ac:dyDescent="0.35">
      <c r="A60" s="55" t="s">
        <v>103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" thickBot="1" x14ac:dyDescent="0.35">
      <c r="A61" s="55" t="s">
        <v>149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" thickBot="1" x14ac:dyDescent="0.35">
      <c r="A62" s="56" t="s">
        <v>102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" thickBot="1" x14ac:dyDescent="0.35">
      <c r="A63" s="52"/>
      <c r="N63" s="91"/>
      <c r="O63" s="91"/>
    </row>
    <row r="64" spans="1:15" ht="15" thickBot="1" x14ac:dyDescent="0.35">
      <c r="A64" s="54" t="s">
        <v>101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" thickBot="1" x14ac:dyDescent="0.35">
      <c r="A65" s="55" t="s">
        <v>100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" thickBot="1" x14ac:dyDescent="0.35">
      <c r="A66" s="55" t="s">
        <v>99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" thickBot="1" x14ac:dyDescent="0.35">
      <c r="A67" s="55" t="s">
        <v>98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" thickBot="1" x14ac:dyDescent="0.35">
      <c r="A68" s="55" t="s">
        <v>337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" thickBot="1" x14ac:dyDescent="0.35">
      <c r="A69" s="56" t="s">
        <v>97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" thickBot="1" x14ac:dyDescent="0.35">
      <c r="A70" s="52"/>
      <c r="N70" s="91"/>
      <c r="O70" s="91"/>
    </row>
    <row r="71" spans="1:15" ht="15" thickBot="1" x14ac:dyDescent="0.35">
      <c r="A71" s="54" t="s">
        <v>127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" thickBot="1" x14ac:dyDescent="0.35">
      <c r="A72" s="55" t="s">
        <v>126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" thickBot="1" x14ac:dyDescent="0.35">
      <c r="A73" s="55" t="s">
        <v>324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" thickBot="1" x14ac:dyDescent="0.35">
      <c r="A74" s="55" t="s">
        <v>338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" thickBot="1" x14ac:dyDescent="0.35">
      <c r="A75" s="56" t="s">
        <v>125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" thickBot="1" x14ac:dyDescent="0.35">
      <c r="A76" s="52"/>
      <c r="N76" s="91"/>
      <c r="O76" s="91"/>
    </row>
    <row r="77" spans="1:15" ht="15" thickBot="1" x14ac:dyDescent="0.35">
      <c r="A77" s="54" t="s">
        <v>124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" thickBot="1" x14ac:dyDescent="0.35">
      <c r="A78" s="55" t="s">
        <v>123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" thickBot="1" x14ac:dyDescent="0.35">
      <c r="A79" s="55" t="s">
        <v>325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" thickBot="1" x14ac:dyDescent="0.35">
      <c r="A80" s="55" t="s">
        <v>150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" thickBot="1" x14ac:dyDescent="0.35">
      <c r="A81" s="56" t="s">
        <v>122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" thickBot="1" x14ac:dyDescent="0.35">
      <c r="A82" s="52"/>
      <c r="N82" s="91"/>
      <c r="O82" s="91"/>
    </row>
    <row r="83" spans="1:15" ht="15" thickBot="1" x14ac:dyDescent="0.35">
      <c r="A83" s="54" t="s">
        <v>96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" thickBot="1" x14ac:dyDescent="0.35">
      <c r="A84" s="55" t="s">
        <v>95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" thickBot="1" x14ac:dyDescent="0.35">
      <c r="A85" s="55" t="s">
        <v>326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" thickBot="1" x14ac:dyDescent="0.35">
      <c r="A86" s="55" t="s">
        <v>327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" thickBot="1" x14ac:dyDescent="0.35">
      <c r="A87" s="55" t="s">
        <v>151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" thickBot="1" x14ac:dyDescent="0.35">
      <c r="A88" s="56" t="s">
        <v>94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" thickBot="1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" thickBot="1" x14ac:dyDescent="0.35">
      <c r="A90" s="54" t="s">
        <v>93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" thickBot="1" x14ac:dyDescent="0.35">
      <c r="A91" s="55" t="s">
        <v>92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" thickBot="1" x14ac:dyDescent="0.35">
      <c r="A92" s="55" t="s">
        <v>328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" thickBot="1" x14ac:dyDescent="0.35">
      <c r="A93" s="55" t="s">
        <v>329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" thickBot="1" x14ac:dyDescent="0.35">
      <c r="A94" s="55" t="s">
        <v>151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" thickBot="1" x14ac:dyDescent="0.35">
      <c r="A95" s="56" t="s">
        <v>91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" thickBot="1" x14ac:dyDescent="0.35">
      <c r="N96" s="92"/>
      <c r="O96" s="92"/>
    </row>
    <row r="97" spans="1:15" s="52" customFormat="1" ht="15" thickBot="1" x14ac:dyDescent="0.35">
      <c r="A97" s="54" t="s">
        <v>121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" thickBot="1" x14ac:dyDescent="0.35">
      <c r="A98" s="55" t="s">
        <v>120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" thickBot="1" x14ac:dyDescent="0.35">
      <c r="A99" s="55" t="s">
        <v>330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" thickBot="1" x14ac:dyDescent="0.35">
      <c r="A100" s="55" t="s">
        <v>152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" thickBot="1" x14ac:dyDescent="0.35">
      <c r="A101" s="56" t="s">
        <v>119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" thickBot="1" x14ac:dyDescent="0.35">
      <c r="N102" s="92"/>
      <c r="O102" s="92"/>
    </row>
    <row r="103" spans="1:15" s="52" customFormat="1" ht="15" thickBot="1" x14ac:dyDescent="0.35">
      <c r="A103" s="54" t="s">
        <v>118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" thickBot="1" x14ac:dyDescent="0.35">
      <c r="A104" s="55" t="s">
        <v>117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" thickBot="1" x14ac:dyDescent="0.35">
      <c r="A105" s="55" t="s">
        <v>331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" thickBot="1" x14ac:dyDescent="0.35">
      <c r="A106" s="55" t="s">
        <v>153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" thickBot="1" x14ac:dyDescent="0.35">
      <c r="A107" s="56" t="s">
        <v>90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" thickBot="1" x14ac:dyDescent="0.35">
      <c r="N108" s="92"/>
      <c r="O108" s="92"/>
    </row>
    <row r="109" spans="1:15" s="52" customFormat="1" ht="15" thickBot="1" x14ac:dyDescent="0.35">
      <c r="A109" s="54" t="s">
        <v>89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" thickBot="1" x14ac:dyDescent="0.35">
      <c r="A110" s="55" t="s">
        <v>88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" thickBot="1" x14ac:dyDescent="0.35">
      <c r="A111" s="55" t="s">
        <v>332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" thickBot="1" x14ac:dyDescent="0.35">
      <c r="A112" s="55" t="s">
        <v>335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" thickBot="1" x14ac:dyDescent="0.35">
      <c r="A113" s="55" t="s">
        <v>154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" thickBot="1" x14ac:dyDescent="0.35">
      <c r="A114" s="56" t="s">
        <v>87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" thickBot="1" x14ac:dyDescent="0.35">
      <c r="N115" s="92"/>
      <c r="O115" s="92"/>
    </row>
    <row r="116" spans="1:15" s="52" customFormat="1" ht="15" thickBot="1" x14ac:dyDescent="0.35">
      <c r="A116" s="54" t="s">
        <v>86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" thickBot="1" x14ac:dyDescent="0.35">
      <c r="A117" s="55" t="s">
        <v>85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" thickBot="1" x14ac:dyDescent="0.35">
      <c r="A118" s="55" t="s">
        <v>333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" thickBot="1" x14ac:dyDescent="0.35">
      <c r="A119" s="55" t="s">
        <v>334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" thickBot="1" x14ac:dyDescent="0.35">
      <c r="A120" s="55" t="s">
        <v>154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" thickBot="1" x14ac:dyDescent="0.35">
      <c r="A121" s="56" t="s">
        <v>84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" thickBot="1" x14ac:dyDescent="0.35">
      <c r="N122" s="92"/>
      <c r="O122" s="92"/>
    </row>
    <row r="123" spans="1:15" s="52" customFormat="1" ht="15" thickBot="1" x14ac:dyDescent="0.35">
      <c r="A123" s="54" t="s">
        <v>83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" thickBot="1" x14ac:dyDescent="0.35">
      <c r="A124" s="55" t="s">
        <v>82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" thickBot="1" x14ac:dyDescent="0.35">
      <c r="A125" s="56" t="s">
        <v>81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3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3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" thickBot="1" x14ac:dyDescent="0.35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35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35"/>
    <row r="145" spans="1:15" ht="15" thickBot="1" x14ac:dyDescent="0.35">
      <c r="A145" s="12" t="s">
        <v>15</v>
      </c>
      <c r="C145" s="11" t="s">
        <v>18</v>
      </c>
    </row>
    <row r="146" spans="1:15" ht="15" thickBot="1" x14ac:dyDescent="0.35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35">
      <c r="A147" s="47" t="s">
        <v>56</v>
      </c>
      <c r="B147" s="35" t="s">
        <v>35</v>
      </c>
      <c r="D147" s="31" t="s">
        <v>55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35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35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35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35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35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35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35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35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35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35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35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35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35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35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35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35"/>
    <row r="166" spans="1:15" ht="15" thickBot="1" x14ac:dyDescent="0.35">
      <c r="A166" s="13" t="s">
        <v>19</v>
      </c>
      <c r="G166" s="77" t="s">
        <v>59</v>
      </c>
      <c r="H166" s="77" t="s">
        <v>173</v>
      </c>
      <c r="I166" s="77" t="s">
        <v>174</v>
      </c>
      <c r="J166" s="77" t="s">
        <v>175</v>
      </c>
      <c r="K166" s="8" t="s">
        <v>60</v>
      </c>
      <c r="L166" s="8" t="s">
        <v>72</v>
      </c>
      <c r="M166" s="85" t="s">
        <v>73</v>
      </c>
      <c r="N166" s="18" t="s">
        <v>8</v>
      </c>
      <c r="O166" s="18" t="s">
        <v>9</v>
      </c>
    </row>
    <row r="167" spans="1:15" ht="15" thickBot="1" x14ac:dyDescent="0.35">
      <c r="A167" s="54" t="s">
        <v>83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SUM(N$161:N$162)+N$160+N123</f>
        <v>5.6920000000000002</v>
      </c>
      <c r="O167" s="100">
        <f t="shared" ref="O167" si="132">SUM(O$161:O$162)+O$160+O123</f>
        <v>6.4250000000000007</v>
      </c>
    </row>
    <row r="168" spans="1:15" ht="15" thickBot="1" x14ac:dyDescent="0.35">
      <c r="A168" s="55" t="s">
        <v>82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O169" si="133">SUM(K$161:K$162)+K$160+K124</f>
        <v>48.921999999999997</v>
      </c>
      <c r="L168" s="111">
        <f t="shared" si="133"/>
        <v>52.695</v>
      </c>
      <c r="M168" s="113">
        <f t="shared" si="133"/>
        <v>56.1</v>
      </c>
      <c r="N168" s="100">
        <f t="shared" si="133"/>
        <v>6.2799999999999994</v>
      </c>
      <c r="O168" s="100">
        <f t="shared" si="133"/>
        <v>6.8850000000000007</v>
      </c>
    </row>
    <row r="169" spans="1:15" ht="15" thickBot="1" x14ac:dyDescent="0.35">
      <c r="A169" s="56" t="s">
        <v>81</v>
      </c>
      <c r="G169" s="112">
        <f>SUM(G161:G162)+G160+G125</f>
        <v>43.888999999999996</v>
      </c>
      <c r="H169" s="112">
        <f t="shared" ref="H169" si="134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3"/>
        <v>49.510000000000005</v>
      </c>
      <c r="L169" s="112">
        <f t="shared" si="133"/>
        <v>53.325000000000003</v>
      </c>
      <c r="M169" s="110">
        <f t="shared" si="133"/>
        <v>57.075000000000003</v>
      </c>
      <c r="N169" s="100">
        <f t="shared" si="133"/>
        <v>6.7210000000000001</v>
      </c>
      <c r="O169" s="100">
        <f t="shared" si="133"/>
        <v>7.23</v>
      </c>
    </row>
    <row r="170" spans="1:15" ht="15" thickBot="1" x14ac:dyDescent="0.35"/>
    <row r="171" spans="1:15" ht="15" thickBot="1" x14ac:dyDescent="0.35">
      <c r="A171" s="54" t="s">
        <v>143</v>
      </c>
      <c r="G171" s="58">
        <f>SUM(G$161:G$162)+G$159+G$158+G$157+$G19</f>
        <v>36.242999999999995</v>
      </c>
      <c r="H171" s="58">
        <f>SUM(H$161:H$162)+H$159+H$158+H$157+$H19</f>
        <v>36.802999999999997</v>
      </c>
      <c r="I171" s="58">
        <f>SUM(I$161:I$162)+I$159+I$158+I$157+$I19</f>
        <v>37.835000000000001</v>
      </c>
      <c r="J171" s="58">
        <f>SUM(J$161:J$162)+J$159+J$158+J$157+$J19</f>
        <v>39.374000000000002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SUM(M$161:M$162)+M$159+M$158+M$157+$M19</f>
        <v>48.174999999999997</v>
      </c>
      <c r="N171" s="100">
        <f>SUM(N$161:N$162)+N$159+N$158+N$157+$N19</f>
        <v>8.036999999999999</v>
      </c>
      <c r="O171" s="100">
        <f>SUM(O$161:O$162)+O$159+O$158+O$157+$O19</f>
        <v>8.0350000000000001</v>
      </c>
    </row>
    <row r="172" spans="1:15" ht="15" thickBot="1" x14ac:dyDescent="0.35">
      <c r="A172" s="55" t="s">
        <v>142</v>
      </c>
      <c r="G172" s="58">
        <f>SUM(G$161:G$162)+G$159+G$158+G$157+$G20</f>
        <v>36.096000000000004</v>
      </c>
      <c r="H172" s="58">
        <f>SUM(H$161:H$162)+H$159+H$158+H$157+$H20</f>
        <v>36.607999999999997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5">SUM(L$161:L$162)+L$159+L$158+L$157+$L20</f>
        <v>43.61</v>
      </c>
      <c r="M172" s="58">
        <f>SUM(M$161:M$162)+M$159+M$158+M$157+$M20</f>
        <v>47.2</v>
      </c>
      <c r="N172" s="100">
        <f>SUM(N$161:N$162)+N$159+N$158+N$157+$N20</f>
        <v>7.5959999999999992</v>
      </c>
      <c r="O172" s="100">
        <f>SUM(O$161:O$162)+O$159+O$158+O$157+$O20</f>
        <v>7.69</v>
      </c>
    </row>
    <row r="173" spans="1:15" ht="15" thickBot="1" x14ac:dyDescent="0.35">
      <c r="A173" s="55" t="s">
        <v>141</v>
      </c>
      <c r="G173" s="58">
        <f>SUM(G$161:G$162)+G$159+G$158+G$157+$G21</f>
        <v>35.9</v>
      </c>
      <c r="H173" s="58">
        <f>SUM(H$161:H$162)+H$159+H$158+H$157+$H21</f>
        <v>36.347999999999999</v>
      </c>
      <c r="I173" s="58">
        <f>SUM(I$161:I$162)+I$159+I$158+I$157+$I21</f>
        <v>37.17</v>
      </c>
      <c r="J173" s="58">
        <f>SUM(J$161:J$162)+J$159+J$158+J$157+$J21</f>
        <v>37.414000000000001</v>
      </c>
      <c r="K173" s="58">
        <f t="shared" ref="K173:K174" si="136">SUM(K$161:K$162)+K$159+K$158+K$157+$K21</f>
        <v>39.908000000000001</v>
      </c>
      <c r="L173" s="58">
        <f t="shared" si="135"/>
        <v>42.769999999999996</v>
      </c>
      <c r="M173" s="58">
        <f>SUM(M$161:M$162)+M$159+M$158+M$157+M$21</f>
        <v>45.9</v>
      </c>
      <c r="N173" s="100">
        <f t="shared" ref="N173:O173" si="137">SUM(N$161:N$162)+N$159+N$158+N$157+N$21</f>
        <v>7.008</v>
      </c>
      <c r="O173" s="100">
        <f t="shared" si="137"/>
        <v>7.23</v>
      </c>
    </row>
    <row r="174" spans="1:15" ht="15" thickBot="1" x14ac:dyDescent="0.35">
      <c r="A174" s="55" t="s">
        <v>144</v>
      </c>
      <c r="G174" s="58">
        <f>SUM(G$161:G$162)+G$159+G$158+G$157+$G22</f>
        <v>35.262999999999998</v>
      </c>
      <c r="H174" s="58">
        <f>SUM(H$161:H$162)+H$159+H$158+H$157+$H22</f>
        <v>35.503</v>
      </c>
      <c r="I174" s="58">
        <f>SUM(I$161:I$162)+I$159+I$158+I$157+$I22</f>
        <v>35.935000000000002</v>
      </c>
      <c r="J174" s="58">
        <f>SUM(J$161:J$162)+J$159+J$158+J$157+$J22</f>
        <v>35.594000000000001</v>
      </c>
      <c r="K174" s="58">
        <f t="shared" si="136"/>
        <v>37.36</v>
      </c>
      <c r="L174" s="58">
        <f t="shared" si="135"/>
        <v>40.04</v>
      </c>
      <c r="M174" s="58">
        <f>SUM(M$161:M$162)+M$159+M$158+M$157+M$22</f>
        <v>41.674999999999997</v>
      </c>
      <c r="N174" s="100">
        <f t="shared" ref="N174:O174" si="138">SUM(N$161:N$162)+N$159+N$158+N$157+N$22</f>
        <v>5.0969999999999995</v>
      </c>
      <c r="O174" s="100">
        <f t="shared" si="138"/>
        <v>5.7350000000000003</v>
      </c>
    </row>
    <row r="175" spans="1:15" ht="15" thickBot="1" x14ac:dyDescent="0.35">
      <c r="A175" s="56" t="s">
        <v>140</v>
      </c>
      <c r="G175" s="63">
        <f t="shared" ref="G175" si="139">SUM(G$161:G$162)+G$159+G$158+G$157+$G23</f>
        <v>35.997999999999998</v>
      </c>
      <c r="H175" s="63">
        <f>SUM(H$161:H$162)+H$159+H$158+H$157+$H23</f>
        <v>36.478000000000002</v>
      </c>
      <c r="I175" s="63">
        <f>SUM(I$161:I$162)+I$159+I$158+I$157+$I23</f>
        <v>37.36</v>
      </c>
      <c r="J175" s="63">
        <f>SUM(J$161:J$162)+J$159+J$158+J$157+$J23</f>
        <v>37.694000000000003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>SUM(M$161:M$162)+M$159+M$158+M$157+M$23</f>
        <v>46.55</v>
      </c>
      <c r="N175" s="100">
        <f t="shared" ref="N175:O175" si="140">SUM(N$161:N$162)+N$159+N$158+N$157+N$23</f>
        <v>7.3019999999999996</v>
      </c>
      <c r="O175" s="100">
        <f t="shared" si="140"/>
        <v>7.46</v>
      </c>
    </row>
    <row r="176" spans="1:15" ht="15" thickBot="1" x14ac:dyDescent="0.35">
      <c r="A176" s="52"/>
    </row>
    <row r="177" spans="1:15" ht="15" thickBot="1" x14ac:dyDescent="0.35">
      <c r="A177" s="54" t="s">
        <v>139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SUM(M$161:M$162)+M$159+M$158+M$157+$M25</f>
        <v>48.174999999999997</v>
      </c>
      <c r="N177" s="100">
        <f>SUM(N$161:N$162)+N$159+N$158+N$157+$N25</f>
        <v>8.036999999999999</v>
      </c>
      <c r="O177" s="100">
        <f>SUM(O$161:O$162)+O$159+O$158+O$157+$O25</f>
        <v>8.0350000000000001</v>
      </c>
    </row>
    <row r="178" spans="1:15" ht="15" thickBot="1" x14ac:dyDescent="0.35">
      <c r="A178" s="55" t="s">
        <v>138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41">SUM(I$161:I$162)+I$159+I$158+I$157+$I26</f>
        <v>37.17</v>
      </c>
      <c r="J178" s="58">
        <f t="shared" ref="J178:J181" si="142">SUM(J$161:J$162)+J$159+J$158+J$157+$J26</f>
        <v>38.393999999999998</v>
      </c>
      <c r="K178" s="58">
        <f t="shared" ref="K178:K181" si="143">SUM(K$161:K$162)+K$159+K$158+K$157+$K26</f>
        <v>39.908000000000001</v>
      </c>
      <c r="L178" s="58">
        <f t="shared" ref="L178:L181" si="144">SUM(L$161:L$162)+L$159+L$158+L$157+$L26</f>
        <v>42.769999999999996</v>
      </c>
      <c r="M178" s="58">
        <f>SUM(M$161:M$162)+M$159+M$158+M$157+$M26</f>
        <v>45.9</v>
      </c>
      <c r="N178" s="100">
        <f>SUM(N$161:N$162)+N$159+N$158+N$157+$N26</f>
        <v>7.008</v>
      </c>
      <c r="O178" s="100">
        <f>SUM(O$161:O$162)+O$159+O$158+O$157+$O26</f>
        <v>7.23</v>
      </c>
    </row>
    <row r="179" spans="1:15" ht="15" thickBot="1" x14ac:dyDescent="0.35">
      <c r="A179" s="55" t="s">
        <v>137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41"/>
        <v>37.17</v>
      </c>
      <c r="J179" s="58">
        <f t="shared" si="142"/>
        <v>38.393999999999998</v>
      </c>
      <c r="K179" s="58">
        <f t="shared" si="143"/>
        <v>39.908000000000001</v>
      </c>
      <c r="L179" s="58">
        <f t="shared" si="144"/>
        <v>42.769999999999996</v>
      </c>
      <c r="M179" s="58">
        <f>SUM(M$161:M$162)+M$159+M$158+M$157+$M27</f>
        <v>45.9</v>
      </c>
      <c r="N179" s="100">
        <f>SUM(N$161:N$162)+N$159+N$158+N$157+$N27</f>
        <v>7.008</v>
      </c>
      <c r="O179" s="100">
        <f>SUM(O$161:O$162)+O$159+O$158+O$157+$O27</f>
        <v>7.23</v>
      </c>
    </row>
    <row r="180" spans="1:15" ht="15" thickBot="1" x14ac:dyDescent="0.35">
      <c r="A180" s="55" t="s">
        <v>145</v>
      </c>
      <c r="G180" s="58">
        <f t="shared" ref="G180:G181" si="145">SUM(G$161:G$162)+G$159+G$158+G$157+G28</f>
        <v>35.262999999999998</v>
      </c>
      <c r="H180" s="58">
        <f t="shared" ref="H180:H181" si="146">SUM(H$161:H$162)+H$159+H$158+H$157+$H28</f>
        <v>35.503</v>
      </c>
      <c r="I180" s="58">
        <f>SUM(I$161:I$162)+I$159+I$158+I$157+$I28</f>
        <v>35.935000000000002</v>
      </c>
      <c r="J180" s="58">
        <f t="shared" si="142"/>
        <v>36.573999999999998</v>
      </c>
      <c r="K180" s="58">
        <f t="shared" si="143"/>
        <v>37.36</v>
      </c>
      <c r="L180" s="58">
        <f t="shared" si="144"/>
        <v>40.04</v>
      </c>
      <c r="M180" s="58">
        <f>SUM(M$161:M$162)+M$159+M$158+M$157+$M28</f>
        <v>41.674999999999997</v>
      </c>
      <c r="N180" s="100">
        <f>SUM(N$161:N$162)+N$159+N$158+N$157+$N28</f>
        <v>5.0969999999999995</v>
      </c>
      <c r="O180" s="100">
        <f>SUM(O$161:O$162)+O$159+O$158+O$157+$O28</f>
        <v>5.7350000000000003</v>
      </c>
    </row>
    <row r="181" spans="1:15" ht="15" thickBot="1" x14ac:dyDescent="0.35">
      <c r="A181" s="56" t="s">
        <v>136</v>
      </c>
      <c r="G181" s="63">
        <f t="shared" si="145"/>
        <v>35.997999999999998</v>
      </c>
      <c r="H181" s="63">
        <f t="shared" si="146"/>
        <v>36.478000000000002</v>
      </c>
      <c r="I181" s="63">
        <f t="shared" si="141"/>
        <v>37.36</v>
      </c>
      <c r="J181" s="63">
        <f t="shared" si="142"/>
        <v>38.673999999999999</v>
      </c>
      <c r="K181" s="63">
        <f t="shared" si="143"/>
        <v>40.299999999999997</v>
      </c>
      <c r="L181" s="63">
        <f t="shared" si="144"/>
        <v>43.19</v>
      </c>
      <c r="M181" s="63">
        <f>SUM(M$161:M$162)+M$159+M$158+M$157+$M29</f>
        <v>46.55</v>
      </c>
      <c r="N181" s="100">
        <f>SUM(N$161:N$162)+N$159+N$158+N$157+$N29</f>
        <v>7.3019999999999996</v>
      </c>
      <c r="O181" s="100">
        <f>SUM(O$161:O$162)+O$159+O$158+O$157+$O29</f>
        <v>7.46</v>
      </c>
    </row>
    <row r="182" spans="1:15" ht="15" thickBot="1" x14ac:dyDescent="0.35">
      <c r="A182" s="52"/>
    </row>
    <row r="183" spans="1:15" ht="15" thickBot="1" x14ac:dyDescent="0.35">
      <c r="A183" s="54" t="s">
        <v>116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 t="shared" ref="M183:M188" si="147">SUM(M$161:M$162)+M$159+M$158+M$157+$M31</f>
        <v>48.25</v>
      </c>
      <c r="N183" s="100">
        <f t="shared" ref="N183:N188" si="148">SUM(N$161:N$162)+N$159+N$158+N$157+$N31</f>
        <v>6.7139999999999995</v>
      </c>
      <c r="O183" s="100">
        <f t="shared" ref="O183:O188" si="149">SUM(O$161:O$162)+O$159+O$158+O$157+$O31</f>
        <v>7.0000000000000009</v>
      </c>
    </row>
    <row r="184" spans="1:15" ht="15" thickBot="1" x14ac:dyDescent="0.35">
      <c r="A184" s="55" t="s">
        <v>115</v>
      </c>
      <c r="G184" s="58">
        <f t="shared" ref="G184:G188" si="150">SUM(G$161:G$162)+G$159+G$158+G$157+G32</f>
        <v>38.683999999999997</v>
      </c>
      <c r="H184" s="58">
        <f t="shared" ref="H184:H188" si="151">SUM(H$161:H$162)+H$159+H$158+H$157+$H32</f>
        <v>39.387999999999998</v>
      </c>
      <c r="I184" s="58">
        <f t="shared" ref="I184:I188" si="152">SUM(I$161:I$162)+I$159+I$158+I$157+$I32</f>
        <v>40.69</v>
      </c>
      <c r="J184" s="58">
        <f t="shared" ref="J184:J188" si="153">SUM(J$161:J$162)+J$159+J$158+J$157+$J32</f>
        <v>42.634</v>
      </c>
      <c r="K184" s="58">
        <f t="shared" ref="K184:K188" si="154">SUM(K$161:K$162)+K$159+K$158+K$157+$K32</f>
        <v>45.043999999999997</v>
      </c>
      <c r="L184" s="58">
        <f t="shared" ref="L184:L188" si="155">SUM(L$161:L$162)+L$159+L$158+L$157+$L32</f>
        <v>49.129999999999995</v>
      </c>
      <c r="M184" s="58">
        <f t="shared" si="147"/>
        <v>54.099999999999994</v>
      </c>
      <c r="N184" s="100">
        <f t="shared" si="148"/>
        <v>9.36</v>
      </c>
      <c r="O184" s="100">
        <f t="shared" si="149"/>
        <v>9.07</v>
      </c>
    </row>
    <row r="185" spans="1:15" ht="15" thickBot="1" x14ac:dyDescent="0.35">
      <c r="A185" s="55" t="s">
        <v>114</v>
      </c>
      <c r="G185" s="58">
        <f t="shared" si="150"/>
        <v>37.753</v>
      </c>
      <c r="H185" s="58">
        <f t="shared" si="151"/>
        <v>38.152999999999999</v>
      </c>
      <c r="I185" s="58">
        <f t="shared" si="152"/>
        <v>38.885000000000005</v>
      </c>
      <c r="J185" s="58">
        <f t="shared" si="153"/>
        <v>39.974000000000004</v>
      </c>
      <c r="K185" s="58">
        <f t="shared" si="154"/>
        <v>41.32</v>
      </c>
      <c r="L185" s="58">
        <f t="shared" si="155"/>
        <v>45.14</v>
      </c>
      <c r="M185" s="58">
        <f t="shared" si="147"/>
        <v>47.924999999999997</v>
      </c>
      <c r="N185" s="100">
        <f t="shared" si="148"/>
        <v>6.5669999999999993</v>
      </c>
      <c r="O185" s="100">
        <f t="shared" si="149"/>
        <v>6.8850000000000007</v>
      </c>
    </row>
    <row r="186" spans="1:15" ht="15" thickBot="1" x14ac:dyDescent="0.35">
      <c r="A186" s="55" t="s">
        <v>113</v>
      </c>
      <c r="G186" s="58">
        <f t="shared" si="150"/>
        <v>38.781999999999996</v>
      </c>
      <c r="H186" s="58">
        <f t="shared" si="151"/>
        <v>39.518000000000001</v>
      </c>
      <c r="I186" s="58">
        <f t="shared" si="152"/>
        <v>40.880000000000003</v>
      </c>
      <c r="J186" s="58">
        <f t="shared" si="153"/>
        <v>42.914000000000001</v>
      </c>
      <c r="K186" s="58">
        <f t="shared" si="154"/>
        <v>45.436000000000007</v>
      </c>
      <c r="L186" s="58">
        <f t="shared" si="155"/>
        <v>49.55</v>
      </c>
      <c r="M186" s="58">
        <f t="shared" si="147"/>
        <v>54.75</v>
      </c>
      <c r="N186" s="100">
        <f t="shared" si="148"/>
        <v>9.6539999999999999</v>
      </c>
      <c r="O186" s="100">
        <f t="shared" si="149"/>
        <v>9.3000000000000007</v>
      </c>
    </row>
    <row r="187" spans="1:15" ht="15" thickBot="1" x14ac:dyDescent="0.35">
      <c r="A187" s="55" t="s">
        <v>146</v>
      </c>
      <c r="G187" s="58">
        <f t="shared" si="150"/>
        <v>37.753</v>
      </c>
      <c r="H187" s="58">
        <f t="shared" si="151"/>
        <v>38.152999999999999</v>
      </c>
      <c r="I187" s="58">
        <f t="shared" si="152"/>
        <v>38.885000000000005</v>
      </c>
      <c r="J187" s="58">
        <f t="shared" si="153"/>
        <v>39.974000000000004</v>
      </c>
      <c r="K187" s="58">
        <f t="shared" si="154"/>
        <v>41.32</v>
      </c>
      <c r="L187" s="58">
        <f t="shared" si="155"/>
        <v>45.14</v>
      </c>
      <c r="M187" s="58">
        <f t="shared" si="147"/>
        <v>47.924999999999997</v>
      </c>
      <c r="N187" s="100">
        <f t="shared" si="148"/>
        <v>6.5669999999999993</v>
      </c>
      <c r="O187" s="100">
        <f t="shared" si="149"/>
        <v>6.8850000000000007</v>
      </c>
    </row>
    <row r="188" spans="1:15" ht="15" thickBot="1" x14ac:dyDescent="0.35">
      <c r="A188" s="56" t="s">
        <v>112</v>
      </c>
      <c r="G188" s="63">
        <f t="shared" si="150"/>
        <v>37.311999999999998</v>
      </c>
      <c r="H188" s="63">
        <f t="shared" si="151"/>
        <v>37.567999999999998</v>
      </c>
      <c r="I188" s="63">
        <f t="shared" si="152"/>
        <v>38.03</v>
      </c>
      <c r="J188" s="63">
        <f t="shared" si="153"/>
        <v>38.713999999999999</v>
      </c>
      <c r="K188" s="63">
        <f t="shared" si="154"/>
        <v>39.555999999999997</v>
      </c>
      <c r="L188" s="63">
        <f t="shared" si="155"/>
        <v>43.25</v>
      </c>
      <c r="M188" s="63">
        <f t="shared" si="147"/>
        <v>45</v>
      </c>
      <c r="N188" s="100">
        <f t="shared" si="148"/>
        <v>5.2439999999999998</v>
      </c>
      <c r="O188" s="100">
        <f t="shared" si="149"/>
        <v>5.85</v>
      </c>
    </row>
    <row r="189" spans="1:15" ht="15" thickBot="1" x14ac:dyDescent="0.35">
      <c r="A189" s="52"/>
    </row>
    <row r="190" spans="1:15" ht="15" thickBot="1" x14ac:dyDescent="0.35">
      <c r="A190" s="54" t="s">
        <v>111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SUM(L$161:L$162)+L$159+L$158+L$157+$L38</f>
        <v>45.35</v>
      </c>
      <c r="M190" s="58">
        <f>SUM(M$161:M$162)+M$159+M$158+M$157+$M38</f>
        <v>48.25</v>
      </c>
      <c r="N190" s="100">
        <f>SUM(N$161:N$162)+N$159+N$158+N$157+$N38</f>
        <v>6.7139999999999995</v>
      </c>
      <c r="O190" s="100">
        <f>SUM(O$161:O$162)+O$159+O$158+O$157+$O38</f>
        <v>7.0000000000000009</v>
      </c>
    </row>
    <row r="191" spans="1:15" ht="15" thickBot="1" x14ac:dyDescent="0.35">
      <c r="A191" s="55" t="s">
        <v>110</v>
      </c>
      <c r="G191" s="58">
        <f t="shared" ref="G191:G195" si="156">SUM(G$161:G$162)+G$159+G$158+G$157+G39</f>
        <v>38.683999999999997</v>
      </c>
      <c r="H191" s="58">
        <f t="shared" ref="H191:H195" si="157">SUM(H$161:H$162)+H$159+H$158+H$157+$H39</f>
        <v>39.387999999999998</v>
      </c>
      <c r="I191" s="58">
        <f t="shared" ref="I191:I195" si="158">SUM(I$161:I$162)+I$159+I$158+I$157+$I39</f>
        <v>38.408100000000005</v>
      </c>
      <c r="J191" s="58">
        <f t="shared" ref="J191:J195" si="159">SUM(J$161:J$162)+J$159+J$158+J$157+$J39</f>
        <v>41.396680000000003</v>
      </c>
      <c r="K191" s="58">
        <f>SUM(K$161:K$162)+K$159+K$158+K$157+K$39</f>
        <v>45.043999999999997</v>
      </c>
      <c r="L191" s="58">
        <f t="shared" ref="L191:O191" si="160">SUM(L$161:L$162)+L$159+L$158+L$157+L$39</f>
        <v>49.129999999999995</v>
      </c>
      <c r="M191" s="58">
        <f t="shared" si="160"/>
        <v>54.099999999999994</v>
      </c>
      <c r="N191" s="100">
        <f t="shared" si="160"/>
        <v>9.36</v>
      </c>
      <c r="O191" s="100">
        <f t="shared" si="160"/>
        <v>9.07</v>
      </c>
    </row>
    <row r="192" spans="1:15" ht="15" thickBot="1" x14ac:dyDescent="0.35">
      <c r="A192" s="55" t="s">
        <v>109</v>
      </c>
      <c r="G192" s="58">
        <f t="shared" si="156"/>
        <v>37.753</v>
      </c>
      <c r="H192" s="58">
        <f t="shared" si="157"/>
        <v>38.152999999999999</v>
      </c>
      <c r="I192" s="58">
        <f t="shared" si="158"/>
        <v>38.408100000000005</v>
      </c>
      <c r="J192" s="58">
        <f t="shared" si="159"/>
        <v>41.26634</v>
      </c>
      <c r="K192" s="58">
        <f>SUM(K$161:K$162)+K$159+K$158+K$157+K$40</f>
        <v>41.32</v>
      </c>
      <c r="L192" s="58">
        <f t="shared" ref="L192:O192" si="161">SUM(L$161:L$162)+L$159+L$158+L$157+L$40</f>
        <v>45.14</v>
      </c>
      <c r="M192" s="58">
        <f t="shared" si="161"/>
        <v>47.924999999999997</v>
      </c>
      <c r="N192" s="100">
        <f t="shared" si="161"/>
        <v>6.5669999999999993</v>
      </c>
      <c r="O192" s="100">
        <f t="shared" si="161"/>
        <v>6.8850000000000007</v>
      </c>
    </row>
    <row r="193" spans="1:15" ht="15" thickBot="1" x14ac:dyDescent="0.35">
      <c r="A193" s="55" t="s">
        <v>108</v>
      </c>
      <c r="G193" s="58">
        <f t="shared" si="156"/>
        <v>38.781999999999996</v>
      </c>
      <c r="H193" s="58">
        <f t="shared" si="157"/>
        <v>39.518000000000001</v>
      </c>
      <c r="I193" s="58">
        <f t="shared" si="158"/>
        <v>38.408100000000005</v>
      </c>
      <c r="J193" s="58">
        <f t="shared" si="159"/>
        <v>41.410399999999996</v>
      </c>
      <c r="K193" s="58">
        <f>SUM(K$161:K$162)+K$159+K$158+K$157+K$41</f>
        <v>45.436000000000007</v>
      </c>
      <c r="L193" s="58">
        <f t="shared" ref="L193:O193" si="162">SUM(L$161:L$162)+L$159+L$158+L$157+L$41</f>
        <v>49.55</v>
      </c>
      <c r="M193" s="58">
        <f t="shared" si="162"/>
        <v>54.75</v>
      </c>
      <c r="N193" s="100">
        <f t="shared" si="162"/>
        <v>9.6539999999999999</v>
      </c>
      <c r="O193" s="100">
        <f t="shared" si="162"/>
        <v>9.3000000000000007</v>
      </c>
    </row>
    <row r="194" spans="1:15" ht="15" thickBot="1" x14ac:dyDescent="0.35">
      <c r="A194" s="55" t="s">
        <v>146</v>
      </c>
      <c r="G194" s="58">
        <f t="shared" si="156"/>
        <v>37.753</v>
      </c>
      <c r="H194" s="58">
        <f t="shared" si="157"/>
        <v>38.152999999999999</v>
      </c>
      <c r="I194" s="58">
        <f t="shared" si="158"/>
        <v>38.408100000000005</v>
      </c>
      <c r="J194" s="58">
        <f t="shared" si="159"/>
        <v>41.26634</v>
      </c>
      <c r="K194" s="58">
        <f>SUM(K$161:K$162)+K$159+K$158+K$157+K$42</f>
        <v>41.32</v>
      </c>
      <c r="L194" s="58">
        <f t="shared" ref="L194:O194" si="163">SUM(L$161:L$162)+L$159+L$158+L$157+L$42</f>
        <v>45.14</v>
      </c>
      <c r="M194" s="58">
        <f t="shared" si="163"/>
        <v>47.924999999999997</v>
      </c>
      <c r="N194" s="100">
        <f t="shared" si="163"/>
        <v>6.5669999999999993</v>
      </c>
      <c r="O194" s="100">
        <f t="shared" si="163"/>
        <v>6.8850000000000007</v>
      </c>
    </row>
    <row r="195" spans="1:15" ht="15" thickBot="1" x14ac:dyDescent="0.35">
      <c r="A195" s="56" t="s">
        <v>107</v>
      </c>
      <c r="G195" s="63">
        <f t="shared" si="156"/>
        <v>37.311999999999998</v>
      </c>
      <c r="H195" s="63">
        <f t="shared" si="157"/>
        <v>37.567999999999998</v>
      </c>
      <c r="I195" s="63">
        <f t="shared" si="158"/>
        <v>38.408100000000005</v>
      </c>
      <c r="J195" s="63">
        <f t="shared" si="159"/>
        <v>41.204599999999999</v>
      </c>
      <c r="K195" s="63">
        <f>SUM(K$161:K$162)+K$159+K$158+K$157+K$43</f>
        <v>39.555999999999997</v>
      </c>
      <c r="L195" s="63">
        <f t="shared" ref="L195:O195" si="164">SUM(L$161:L$162)+L$159+L$158+L$157+L$43</f>
        <v>43.25</v>
      </c>
      <c r="M195" s="63">
        <f t="shared" si="164"/>
        <v>45</v>
      </c>
      <c r="N195" s="100">
        <f t="shared" si="164"/>
        <v>5.2439999999999998</v>
      </c>
      <c r="O195" s="100">
        <f t="shared" si="164"/>
        <v>5.85</v>
      </c>
    </row>
    <row r="196" spans="1:15" ht="15" thickBot="1" x14ac:dyDescent="0.35">
      <c r="A196" s="52"/>
    </row>
    <row r="197" spans="1:15" ht="15" thickBot="1" x14ac:dyDescent="0.35">
      <c r="A197" s="54" t="s">
        <v>135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 t="shared" ref="N197:O197" si="165">SUM(N$161:N$162)+N$159+N$158+N$156+N$155+N$154+N45</f>
        <v>8.9239999999999995</v>
      </c>
      <c r="O197" s="100">
        <f t="shared" si="165"/>
        <v>8.8350000000000009</v>
      </c>
    </row>
    <row r="198" spans="1:15" ht="15" thickBot="1" x14ac:dyDescent="0.35">
      <c r="A198" s="55" t="s">
        <v>134</v>
      </c>
      <c r="G198" s="63">
        <f>SUM(G$161:G$162)+G$159+G$158+G$156+G$155+G$154+G46</f>
        <v>34.707000000000001</v>
      </c>
      <c r="H198" s="63">
        <f t="shared" ref="H198:H201" si="166">SUM(H$161:H$162)+H$159+H$158+H$156+H$155+H$154+$H46</f>
        <v>35.266999999999996</v>
      </c>
      <c r="I198" s="63">
        <f t="shared" ref="I198:I201" si="167">SUM(I$161:I$162)+I$159+I$158+I$156+I$155+I$154+$I46</f>
        <v>36.29</v>
      </c>
      <c r="J198" s="63">
        <f t="shared" ref="J198:J201" si="168">SUM(J$161:J$162)+J$159+J$158+J$156+J$155+J$154+$J46</f>
        <v>37.811</v>
      </c>
      <c r="K198" s="58">
        <f t="shared" ref="K198:O201" si="169">SUM(K$161:K$162)+K$159+K$158+K$156+K$155+K$154+K46</f>
        <v>39.69</v>
      </c>
      <c r="L198" s="58">
        <f t="shared" si="169"/>
        <v>41.635000000000005</v>
      </c>
      <c r="M198" s="58">
        <f t="shared" si="169"/>
        <v>45.525000000000006</v>
      </c>
      <c r="N198" s="100">
        <f t="shared" si="169"/>
        <v>8.4829999999999988</v>
      </c>
      <c r="O198" s="100">
        <f t="shared" si="169"/>
        <v>8.49</v>
      </c>
    </row>
    <row r="199" spans="1:15" ht="15" thickBot="1" x14ac:dyDescent="0.35">
      <c r="A199" s="55" t="s">
        <v>133</v>
      </c>
      <c r="G199" s="63">
        <f>SUM(G$161:G$162)+G$159+G$158+G$156+G$155+G$154+G47</f>
        <v>34.510999999999996</v>
      </c>
      <c r="H199" s="63">
        <f t="shared" si="166"/>
        <v>35.006999999999998</v>
      </c>
      <c r="I199" s="63">
        <f t="shared" si="167"/>
        <v>35.909999999999997</v>
      </c>
      <c r="J199" s="63">
        <f t="shared" si="168"/>
        <v>37.250999999999998</v>
      </c>
      <c r="K199" s="58">
        <f t="shared" si="169"/>
        <v>38.905999999999999</v>
      </c>
      <c r="L199" s="58">
        <f t="shared" si="169"/>
        <v>40.795000000000002</v>
      </c>
      <c r="M199" s="58">
        <f t="shared" si="169"/>
        <v>44.225000000000001</v>
      </c>
      <c r="N199" s="100">
        <f t="shared" si="169"/>
        <v>7.8949999999999996</v>
      </c>
      <c r="O199" s="100">
        <f t="shared" si="169"/>
        <v>8.0300000000000011</v>
      </c>
    </row>
    <row r="200" spans="1:15" ht="15" thickBot="1" x14ac:dyDescent="0.35">
      <c r="A200" s="55" t="s">
        <v>147</v>
      </c>
      <c r="G200" s="63">
        <f t="shared" ref="G200:G201" si="170">SUM(G$161:G$162)+G$159+G$158+G$156+G$155+G$154+G48</f>
        <v>33.874000000000002</v>
      </c>
      <c r="H200" s="63">
        <f t="shared" si="166"/>
        <v>34.161999999999999</v>
      </c>
      <c r="I200" s="63">
        <f t="shared" si="167"/>
        <v>34.674999999999997</v>
      </c>
      <c r="J200" s="63">
        <f t="shared" si="168"/>
        <v>35.430999999999997</v>
      </c>
      <c r="K200" s="58">
        <f t="shared" si="169"/>
        <v>36.358000000000004</v>
      </c>
      <c r="L200" s="58">
        <f t="shared" si="169"/>
        <v>38.064999999999998</v>
      </c>
      <c r="M200" s="58">
        <f t="shared" si="169"/>
        <v>40</v>
      </c>
      <c r="N200" s="100">
        <f t="shared" si="169"/>
        <v>5.984</v>
      </c>
      <c r="O200" s="100">
        <f t="shared" si="169"/>
        <v>6.5350000000000001</v>
      </c>
    </row>
    <row r="201" spans="1:15" ht="15" thickBot="1" x14ac:dyDescent="0.35">
      <c r="A201" s="56" t="s">
        <v>132</v>
      </c>
      <c r="G201" s="63">
        <f t="shared" si="170"/>
        <v>34.609000000000002</v>
      </c>
      <c r="H201" s="63">
        <f t="shared" si="166"/>
        <v>35.137</v>
      </c>
      <c r="I201" s="63">
        <f t="shared" si="167"/>
        <v>36.1</v>
      </c>
      <c r="J201" s="63">
        <f t="shared" si="168"/>
        <v>37.530999999999999</v>
      </c>
      <c r="K201" s="63">
        <f t="shared" si="169"/>
        <v>39.298000000000002</v>
      </c>
      <c r="L201" s="63">
        <f t="shared" si="169"/>
        <v>41.215000000000003</v>
      </c>
      <c r="M201" s="63">
        <f t="shared" si="169"/>
        <v>44.875</v>
      </c>
      <c r="N201" s="100">
        <f t="shared" si="169"/>
        <v>8.1890000000000001</v>
      </c>
      <c r="O201" s="100">
        <f t="shared" si="169"/>
        <v>8.26</v>
      </c>
    </row>
    <row r="202" spans="1:15" ht="15" thickBot="1" x14ac:dyDescent="0.35">
      <c r="A202" s="52"/>
    </row>
    <row r="203" spans="1:15" ht="15" thickBot="1" x14ac:dyDescent="0.35">
      <c r="A203" s="54" t="s">
        <v>131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 t="shared" ref="N203:O203" si="171">SUM(N$161:N$162)+N$159+N$158+N$156+N$155+N$154+N51</f>
        <v>8.9239999999999995</v>
      </c>
      <c r="O203" s="100">
        <f t="shared" si="171"/>
        <v>8.8350000000000009</v>
      </c>
    </row>
    <row r="204" spans="1:15" ht="15" thickBot="1" x14ac:dyDescent="0.35">
      <c r="A204" s="55" t="s">
        <v>130</v>
      </c>
      <c r="G204" s="58">
        <f t="shared" ref="G204:G207" si="172">SUM(G$161:G$162)+G$159+G$158+G$156+G$155+G$154+G52</f>
        <v>34.510999999999996</v>
      </c>
      <c r="H204" s="58">
        <f t="shared" ref="H204:H207" si="173">SUM(H$161:H$162)+H$159+H$158+H$156+H$155+H$154+$H52</f>
        <v>35.006999999999998</v>
      </c>
      <c r="I204" s="58">
        <f t="shared" ref="I204:I207" si="174">SUM(I$161:I$162)+I$159+I$158+I$156+I$155+I$154+$I52</f>
        <v>35.909999999999997</v>
      </c>
      <c r="J204" s="58">
        <f t="shared" ref="J204:J207" si="175">SUM(J$161:J$162)+J$159+J$158+J$156+J$155+J$154+$J52</f>
        <v>37.250999999999998</v>
      </c>
      <c r="K204" s="58">
        <f t="shared" ref="K204:O207" si="176">SUM(K$161:K$162)+K$159+K$158+K$156+K$155+K$154+K52</f>
        <v>38.905999999999999</v>
      </c>
      <c r="L204" s="58">
        <f t="shared" si="176"/>
        <v>40.795000000000002</v>
      </c>
      <c r="M204" s="58">
        <f t="shared" si="176"/>
        <v>44.225000000000001</v>
      </c>
      <c r="N204" s="100">
        <f t="shared" si="176"/>
        <v>7.8949999999999996</v>
      </c>
      <c r="O204" s="100">
        <f t="shared" si="176"/>
        <v>8.0300000000000011</v>
      </c>
    </row>
    <row r="205" spans="1:15" ht="15" thickBot="1" x14ac:dyDescent="0.35">
      <c r="A205" s="55" t="s">
        <v>129</v>
      </c>
      <c r="G205" s="58">
        <f t="shared" si="172"/>
        <v>34.510999999999996</v>
      </c>
      <c r="H205" s="58">
        <f t="shared" si="173"/>
        <v>35.006999999999998</v>
      </c>
      <c r="I205" s="58">
        <f t="shared" si="174"/>
        <v>35.909999999999997</v>
      </c>
      <c r="J205" s="58">
        <f t="shared" si="175"/>
        <v>37.250999999999998</v>
      </c>
      <c r="K205" s="58">
        <f t="shared" si="176"/>
        <v>38.905999999999999</v>
      </c>
      <c r="L205" s="58">
        <f t="shared" si="176"/>
        <v>40.795000000000002</v>
      </c>
      <c r="M205" s="58">
        <f t="shared" si="176"/>
        <v>44.225000000000001</v>
      </c>
      <c r="N205" s="100">
        <f t="shared" si="176"/>
        <v>7.8949999999999996</v>
      </c>
      <c r="O205" s="100">
        <f t="shared" si="176"/>
        <v>8.0300000000000011</v>
      </c>
    </row>
    <row r="206" spans="1:15" ht="15" thickBot="1" x14ac:dyDescent="0.35">
      <c r="A206" s="55" t="s">
        <v>148</v>
      </c>
      <c r="G206" s="58">
        <f t="shared" si="172"/>
        <v>33.874000000000002</v>
      </c>
      <c r="H206" s="58">
        <f t="shared" si="173"/>
        <v>34.161999999999999</v>
      </c>
      <c r="I206" s="58">
        <f t="shared" si="174"/>
        <v>34.674999999999997</v>
      </c>
      <c r="J206" s="58">
        <f t="shared" si="175"/>
        <v>35.430999999999997</v>
      </c>
      <c r="K206" s="58">
        <f t="shared" si="176"/>
        <v>36.358000000000004</v>
      </c>
      <c r="L206" s="58">
        <f t="shared" si="176"/>
        <v>38.064999999999998</v>
      </c>
      <c r="M206" s="58">
        <f t="shared" si="176"/>
        <v>40</v>
      </c>
      <c r="N206" s="100">
        <f t="shared" si="176"/>
        <v>5.984</v>
      </c>
      <c r="O206" s="100">
        <f t="shared" si="176"/>
        <v>6.5350000000000001</v>
      </c>
    </row>
    <row r="207" spans="1:15" ht="15" thickBot="1" x14ac:dyDescent="0.35">
      <c r="A207" s="56" t="s">
        <v>128</v>
      </c>
      <c r="G207" s="63">
        <f t="shared" si="172"/>
        <v>34.609000000000002</v>
      </c>
      <c r="H207" s="63">
        <f t="shared" si="173"/>
        <v>35.137</v>
      </c>
      <c r="I207" s="63">
        <f t="shared" si="174"/>
        <v>36.1</v>
      </c>
      <c r="J207" s="63">
        <f t="shared" si="175"/>
        <v>37.530999999999999</v>
      </c>
      <c r="K207" s="63">
        <f t="shared" si="176"/>
        <v>39.298000000000002</v>
      </c>
      <c r="L207" s="63">
        <f t="shared" si="176"/>
        <v>41.215000000000003</v>
      </c>
      <c r="M207" s="63">
        <f t="shared" si="176"/>
        <v>44.875</v>
      </c>
      <c r="N207" s="100">
        <f t="shared" si="176"/>
        <v>8.1890000000000001</v>
      </c>
      <c r="O207" s="100">
        <f t="shared" si="176"/>
        <v>8.26</v>
      </c>
    </row>
    <row r="208" spans="1:15" ht="15" thickBot="1" x14ac:dyDescent="0.35">
      <c r="A208" s="52"/>
    </row>
    <row r="209" spans="1:15" ht="15" thickBot="1" x14ac:dyDescent="0.35">
      <c r="A209" s="54" t="s">
        <v>106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O209" si="177">SUM(N$161:N$162)+N$159+N$158+N$156+N$155+N$154+N57</f>
        <v>7.6009999999999991</v>
      </c>
      <c r="O209" s="100">
        <f t="shared" si="177"/>
        <v>7.8000000000000007</v>
      </c>
    </row>
    <row r="210" spans="1:15" ht="15" thickBot="1" x14ac:dyDescent="0.35">
      <c r="A210" s="55" t="s">
        <v>105</v>
      </c>
      <c r="G210" s="58">
        <f t="shared" ref="G210:G214" si="178">SUM(G$161:G$162)+G$159+G$158+G$156+G$155+G$154+G58</f>
        <v>37.295000000000002</v>
      </c>
      <c r="H210" s="58">
        <f t="shared" ref="H210:H214" si="179">SUM(H$161:H$162)+H$159+H$158+H$156+H$155+H$154+$H58</f>
        <v>38.046999999999997</v>
      </c>
      <c r="I210" s="58">
        <f t="shared" ref="I210:I214" si="180">SUM(I$161:I$162)+I$159+I$158+I$156+I$155+I$154+$I58</f>
        <v>39.43</v>
      </c>
      <c r="J210" s="58">
        <f t="shared" ref="J210:J214" si="181">SUM(J$161:J$162)+J$159+J$158+J$156+J$155+J$154+$J58</f>
        <v>41.491</v>
      </c>
      <c r="K210" s="58">
        <f t="shared" ref="K210:O214" si="182">SUM(K$161:K$162)+K$159+K$158+K$156+K$155+K$154+K58</f>
        <v>44.042000000000002</v>
      </c>
      <c r="L210" s="58">
        <f t="shared" si="182"/>
        <v>47.155000000000001</v>
      </c>
      <c r="M210" s="58">
        <f t="shared" si="182"/>
        <v>52.424999999999997</v>
      </c>
      <c r="N210" s="100">
        <f t="shared" si="182"/>
        <v>10.247</v>
      </c>
      <c r="O210" s="100">
        <f t="shared" si="182"/>
        <v>9.870000000000001</v>
      </c>
    </row>
    <row r="211" spans="1:15" ht="15" thickBot="1" x14ac:dyDescent="0.35">
      <c r="A211" s="55" t="s">
        <v>104</v>
      </c>
      <c r="G211" s="58">
        <f t="shared" si="178"/>
        <v>36.364000000000004</v>
      </c>
      <c r="H211" s="58">
        <f t="shared" si="179"/>
        <v>36.811999999999998</v>
      </c>
      <c r="I211" s="58">
        <f t="shared" si="180"/>
        <v>37.625</v>
      </c>
      <c r="J211" s="58">
        <f t="shared" si="181"/>
        <v>38.831000000000003</v>
      </c>
      <c r="K211" s="58">
        <f t="shared" si="182"/>
        <v>40.317999999999998</v>
      </c>
      <c r="L211" s="58">
        <f t="shared" si="182"/>
        <v>43.165000000000006</v>
      </c>
      <c r="M211" s="58">
        <f t="shared" si="182"/>
        <v>46.25</v>
      </c>
      <c r="N211" s="100">
        <f t="shared" si="182"/>
        <v>7.4539999999999988</v>
      </c>
      <c r="O211" s="100">
        <f t="shared" si="182"/>
        <v>7.6850000000000005</v>
      </c>
    </row>
    <row r="212" spans="1:15" ht="15" thickBot="1" x14ac:dyDescent="0.35">
      <c r="A212" s="55" t="s">
        <v>103</v>
      </c>
      <c r="G212" s="58">
        <f t="shared" si="178"/>
        <v>37.393000000000001</v>
      </c>
      <c r="H212" s="58">
        <f t="shared" si="179"/>
        <v>38.177</v>
      </c>
      <c r="I212" s="58">
        <f t="shared" si="180"/>
        <v>39.620000000000005</v>
      </c>
      <c r="J212" s="58">
        <f t="shared" si="181"/>
        <v>41.771000000000001</v>
      </c>
      <c r="K212" s="58">
        <f t="shared" si="182"/>
        <v>44.434000000000005</v>
      </c>
      <c r="L212" s="58">
        <f t="shared" si="182"/>
        <v>47.575000000000003</v>
      </c>
      <c r="M212" s="58">
        <f t="shared" si="182"/>
        <v>53.075000000000003</v>
      </c>
      <c r="N212" s="100">
        <f t="shared" si="182"/>
        <v>10.540999999999999</v>
      </c>
      <c r="O212" s="100">
        <f t="shared" si="182"/>
        <v>10.100000000000001</v>
      </c>
    </row>
    <row r="213" spans="1:15" ht="15" thickBot="1" x14ac:dyDescent="0.35">
      <c r="A213" s="55" t="s">
        <v>149</v>
      </c>
      <c r="G213" s="58">
        <f t="shared" si="178"/>
        <v>36.364000000000004</v>
      </c>
      <c r="H213" s="58">
        <f t="shared" si="179"/>
        <v>36.811999999999998</v>
      </c>
      <c r="I213" s="58">
        <f t="shared" si="180"/>
        <v>37.625</v>
      </c>
      <c r="J213" s="58">
        <f t="shared" si="181"/>
        <v>38.831000000000003</v>
      </c>
      <c r="K213" s="58">
        <f t="shared" si="182"/>
        <v>40.317999999999998</v>
      </c>
      <c r="L213" s="58">
        <f t="shared" si="182"/>
        <v>43.165000000000006</v>
      </c>
      <c r="M213" s="58">
        <f t="shared" si="182"/>
        <v>46.25</v>
      </c>
      <c r="N213" s="100">
        <f>SUM(N$161:N$162)+N$159+N$158+N$156+N$155+N$154+N61</f>
        <v>7.4539999999999988</v>
      </c>
      <c r="O213" s="100">
        <f t="shared" si="182"/>
        <v>7.6850000000000005</v>
      </c>
    </row>
    <row r="214" spans="1:15" ht="15" thickBot="1" x14ac:dyDescent="0.35">
      <c r="A214" s="56" t="s">
        <v>102</v>
      </c>
      <c r="G214" s="63">
        <f t="shared" si="178"/>
        <v>35.923000000000002</v>
      </c>
      <c r="H214" s="63">
        <f t="shared" si="179"/>
        <v>36.226999999999997</v>
      </c>
      <c r="I214" s="63">
        <f t="shared" si="180"/>
        <v>36.770000000000003</v>
      </c>
      <c r="J214" s="63">
        <f t="shared" si="181"/>
        <v>37.570999999999998</v>
      </c>
      <c r="K214" s="63">
        <f t="shared" si="182"/>
        <v>38.554000000000002</v>
      </c>
      <c r="L214" s="63">
        <f t="shared" si="182"/>
        <v>41.275000000000006</v>
      </c>
      <c r="M214" s="63">
        <f t="shared" si="182"/>
        <v>43.325000000000003</v>
      </c>
      <c r="N214" s="100">
        <f t="shared" si="182"/>
        <v>6.1310000000000002</v>
      </c>
      <c r="O214" s="100">
        <f t="shared" si="182"/>
        <v>6.65</v>
      </c>
    </row>
    <row r="215" spans="1:15" ht="15" thickBot="1" x14ac:dyDescent="0.35">
      <c r="A215" s="52"/>
    </row>
    <row r="216" spans="1:15" ht="15" thickBot="1" x14ac:dyDescent="0.35">
      <c r="A216" s="54" t="s">
        <v>101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O216" si="183">SUM(N$161:N$162)+N$159+N$158+N$156+N$155+N$154+N64</f>
        <v>7.6009999999999991</v>
      </c>
      <c r="O216" s="100">
        <f t="shared" si="183"/>
        <v>7.8000000000000007</v>
      </c>
    </row>
    <row r="217" spans="1:15" ht="15" thickBot="1" x14ac:dyDescent="0.35">
      <c r="A217" s="55" t="s">
        <v>100</v>
      </c>
      <c r="G217" s="58">
        <f t="shared" ref="G217:G221" si="184">SUM(G$161:G$162)+G$159+G$158+G$156+G$155+G$154+G65</f>
        <v>37.295000000000002</v>
      </c>
      <c r="H217" s="58">
        <f t="shared" ref="H217:H221" si="185">SUM(H$161:H$162)+H$159+H$158+H$156+H$155+H$154+$H65</f>
        <v>38.046999999999997</v>
      </c>
      <c r="I217" s="58">
        <f t="shared" ref="I217:I221" si="186">SUM(I$161:I$162)+I$159+I$158+I$156+I$155+I$154+$I65</f>
        <v>39.43</v>
      </c>
      <c r="J217" s="58">
        <f t="shared" ref="J217:J221" si="187">SUM(J$161:J$162)+J$159+J$158+J$156+J$155+J$154+$J65</f>
        <v>41.491</v>
      </c>
      <c r="K217" s="58">
        <f t="shared" ref="K217:O221" si="188">SUM(K$161:K$162)+K$159+K$158+K$156+K$155+K$154+K65</f>
        <v>44.042000000000002</v>
      </c>
      <c r="L217" s="58">
        <f t="shared" si="188"/>
        <v>47.155000000000001</v>
      </c>
      <c r="M217" s="58">
        <f t="shared" si="188"/>
        <v>52.424999999999997</v>
      </c>
      <c r="N217" s="100">
        <f t="shared" si="188"/>
        <v>10.247</v>
      </c>
      <c r="O217" s="100">
        <f t="shared" si="188"/>
        <v>9.870000000000001</v>
      </c>
    </row>
    <row r="218" spans="1:15" ht="15" thickBot="1" x14ac:dyDescent="0.35">
      <c r="A218" s="55" t="s">
        <v>99</v>
      </c>
      <c r="G218" s="58">
        <f t="shared" si="184"/>
        <v>36.364000000000004</v>
      </c>
      <c r="H218" s="58">
        <f t="shared" si="185"/>
        <v>36.811999999999998</v>
      </c>
      <c r="I218" s="58">
        <f t="shared" si="186"/>
        <v>37.625</v>
      </c>
      <c r="J218" s="58">
        <f t="shared" si="187"/>
        <v>38.831000000000003</v>
      </c>
      <c r="K218" s="58">
        <f t="shared" si="188"/>
        <v>40.317999999999998</v>
      </c>
      <c r="L218" s="58">
        <f t="shared" si="188"/>
        <v>43.165000000000006</v>
      </c>
      <c r="M218" s="58">
        <f t="shared" si="188"/>
        <v>46.25</v>
      </c>
      <c r="N218" s="100">
        <f t="shared" si="188"/>
        <v>7.4539999999999988</v>
      </c>
      <c r="O218" s="100">
        <f t="shared" si="188"/>
        <v>7.6850000000000005</v>
      </c>
    </row>
    <row r="219" spans="1:15" ht="15" thickBot="1" x14ac:dyDescent="0.35">
      <c r="A219" s="55" t="s">
        <v>98</v>
      </c>
      <c r="G219" s="58">
        <f t="shared" si="184"/>
        <v>37.295000000000002</v>
      </c>
      <c r="H219" s="58">
        <f t="shared" si="185"/>
        <v>38.046999999999997</v>
      </c>
      <c r="I219" s="58">
        <f t="shared" si="186"/>
        <v>39.43</v>
      </c>
      <c r="J219" s="58">
        <f t="shared" si="187"/>
        <v>41.491</v>
      </c>
      <c r="K219" s="58">
        <f t="shared" si="188"/>
        <v>44.042000000000002</v>
      </c>
      <c r="L219" s="58">
        <f t="shared" si="188"/>
        <v>47.155000000000001</v>
      </c>
      <c r="M219" s="58">
        <f t="shared" si="188"/>
        <v>52.424999999999997</v>
      </c>
      <c r="N219" s="100">
        <f t="shared" si="188"/>
        <v>10.247</v>
      </c>
      <c r="O219" s="100">
        <f t="shared" si="188"/>
        <v>9.870000000000001</v>
      </c>
    </row>
    <row r="220" spans="1:15" ht="15" thickBot="1" x14ac:dyDescent="0.35">
      <c r="A220" s="55" t="s">
        <v>149</v>
      </c>
      <c r="G220" s="58">
        <f t="shared" si="184"/>
        <v>36.364000000000004</v>
      </c>
      <c r="H220" s="58">
        <f t="shared" si="185"/>
        <v>36.811999999999998</v>
      </c>
      <c r="I220" s="58">
        <f t="shared" si="186"/>
        <v>37.625</v>
      </c>
      <c r="J220" s="58">
        <f t="shared" si="187"/>
        <v>38.831000000000003</v>
      </c>
      <c r="K220" s="58">
        <f t="shared" si="188"/>
        <v>40.317999999999998</v>
      </c>
      <c r="L220" s="58">
        <f t="shared" si="188"/>
        <v>43.165000000000006</v>
      </c>
      <c r="M220" s="58">
        <f t="shared" si="188"/>
        <v>46.25</v>
      </c>
      <c r="N220" s="100">
        <f t="shared" si="188"/>
        <v>7.4539999999999988</v>
      </c>
      <c r="O220" s="100">
        <f t="shared" si="188"/>
        <v>7.6850000000000005</v>
      </c>
    </row>
    <row r="221" spans="1:15" ht="15" thickBot="1" x14ac:dyDescent="0.35">
      <c r="A221" s="56" t="s">
        <v>97</v>
      </c>
      <c r="G221" s="63">
        <f t="shared" si="184"/>
        <v>35.923000000000002</v>
      </c>
      <c r="H221" s="63">
        <f t="shared" si="185"/>
        <v>36.226999999999997</v>
      </c>
      <c r="I221" s="63">
        <f t="shared" si="186"/>
        <v>36.770000000000003</v>
      </c>
      <c r="J221" s="63">
        <f t="shared" si="187"/>
        <v>37.570999999999998</v>
      </c>
      <c r="K221" s="63">
        <f t="shared" si="188"/>
        <v>38.554000000000002</v>
      </c>
      <c r="L221" s="63">
        <f t="shared" si="188"/>
        <v>41.275000000000006</v>
      </c>
      <c r="M221" s="63">
        <f t="shared" si="188"/>
        <v>43.325000000000003</v>
      </c>
      <c r="N221" s="100">
        <f t="shared" si="188"/>
        <v>6.1310000000000002</v>
      </c>
      <c r="O221" s="100">
        <f t="shared" si="188"/>
        <v>6.65</v>
      </c>
    </row>
    <row r="222" spans="1:15" ht="15" thickBot="1" x14ac:dyDescent="0.35">
      <c r="A222" s="52"/>
    </row>
    <row r="223" spans="1:15" ht="15" thickBot="1" x14ac:dyDescent="0.35">
      <c r="A223" s="54" t="s">
        <v>127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 t="shared" ref="N223:O223" si="189">SUM(N$161:N$162)+N$159+N$158+N$156+N$155+N$153+N$152+N$151+N71</f>
        <v>9.8109999999999999</v>
      </c>
      <c r="O223" s="100">
        <f t="shared" si="189"/>
        <v>9.6349999999999998</v>
      </c>
    </row>
    <row r="224" spans="1:15" ht="15" thickBot="1" x14ac:dyDescent="0.35">
      <c r="A224" s="55" t="s">
        <v>126</v>
      </c>
      <c r="G224" s="58">
        <f t="shared" ref="G224:G227" si="190">SUM(G$161:G$162)+G$159+G$158+G$156+G$155+G$153+G$152+G$151+G72</f>
        <v>37.118000000000002</v>
      </c>
      <c r="H224" s="58">
        <f t="shared" ref="H224:H227" si="191">SUM(H$161:H$162)+H$159+H$158+H$156+H$155+H$153+H$152+H$151+$H72</f>
        <v>37.725999999999999</v>
      </c>
      <c r="I224" s="58">
        <f t="shared" ref="I224:I227" si="192">SUM(I$161:I$162)+I$159+I$158+I$156+I$155+I$153+I$152+I$151+$I72</f>
        <v>38.83</v>
      </c>
      <c r="J224" s="58">
        <f t="shared" ref="J224:J227" si="193">SUM(J$161:J$162)+J$159+J$158+J$156+J$155+J$153+J$152+J$151+$J72</f>
        <v>40.468000000000004</v>
      </c>
      <c r="K224" s="58">
        <f t="shared" ref="K224:O227" si="194">SUM(K$161:K$162)+K$159+K$158+K$156+K$155+K$153+K$152+K$151+K72</f>
        <v>42.488</v>
      </c>
      <c r="L224" s="58">
        <f t="shared" si="194"/>
        <v>45.56</v>
      </c>
      <c r="M224" s="58">
        <f t="shared" si="194"/>
        <v>49.75</v>
      </c>
      <c r="N224" s="100">
        <f t="shared" si="194"/>
        <v>9.3699999999999992</v>
      </c>
      <c r="O224" s="100">
        <f t="shared" si="194"/>
        <v>9.2899999999999991</v>
      </c>
    </row>
    <row r="225" spans="1:15" ht="15" thickBot="1" x14ac:dyDescent="0.35">
      <c r="A225" s="55" t="s">
        <v>324</v>
      </c>
      <c r="G225" s="58">
        <f t="shared" si="190"/>
        <v>36.921999999999997</v>
      </c>
      <c r="H225" s="58">
        <f t="shared" si="191"/>
        <v>37.466000000000001</v>
      </c>
      <c r="I225" s="58">
        <f t="shared" si="192"/>
        <v>38.450000000000003</v>
      </c>
      <c r="J225" s="58">
        <f t="shared" si="193"/>
        <v>39.908000000000001</v>
      </c>
      <c r="K225" s="58">
        <f t="shared" si="194"/>
        <v>41.704000000000001</v>
      </c>
      <c r="L225" s="58">
        <f t="shared" si="194"/>
        <v>44.72</v>
      </c>
      <c r="M225" s="58">
        <f t="shared" si="194"/>
        <v>48.45</v>
      </c>
      <c r="N225" s="100">
        <f t="shared" si="194"/>
        <v>8.782</v>
      </c>
      <c r="O225" s="100">
        <f t="shared" si="194"/>
        <v>8.83</v>
      </c>
    </row>
    <row r="226" spans="1:15" ht="15" thickBot="1" x14ac:dyDescent="0.35">
      <c r="A226" s="55" t="s">
        <v>338</v>
      </c>
      <c r="G226" s="58">
        <f t="shared" si="190"/>
        <v>36.285000000000004</v>
      </c>
      <c r="H226" s="58">
        <f t="shared" si="191"/>
        <v>36.621000000000002</v>
      </c>
      <c r="I226" s="58">
        <f t="shared" si="192"/>
        <v>37.215000000000003</v>
      </c>
      <c r="J226" s="58">
        <f t="shared" si="193"/>
        <v>38.088000000000001</v>
      </c>
      <c r="K226" s="58">
        <f t="shared" si="194"/>
        <v>39.156000000000006</v>
      </c>
      <c r="L226" s="58">
        <f t="shared" si="194"/>
        <v>41.99</v>
      </c>
      <c r="M226" s="58">
        <f t="shared" si="194"/>
        <v>44.225000000000001</v>
      </c>
      <c r="N226" s="100">
        <f t="shared" si="194"/>
        <v>6.8710000000000004</v>
      </c>
      <c r="O226" s="100">
        <f t="shared" si="194"/>
        <v>7.335</v>
      </c>
    </row>
    <row r="227" spans="1:15" ht="15" thickBot="1" x14ac:dyDescent="0.35">
      <c r="A227" s="56" t="s">
        <v>125</v>
      </c>
      <c r="G227" s="63">
        <f t="shared" si="190"/>
        <v>37.020000000000003</v>
      </c>
      <c r="H227" s="63">
        <f t="shared" si="191"/>
        <v>37.596000000000004</v>
      </c>
      <c r="I227" s="63">
        <f t="shared" si="192"/>
        <v>38.64</v>
      </c>
      <c r="J227" s="63">
        <f t="shared" si="193"/>
        <v>40.188000000000002</v>
      </c>
      <c r="K227" s="63">
        <f t="shared" si="194"/>
        <v>42.096000000000004</v>
      </c>
      <c r="L227" s="63">
        <f t="shared" si="194"/>
        <v>45.14</v>
      </c>
      <c r="M227" s="63">
        <f t="shared" si="194"/>
        <v>49.099999999999994</v>
      </c>
      <c r="N227" s="100">
        <f t="shared" si="194"/>
        <v>9.0760000000000005</v>
      </c>
      <c r="O227" s="100">
        <f t="shared" si="194"/>
        <v>9.0599999999999987</v>
      </c>
    </row>
    <row r="228" spans="1:15" ht="15" thickBot="1" x14ac:dyDescent="0.35">
      <c r="A228" s="52"/>
    </row>
    <row r="229" spans="1:15" ht="15" thickBot="1" x14ac:dyDescent="0.35">
      <c r="A229" s="54" t="s">
        <v>124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 t="shared" ref="M229:O229" si="195">SUM(M$161:M$162)+M$159+M$158+M$156+M$155+M$153+M$152+M$151+M77</f>
        <v>50.724999999999994</v>
      </c>
      <c r="N229" s="100">
        <f t="shared" si="195"/>
        <v>9.8109999999999999</v>
      </c>
      <c r="O229" s="100">
        <f t="shared" si="195"/>
        <v>9.6349999999999998</v>
      </c>
    </row>
    <row r="230" spans="1:15" ht="15" thickBot="1" x14ac:dyDescent="0.35">
      <c r="A230" s="55" t="s">
        <v>123</v>
      </c>
      <c r="G230" s="58">
        <f t="shared" ref="G230:G233" si="196">SUM(G$161:G$162)+G$159+G$158+G$156+G$155+G$153+G$152+G$151+G78</f>
        <v>36.921999999999997</v>
      </c>
      <c r="H230" s="58">
        <f t="shared" ref="H230:H233" si="197">SUM(H$161:H$162)+H$159+H$158+H$156+H$155+H$153+H$152+H$151+$H78</f>
        <v>37.466000000000001</v>
      </c>
      <c r="I230" s="58">
        <f t="shared" ref="I230:I233" si="198">SUM(I$161:I$162)+I$159+I$158+I$156+I$155+I$153+I$152+I$151+$I78</f>
        <v>38.450000000000003</v>
      </c>
      <c r="J230" s="58">
        <f t="shared" ref="J230:J233" si="199">SUM(J$161:J$162)+J$159+J$158+J$156+J$155+J$153+J$152+J$151+$J78</f>
        <v>39.908000000000001</v>
      </c>
      <c r="K230" s="58">
        <f t="shared" ref="K230:O233" si="200">SUM(K$161:K$162)+K$159+K$158+K$156+K$155+K$153+K$152+K$151+K78</f>
        <v>41.704000000000001</v>
      </c>
      <c r="L230" s="58">
        <f t="shared" si="200"/>
        <v>44.72</v>
      </c>
      <c r="M230" s="58">
        <f t="shared" si="200"/>
        <v>48.45</v>
      </c>
      <c r="N230" s="100">
        <f t="shared" si="200"/>
        <v>8.782</v>
      </c>
      <c r="O230" s="100">
        <f t="shared" si="200"/>
        <v>8.83</v>
      </c>
    </row>
    <row r="231" spans="1:15" ht="15" thickBot="1" x14ac:dyDescent="0.35">
      <c r="A231" s="55" t="s">
        <v>325</v>
      </c>
      <c r="G231" s="58">
        <f t="shared" si="196"/>
        <v>36.921999999999997</v>
      </c>
      <c r="H231" s="58">
        <f t="shared" si="197"/>
        <v>37.466000000000001</v>
      </c>
      <c r="I231" s="58">
        <f t="shared" si="198"/>
        <v>38.450000000000003</v>
      </c>
      <c r="J231" s="58">
        <f t="shared" si="199"/>
        <v>39.908000000000001</v>
      </c>
      <c r="K231" s="58">
        <f t="shared" si="200"/>
        <v>41.704000000000001</v>
      </c>
      <c r="L231" s="58">
        <f t="shared" si="200"/>
        <v>44.72</v>
      </c>
      <c r="M231" s="58">
        <f t="shared" si="200"/>
        <v>48.45</v>
      </c>
      <c r="N231" s="100">
        <f t="shared" si="200"/>
        <v>8.782</v>
      </c>
      <c r="O231" s="100">
        <f t="shared" si="200"/>
        <v>8.83</v>
      </c>
    </row>
    <row r="232" spans="1:15" ht="15" thickBot="1" x14ac:dyDescent="0.35">
      <c r="A232" s="55" t="s">
        <v>150</v>
      </c>
      <c r="G232" s="58">
        <f t="shared" si="196"/>
        <v>36.285000000000004</v>
      </c>
      <c r="H232" s="58">
        <f t="shared" si="197"/>
        <v>36.621000000000002</v>
      </c>
      <c r="I232" s="58">
        <f t="shared" si="198"/>
        <v>37.215000000000003</v>
      </c>
      <c r="J232" s="58">
        <f t="shared" si="199"/>
        <v>38.088000000000001</v>
      </c>
      <c r="K232" s="58">
        <f t="shared" si="200"/>
        <v>39.156000000000006</v>
      </c>
      <c r="L232" s="58">
        <f t="shared" si="200"/>
        <v>41.99</v>
      </c>
      <c r="M232" s="58">
        <f t="shared" si="200"/>
        <v>44.225000000000001</v>
      </c>
      <c r="N232" s="100">
        <f t="shared" si="200"/>
        <v>6.8710000000000004</v>
      </c>
      <c r="O232" s="100">
        <f t="shared" si="200"/>
        <v>7.335</v>
      </c>
    </row>
    <row r="233" spans="1:15" ht="15" thickBot="1" x14ac:dyDescent="0.35">
      <c r="A233" s="56" t="s">
        <v>122</v>
      </c>
      <c r="G233" s="63">
        <f t="shared" si="196"/>
        <v>37.020000000000003</v>
      </c>
      <c r="H233" s="63">
        <f t="shared" si="197"/>
        <v>37.596000000000004</v>
      </c>
      <c r="I233" s="63">
        <f t="shared" si="198"/>
        <v>38.64</v>
      </c>
      <c r="J233" s="63">
        <f t="shared" si="199"/>
        <v>40.188000000000002</v>
      </c>
      <c r="K233" s="63">
        <f t="shared" si="200"/>
        <v>42.096000000000004</v>
      </c>
      <c r="L233" s="63">
        <f t="shared" si="200"/>
        <v>45.14</v>
      </c>
      <c r="M233" s="63">
        <f t="shared" si="200"/>
        <v>49.099999999999994</v>
      </c>
      <c r="N233" s="100">
        <f t="shared" si="200"/>
        <v>9.0760000000000005</v>
      </c>
      <c r="O233" s="100">
        <f t="shared" si="200"/>
        <v>9.0599999999999987</v>
      </c>
    </row>
    <row r="234" spans="1:15" ht="15" thickBot="1" x14ac:dyDescent="0.35">
      <c r="A234" s="52"/>
    </row>
    <row r="235" spans="1:15" ht="15" thickBot="1" x14ac:dyDescent="0.35">
      <c r="A235" s="54" t="s">
        <v>96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O235" si="201">SUM(N$161:N$162)+N$159+N$158+N$156+N$155+N$153+N$152+N$151+N83</f>
        <v>8.4879999999999995</v>
      </c>
      <c r="O235" s="100">
        <f t="shared" si="201"/>
        <v>8.6000000000000014</v>
      </c>
    </row>
    <row r="236" spans="1:15" ht="15" thickBot="1" x14ac:dyDescent="0.35">
      <c r="A236" s="55" t="s">
        <v>95</v>
      </c>
      <c r="G236" s="58">
        <f t="shared" ref="G236:G240" si="202">SUM(G$161:G$162)+G$159+G$158+G$156+G$155+G$153+G$152+G$151+G84</f>
        <v>39.706000000000003</v>
      </c>
      <c r="H236" s="58">
        <f t="shared" ref="H236:H240" si="203">SUM(H$161:H$162)+H$159+H$158+H$156+H$155+H$153+H$152+H$151+$H84</f>
        <v>40.506</v>
      </c>
      <c r="I236" s="58">
        <f t="shared" ref="I236:I240" si="204">SUM(I$161:I$162)+I$159+I$158+I$156+I$155+I$153+I$152+I$151+$I84</f>
        <v>41.97</v>
      </c>
      <c r="J236" s="58">
        <f t="shared" ref="J236:J240" si="205">SUM(J$161:J$162)+J$159+J$158+J$156+J$155+J$153+J$152+J$151+$J84</f>
        <v>44.147999999999996</v>
      </c>
      <c r="K236" s="58">
        <f t="shared" ref="K236:K240" si="206">SUM(K$161:K$162)+K$159+K$158+K$156+K$155+K$153+K$152+K$151+K84</f>
        <v>46.84</v>
      </c>
      <c r="L236" s="58">
        <f t="shared" ref="L236:O240" si="207">SUM(L$161:L$162)+L$159+L$158+L$156+L$155+L$153+L$152+L$151+L84</f>
        <v>51.08</v>
      </c>
      <c r="M236" s="58">
        <f t="shared" ref="M236:O237" si="208">SUM(M$161:M$162)+M$159+M$158+M$156+M$155+M$153+M$152+M$151+M84</f>
        <v>56.65</v>
      </c>
      <c r="N236" s="100">
        <f t="shared" si="208"/>
        <v>11.134</v>
      </c>
      <c r="O236" s="100">
        <f t="shared" si="208"/>
        <v>10.67</v>
      </c>
    </row>
    <row r="237" spans="1:15" ht="15" thickBot="1" x14ac:dyDescent="0.35">
      <c r="A237" s="55" t="s">
        <v>326</v>
      </c>
      <c r="G237" s="58">
        <f t="shared" si="202"/>
        <v>38.775000000000006</v>
      </c>
      <c r="H237" s="58">
        <f t="shared" si="203"/>
        <v>39.271000000000001</v>
      </c>
      <c r="I237" s="58">
        <f t="shared" si="204"/>
        <v>40.164999999999999</v>
      </c>
      <c r="J237" s="58">
        <f t="shared" si="205"/>
        <v>41.488</v>
      </c>
      <c r="K237" s="58">
        <f t="shared" si="206"/>
        <v>43.116</v>
      </c>
      <c r="L237" s="58">
        <f t="shared" si="207"/>
        <v>47.09</v>
      </c>
      <c r="M237" s="58">
        <f t="shared" si="208"/>
        <v>50.475000000000001</v>
      </c>
      <c r="N237" s="100">
        <f t="shared" si="208"/>
        <v>8.3409999999999993</v>
      </c>
      <c r="O237" s="100">
        <f t="shared" si="208"/>
        <v>8.4849999999999994</v>
      </c>
    </row>
    <row r="238" spans="1:15" ht="15" thickBot="1" x14ac:dyDescent="0.35">
      <c r="A238" s="55" t="s">
        <v>327</v>
      </c>
      <c r="G238" s="58">
        <f t="shared" si="202"/>
        <v>39.804000000000002</v>
      </c>
      <c r="H238" s="58">
        <f t="shared" si="203"/>
        <v>40.636000000000003</v>
      </c>
      <c r="I238" s="58">
        <f t="shared" si="204"/>
        <v>42.16</v>
      </c>
      <c r="J238" s="58">
        <f t="shared" si="205"/>
        <v>44.427999999999997</v>
      </c>
      <c r="K238" s="58">
        <f t="shared" si="206"/>
        <v>47.232000000000006</v>
      </c>
      <c r="L238" s="58">
        <f t="shared" si="207"/>
        <v>51.5</v>
      </c>
      <c r="M238" s="58">
        <f t="shared" si="207"/>
        <v>57.3</v>
      </c>
      <c r="N238" s="100">
        <f t="shared" si="207"/>
        <v>11.427999999999999</v>
      </c>
      <c r="O238" s="100">
        <f t="shared" si="207"/>
        <v>10.9</v>
      </c>
    </row>
    <row r="239" spans="1:15" ht="15" thickBot="1" x14ac:dyDescent="0.35">
      <c r="A239" s="55" t="s">
        <v>151</v>
      </c>
      <c r="G239" s="58">
        <f t="shared" si="202"/>
        <v>38.775000000000006</v>
      </c>
      <c r="H239" s="58">
        <f t="shared" si="203"/>
        <v>39.271000000000001</v>
      </c>
      <c r="I239" s="58">
        <f t="shared" si="204"/>
        <v>40.164999999999999</v>
      </c>
      <c r="J239" s="58">
        <f t="shared" si="205"/>
        <v>41.488</v>
      </c>
      <c r="K239" s="58">
        <f t="shared" si="206"/>
        <v>43.116</v>
      </c>
      <c r="L239" s="58">
        <f t="shared" si="207"/>
        <v>47.09</v>
      </c>
      <c r="M239" s="58">
        <f t="shared" si="207"/>
        <v>50.475000000000001</v>
      </c>
      <c r="N239" s="100">
        <f t="shared" si="207"/>
        <v>8.3409999999999993</v>
      </c>
      <c r="O239" s="100">
        <f t="shared" si="207"/>
        <v>8.4849999999999994</v>
      </c>
    </row>
    <row r="240" spans="1:15" ht="15" thickBot="1" x14ac:dyDescent="0.35">
      <c r="A240" s="56" t="s">
        <v>94</v>
      </c>
      <c r="G240" s="63">
        <f t="shared" si="202"/>
        <v>38.334000000000003</v>
      </c>
      <c r="H240" s="63">
        <f t="shared" si="203"/>
        <v>38.686</v>
      </c>
      <c r="I240" s="63">
        <f t="shared" si="204"/>
        <v>39.31</v>
      </c>
      <c r="J240" s="63">
        <f t="shared" si="205"/>
        <v>40.228000000000002</v>
      </c>
      <c r="K240" s="63">
        <f t="shared" si="206"/>
        <v>41.352000000000004</v>
      </c>
      <c r="L240" s="63">
        <f t="shared" si="207"/>
        <v>45.2</v>
      </c>
      <c r="M240" s="63">
        <f t="shared" si="207"/>
        <v>47.55</v>
      </c>
      <c r="N240" s="100">
        <f t="shared" si="207"/>
        <v>7.0179999999999998</v>
      </c>
      <c r="O240" s="100">
        <f t="shared" si="207"/>
        <v>7.4499999999999993</v>
      </c>
    </row>
    <row r="241" spans="1:15" ht="15" thickBot="1" x14ac:dyDescent="0.35">
      <c r="A241" s="52"/>
    </row>
    <row r="242" spans="1:15" ht="15" thickBot="1" x14ac:dyDescent="0.35">
      <c r="A242" s="54" t="s">
        <v>93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O242" si="209">SUM(N$161:N$162)+N$159+N$158+N$156+N$155+N$153+N$152+N$151+N90</f>
        <v>8.4879999999999995</v>
      </c>
      <c r="O242" s="100">
        <f t="shared" si="209"/>
        <v>8.6000000000000014</v>
      </c>
    </row>
    <row r="243" spans="1:15" ht="15" thickBot="1" x14ac:dyDescent="0.35">
      <c r="A243" s="55" t="s">
        <v>92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O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13"/>
        <v>11.134</v>
      </c>
      <c r="O243" s="100">
        <f t="shared" si="213"/>
        <v>10.67</v>
      </c>
    </row>
    <row r="244" spans="1:15" ht="15" thickBot="1" x14ac:dyDescent="0.35">
      <c r="A244" s="55" t="s">
        <v>328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13"/>
        <v>8.3409999999999993</v>
      </c>
      <c r="O244" s="100">
        <f t="shared" si="213"/>
        <v>8.4849999999999994</v>
      </c>
    </row>
    <row r="245" spans="1:15" ht="15" thickBot="1" x14ac:dyDescent="0.35">
      <c r="A245" s="55" t="s">
        <v>329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13"/>
        <v>11.134</v>
      </c>
      <c r="O245" s="100">
        <f t="shared" si="213"/>
        <v>10.67</v>
      </c>
    </row>
    <row r="246" spans="1:15" ht="15" thickBot="1" x14ac:dyDescent="0.35">
      <c r="A246" s="55" t="s">
        <v>151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13"/>
        <v>8.3409999999999993</v>
      </c>
      <c r="O246" s="100">
        <f t="shared" si="213"/>
        <v>8.4849999999999994</v>
      </c>
    </row>
    <row r="247" spans="1:15" ht="15" thickBot="1" x14ac:dyDescent="0.35">
      <c r="A247" s="56" t="s">
        <v>91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13"/>
        <v>7.0179999999999998</v>
      </c>
      <c r="O247" s="100">
        <f t="shared" si="213"/>
        <v>7.4499999999999993</v>
      </c>
    </row>
    <row r="248" spans="1:15" ht="15" thickBot="1" x14ac:dyDescent="0.35">
      <c r="A248" s="52"/>
    </row>
    <row r="249" spans="1:15" ht="15" thickBot="1" x14ac:dyDescent="0.35">
      <c r="A249" s="54" t="s">
        <v>121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 t="shared" ref="N249:O249" si="215">SUM(N$161:N$162)+N$159+N$158+N$156+N$155+N$153+N$152+N$151+N97</f>
        <v>9.8109999999999999</v>
      </c>
      <c r="O249" s="100">
        <f t="shared" si="215"/>
        <v>9.6349999999999998</v>
      </c>
    </row>
    <row r="250" spans="1:15" ht="15" thickBot="1" x14ac:dyDescent="0.35">
      <c r="A250" s="55" t="s">
        <v>120</v>
      </c>
      <c r="G250" s="58">
        <f t="shared" ref="G250:G253" si="216">SUM(G$161:G$162)+G$159+G$158+G$156+G$155+G$153+G$152+G$150+G$149+G$148+G98</f>
        <v>35.332999999999998</v>
      </c>
      <c r="H250" s="58">
        <f t="shared" ref="H250:H253" si="217">SUM(H$161:H$162)+H$159+H$158+H$156+H$155+H$153+H$152+H$150+H$149+H$148+$H98</f>
        <v>35.924999999999997</v>
      </c>
      <c r="I250" s="58">
        <f t="shared" ref="I250:I253" si="218">SUM(I$161:I$162)+I$159+I$158+I$156+I$155+I$153+I$152+I$150+I$149+I$148+$I98</f>
        <v>36.989999999999995</v>
      </c>
      <c r="J250" s="58">
        <f t="shared" ref="J250:J253" si="219">SUM(J$161:J$162)+J$159+J$158+J$156+J$155+J$153+J$152+J$150+J$149+J$148+$J98</f>
        <v>38.564999999999998</v>
      </c>
      <c r="K250" s="58">
        <f t="shared" ref="K250:O253" si="220">SUM(K$161:K$162)+K$159+K$158+K$156+K$155+K$153+K$152+K$151+K98</f>
        <v>41.704000000000001</v>
      </c>
      <c r="L250" s="58">
        <f t="shared" si="220"/>
        <v>44.72</v>
      </c>
      <c r="M250" s="58">
        <f t="shared" si="220"/>
        <v>48.45</v>
      </c>
      <c r="N250" s="100">
        <f t="shared" si="220"/>
        <v>8.782</v>
      </c>
      <c r="O250" s="100">
        <f t="shared" si="220"/>
        <v>8.83</v>
      </c>
    </row>
    <row r="251" spans="1:15" ht="15" thickBot="1" x14ac:dyDescent="0.35">
      <c r="A251" s="55" t="s">
        <v>330</v>
      </c>
      <c r="G251" s="58">
        <f t="shared" si="216"/>
        <v>35.332999999999998</v>
      </c>
      <c r="H251" s="58">
        <f t="shared" si="217"/>
        <v>35.924999999999997</v>
      </c>
      <c r="I251" s="58">
        <f t="shared" si="218"/>
        <v>36.989999999999995</v>
      </c>
      <c r="J251" s="58">
        <f t="shared" si="219"/>
        <v>38.564999999999998</v>
      </c>
      <c r="K251" s="58">
        <f t="shared" si="220"/>
        <v>41.704000000000001</v>
      </c>
      <c r="L251" s="58">
        <f t="shared" si="220"/>
        <v>44.72</v>
      </c>
      <c r="M251" s="58">
        <f t="shared" si="220"/>
        <v>48.45</v>
      </c>
      <c r="N251" s="100">
        <f t="shared" si="220"/>
        <v>8.782</v>
      </c>
      <c r="O251" s="100">
        <f t="shared" si="220"/>
        <v>8.83</v>
      </c>
    </row>
    <row r="252" spans="1:15" ht="15" thickBot="1" x14ac:dyDescent="0.35">
      <c r="A252" s="55" t="s">
        <v>152</v>
      </c>
      <c r="G252" s="58">
        <f t="shared" si="216"/>
        <v>34.696000000000005</v>
      </c>
      <c r="H252" s="58">
        <f t="shared" si="217"/>
        <v>35.08</v>
      </c>
      <c r="I252" s="58">
        <f t="shared" si="218"/>
        <v>35.754999999999995</v>
      </c>
      <c r="J252" s="58">
        <f t="shared" si="219"/>
        <v>36.744999999999997</v>
      </c>
      <c r="K252" s="58">
        <f t="shared" si="220"/>
        <v>39.156000000000006</v>
      </c>
      <c r="L252" s="58">
        <f t="shared" si="220"/>
        <v>41.99</v>
      </c>
      <c r="M252" s="58">
        <f t="shared" si="220"/>
        <v>44.225000000000001</v>
      </c>
      <c r="N252" s="100">
        <f t="shared" si="220"/>
        <v>6.8710000000000004</v>
      </c>
      <c r="O252" s="100">
        <f t="shared" si="220"/>
        <v>7.335</v>
      </c>
    </row>
    <row r="253" spans="1:15" ht="15" thickBot="1" x14ac:dyDescent="0.35">
      <c r="A253" s="56" t="s">
        <v>119</v>
      </c>
      <c r="G253" s="63">
        <f t="shared" si="216"/>
        <v>35.431000000000004</v>
      </c>
      <c r="H253" s="63">
        <f t="shared" si="217"/>
        <v>36.055</v>
      </c>
      <c r="I253" s="63">
        <f t="shared" si="218"/>
        <v>37.18</v>
      </c>
      <c r="J253" s="63">
        <f t="shared" si="219"/>
        <v>38.844999999999999</v>
      </c>
      <c r="K253" s="63">
        <f t="shared" si="220"/>
        <v>42.096000000000004</v>
      </c>
      <c r="L253" s="63">
        <f t="shared" si="220"/>
        <v>45.14</v>
      </c>
      <c r="M253" s="63">
        <f t="shared" si="220"/>
        <v>49.099999999999994</v>
      </c>
      <c r="N253" s="100">
        <f t="shared" si="220"/>
        <v>9.0760000000000005</v>
      </c>
      <c r="O253" s="100">
        <f t="shared" si="220"/>
        <v>9.0599999999999987</v>
      </c>
    </row>
    <row r="254" spans="1:15" ht="15" thickBot="1" x14ac:dyDescent="0.35">
      <c r="A254" s="52"/>
    </row>
    <row r="255" spans="1:15" ht="15" thickBot="1" x14ac:dyDescent="0.35">
      <c r="A255" s="54" t="s">
        <v>118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 t="shared" ref="N255:O255" si="221">SUM(N$161:N$162)+N$159+N$158+N$156+N$155+N$153+N$152+N$150+N$149+N$148+N103</f>
        <v>10.698</v>
      </c>
      <c r="O255" s="100">
        <f t="shared" si="221"/>
        <v>10.434999999999999</v>
      </c>
    </row>
    <row r="256" spans="1:15" ht="15" thickBot="1" x14ac:dyDescent="0.35">
      <c r="A256" s="55" t="s">
        <v>117</v>
      </c>
      <c r="G256" s="58">
        <f t="shared" ref="G256:G259" si="222">SUM(G$161:G$162)+G$159+G$158+G$156+G$155+G$153+G$152+G$150+G$149+G$148+G104</f>
        <v>35.332999999999998</v>
      </c>
      <c r="H256" s="58">
        <f t="shared" ref="H256:H259" si="223">SUM(H$161:H$162)+H$159+H$158+H$156+H$155+H$153+H$152+H$150+H$149+H$148+$H104</f>
        <v>35.924999999999997</v>
      </c>
      <c r="I256" s="58">
        <f t="shared" ref="I256:I259" si="224">SUM(I$161:I$162)+I$159+I$158+I$156+I$155+I$153+I$152+I$150+I$149+I$148+$I104</f>
        <v>36.989999999999995</v>
      </c>
      <c r="J256" s="58">
        <f t="shared" ref="J256:J259" si="225">SUM(J$161:J$162)+J$159+J$158+J$156+J$155+J$153+J$152+J$150+J$149+J$148+$J104</f>
        <v>38.564999999999998</v>
      </c>
      <c r="K256" s="58">
        <f t="shared" ref="K256:L259" si="226">SUM(K$161:K$162)+K$159+K$158+K$156+K$155+K$153+K$152+K$150+K$149+K$148+K104</f>
        <v>40.501999999999995</v>
      </c>
      <c r="L256" s="58">
        <f t="shared" si="226"/>
        <v>44.645000000000003</v>
      </c>
      <c r="M256" s="58">
        <f>SUM(M$161:M$162)+M$159+M$158+M$156+M$155+M$153+M$152+M$150+M$149+M$148+M104</f>
        <v>48.674999999999997</v>
      </c>
      <c r="N256" s="100">
        <f t="shared" ref="N256:O256" si="227">SUM(N$161:N$162)+N$159+N$158+N$156+N$155+N$153+N$152+N$150+N$149+N$148+N104</f>
        <v>9.6690000000000005</v>
      </c>
      <c r="O256" s="100">
        <f t="shared" si="227"/>
        <v>9.629999999999999</v>
      </c>
    </row>
    <row r="257" spans="1:15" ht="15" thickBot="1" x14ac:dyDescent="0.35">
      <c r="A257" s="55" t="s">
        <v>331</v>
      </c>
      <c r="G257" s="58">
        <f t="shared" si="222"/>
        <v>35.332999999999998</v>
      </c>
      <c r="H257" s="58">
        <f t="shared" si="223"/>
        <v>35.924999999999997</v>
      </c>
      <c r="I257" s="58">
        <f t="shared" si="224"/>
        <v>36.989999999999995</v>
      </c>
      <c r="J257" s="58">
        <f t="shared" si="225"/>
        <v>38.564999999999998</v>
      </c>
      <c r="K257" s="58">
        <f t="shared" si="226"/>
        <v>40.501999999999995</v>
      </c>
      <c r="L257" s="58">
        <f t="shared" si="226"/>
        <v>44.645000000000003</v>
      </c>
      <c r="M257" s="58">
        <f>SUM(M$161:M$162)+M$159+M$158+M$156+M$155+M$153+M$152+M$150+M$149+M$148+M105</f>
        <v>48.674999999999997</v>
      </c>
      <c r="N257" s="100">
        <f t="shared" ref="N257:O257" si="228">SUM(N$161:N$162)+N$159+N$158+N$156+N$155+N$153+N$152+N$150+N$149+N$148+N105</f>
        <v>9.6690000000000005</v>
      </c>
      <c r="O257" s="100">
        <f t="shared" si="228"/>
        <v>9.629999999999999</v>
      </c>
    </row>
    <row r="258" spans="1:15" ht="15" thickBot="1" x14ac:dyDescent="0.35">
      <c r="A258" s="55" t="s">
        <v>153</v>
      </c>
      <c r="G258" s="58">
        <f t="shared" si="222"/>
        <v>34.696000000000005</v>
      </c>
      <c r="H258" s="58">
        <f t="shared" si="223"/>
        <v>35.08</v>
      </c>
      <c r="I258" s="58">
        <f t="shared" si="224"/>
        <v>35.754999999999995</v>
      </c>
      <c r="J258" s="58">
        <f t="shared" si="225"/>
        <v>36.744999999999997</v>
      </c>
      <c r="K258" s="58">
        <f t="shared" si="226"/>
        <v>37.953999999999994</v>
      </c>
      <c r="L258" s="58">
        <f t="shared" si="226"/>
        <v>41.915000000000006</v>
      </c>
      <c r="M258" s="58">
        <f>SUM(M$161:M$162)+M$159+M$158+M$156+M$155+M$153+M$152+M$150+M$149+M$148+M106</f>
        <v>44.45</v>
      </c>
      <c r="N258" s="100">
        <f t="shared" ref="N258:O258" si="229">SUM(N$161:N$162)+N$159+N$158+N$156+N$155+N$153+N$152+N$150+N$149+N$148+N106</f>
        <v>7.7580000000000009</v>
      </c>
      <c r="O258" s="100">
        <f t="shared" si="229"/>
        <v>8.1349999999999998</v>
      </c>
    </row>
    <row r="259" spans="1:15" ht="15" thickBot="1" x14ac:dyDescent="0.35">
      <c r="A259" s="56" t="s">
        <v>90</v>
      </c>
      <c r="G259" s="63">
        <f t="shared" si="222"/>
        <v>35.431000000000004</v>
      </c>
      <c r="H259" s="63">
        <f t="shared" si="223"/>
        <v>36.055</v>
      </c>
      <c r="I259" s="63">
        <f t="shared" si="224"/>
        <v>37.18</v>
      </c>
      <c r="J259" s="63">
        <f t="shared" si="225"/>
        <v>38.844999999999999</v>
      </c>
      <c r="K259" s="63">
        <f t="shared" si="226"/>
        <v>40.893999999999998</v>
      </c>
      <c r="L259" s="63">
        <f t="shared" si="226"/>
        <v>45.064999999999998</v>
      </c>
      <c r="M259" s="63">
        <f>SUM(M$161:M$162)+M$159+M$158+M$156+M$155+M$153+M$152+M$150+M$149+M$148+M107</f>
        <v>49.325000000000003</v>
      </c>
      <c r="N259" s="100">
        <f t="shared" ref="N259:O259" si="230">SUM(N$161:N$162)+N$159+N$158+N$156+N$155+N$153+N$152+N$150+N$149+N$148+N107</f>
        <v>9.963000000000001</v>
      </c>
      <c r="O259" s="100">
        <f t="shared" si="230"/>
        <v>9.86</v>
      </c>
    </row>
    <row r="260" spans="1:15" ht="15" thickBot="1" x14ac:dyDescent="0.35">
      <c r="A260" s="52"/>
    </row>
    <row r="261" spans="1:15" ht="15" thickBot="1" x14ac:dyDescent="0.35">
      <c r="A261" s="54" t="s">
        <v>89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O262" si="231">SUM(N$161:N$162)+N$159+N$158+N$156+N$155+N$153+N$152+N$150+N$149+N$148+N109</f>
        <v>9.375</v>
      </c>
      <c r="O261" s="100">
        <f t="shared" si="231"/>
        <v>9.4</v>
      </c>
    </row>
    <row r="262" spans="1:15" ht="15" thickBot="1" x14ac:dyDescent="0.35">
      <c r="A262" s="55" t="s">
        <v>88</v>
      </c>
      <c r="G262" s="58">
        <f t="shared" ref="G262:G266" si="232">SUM(G$161:G$162)+G$159+G$158+G$156+G$155+G$153+G$152+G$150+G$149+G$148+G110</f>
        <v>38.117000000000004</v>
      </c>
      <c r="H262" s="58">
        <f t="shared" ref="H262:H266" si="233">SUM(H$161:H$162)+H$159+H$158+H$156+H$155+H$153+H$152+H$150+H$149+H$148+$H110</f>
        <v>38.964999999999996</v>
      </c>
      <c r="I262" s="58">
        <f t="shared" ref="I262:I266" si="234">SUM(I$161:I$162)+I$159+I$158+I$156+I$155+I$153+I$152+I$150+I$149+I$148+$I110</f>
        <v>40.51</v>
      </c>
      <c r="J262" s="58">
        <f t="shared" ref="J262:J266" si="235">SUM(J$161:J$162)+J$159+J$158+J$156+J$155+J$153+J$152+J$150+J$149+J$148+$J110</f>
        <v>42.805</v>
      </c>
      <c r="K262" s="58">
        <f t="shared" ref="K262:O266" si="236">SUM(K$161:K$162)+K$159+K$158+K$156+K$155+K$153+K$152+K$150+K$149+K$148+K110</f>
        <v>45.637999999999998</v>
      </c>
      <c r="L262" s="58">
        <f t="shared" si="236"/>
        <v>51.005000000000003</v>
      </c>
      <c r="M262" s="58">
        <f t="shared" si="236"/>
        <v>56.875</v>
      </c>
      <c r="N262" s="100">
        <f t="shared" si="231"/>
        <v>12.021000000000001</v>
      </c>
      <c r="O262" s="100">
        <f t="shared" si="231"/>
        <v>11.469999999999999</v>
      </c>
    </row>
    <row r="263" spans="1:15" ht="15" thickBot="1" x14ac:dyDescent="0.35">
      <c r="A263" s="55" t="s">
        <v>332</v>
      </c>
      <c r="G263" s="58">
        <f t="shared" si="232"/>
        <v>37.186000000000007</v>
      </c>
      <c r="H263" s="58">
        <f t="shared" si="233"/>
        <v>37.729999999999997</v>
      </c>
      <c r="I263" s="58">
        <f t="shared" si="234"/>
        <v>38.704999999999998</v>
      </c>
      <c r="J263" s="58">
        <f t="shared" si="235"/>
        <v>40.144999999999996</v>
      </c>
      <c r="K263" s="58">
        <f t="shared" si="236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ref="N263:O263" si="237">SUM(N$161:N$162)+N$159+N$158+N$156+N$155+N$153+N$152+N$150+N$149+N$148+N111</f>
        <v>9.2279999999999998</v>
      </c>
      <c r="O263" s="100">
        <f t="shared" si="237"/>
        <v>9.2850000000000001</v>
      </c>
    </row>
    <row r="264" spans="1:15" ht="15" thickBot="1" x14ac:dyDescent="0.35">
      <c r="A264" s="55" t="s">
        <v>335</v>
      </c>
      <c r="G264" s="58">
        <f t="shared" si="232"/>
        <v>38.215000000000003</v>
      </c>
      <c r="H264" s="58">
        <f t="shared" si="233"/>
        <v>39.094999999999999</v>
      </c>
      <c r="I264" s="58">
        <f t="shared" si="234"/>
        <v>40.700000000000003</v>
      </c>
      <c r="J264" s="58">
        <f t="shared" si="235"/>
        <v>43.085000000000001</v>
      </c>
      <c r="K264" s="58">
        <f t="shared" si="236"/>
        <v>46.03</v>
      </c>
      <c r="L264" s="58">
        <f t="shared" si="236"/>
        <v>51.425000000000004</v>
      </c>
      <c r="M264" s="58">
        <f t="shared" si="236"/>
        <v>57.525000000000006</v>
      </c>
      <c r="N264" s="100">
        <f t="shared" si="236"/>
        <v>12.315</v>
      </c>
      <c r="O264" s="100">
        <f t="shared" si="236"/>
        <v>11.7</v>
      </c>
    </row>
    <row r="265" spans="1:15" ht="15" thickBot="1" x14ac:dyDescent="0.35">
      <c r="A265" s="55" t="s">
        <v>154</v>
      </c>
      <c r="G265" s="58">
        <f t="shared" si="232"/>
        <v>37.186000000000007</v>
      </c>
      <c r="H265" s="58">
        <f t="shared" si="233"/>
        <v>37.729999999999997</v>
      </c>
      <c r="I265" s="58">
        <f t="shared" si="234"/>
        <v>38.704999999999998</v>
      </c>
      <c r="J265" s="58">
        <f t="shared" si="235"/>
        <v>40.144999999999996</v>
      </c>
      <c r="K265" s="58">
        <f t="shared" si="236"/>
        <v>41.914000000000001</v>
      </c>
      <c r="L265" s="58">
        <f t="shared" si="236"/>
        <v>47.015000000000001</v>
      </c>
      <c r="M265" s="58">
        <f>SUM(M$161:M$162)+M$159+M$158+M$156+M$155+M$153+M$152+M$150+M$149+M$148+M113</f>
        <v>50.7</v>
      </c>
      <c r="N265" s="100">
        <f t="shared" ref="N265:O265" si="238">SUM(N$161:N$162)+N$159+N$158+N$156+N$155+N$153+N$152+N$150+N$149+N$148+N113</f>
        <v>9.2279999999999998</v>
      </c>
      <c r="O265" s="100">
        <f t="shared" si="238"/>
        <v>9.2850000000000001</v>
      </c>
    </row>
    <row r="266" spans="1:15" ht="15" thickBot="1" x14ac:dyDescent="0.35">
      <c r="A266" s="56" t="s">
        <v>87</v>
      </c>
      <c r="G266" s="63">
        <f t="shared" si="232"/>
        <v>36.745000000000005</v>
      </c>
      <c r="H266" s="63">
        <f t="shared" si="233"/>
        <v>37.144999999999996</v>
      </c>
      <c r="I266" s="63">
        <f t="shared" si="234"/>
        <v>37.85</v>
      </c>
      <c r="J266" s="63">
        <f t="shared" si="235"/>
        <v>38.884999999999998</v>
      </c>
      <c r="K266" s="63">
        <f t="shared" si="236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ref="N266:O266" si="239">SUM(N$161:N$162)+N$159+N$158+N$156+N$155+N$153+N$152+N$150+N$149+N$148+N114</f>
        <v>7.9050000000000002</v>
      </c>
      <c r="O266" s="100">
        <f t="shared" si="239"/>
        <v>8.25</v>
      </c>
    </row>
    <row r="267" spans="1:15" ht="15" thickBot="1" x14ac:dyDescent="0.35">
      <c r="A267" s="52"/>
    </row>
    <row r="268" spans="1:15" ht="15" thickBot="1" x14ac:dyDescent="0.35">
      <c r="A268" s="54" t="s">
        <v>86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O273" si="240">SUM(K$161:K$162)+K$159+K$158+K$156+K$155+K$153+K$152+K$150+K$149+K$148+K116</f>
        <v>42.11</v>
      </c>
      <c r="L268" s="58">
        <f t="shared" si="240"/>
        <v>47.225000000000009</v>
      </c>
      <c r="M268" s="58">
        <f t="shared" si="240"/>
        <v>51.025000000000006</v>
      </c>
      <c r="N268" s="100">
        <f t="shared" si="240"/>
        <v>9.375</v>
      </c>
      <c r="O268" s="100">
        <f t="shared" si="240"/>
        <v>9.4</v>
      </c>
    </row>
    <row r="269" spans="1:15" ht="15" thickBot="1" x14ac:dyDescent="0.35">
      <c r="A269" s="55" t="s">
        <v>85</v>
      </c>
      <c r="G269" s="58">
        <f t="shared" ref="G269:G273" si="241">SUM(G$161:G$162)+G$159+G$158+G$156+G$155+G$153+G$152+G$150+G$149+G$148+G117</f>
        <v>38.117000000000004</v>
      </c>
      <c r="H269" s="58">
        <f t="shared" ref="H269:H273" si="242">SUM(H$161:H$162)+H$159+H$158+H$156+H$155+H$153+H$152+H$150+H$149+H$148+$H117</f>
        <v>38.964999999999996</v>
      </c>
      <c r="I269" s="58">
        <f t="shared" ref="I269:I273" si="243">SUM(I$161:I$162)+I$159+I$158+I$156+I$155+I$153+I$152+I$150+I$149+I$148+$I117</f>
        <v>40.51</v>
      </c>
      <c r="J269" s="58">
        <f t="shared" ref="J269:J273" si="244">SUM(J$161:J$162)+J$159+J$158+J$156+J$155+J$153+J$152+J$150+J$149+J$148+$J117</f>
        <v>42.805</v>
      </c>
      <c r="K269" s="58">
        <f t="shared" si="240"/>
        <v>45.637999999999998</v>
      </c>
      <c r="L269" s="58">
        <f t="shared" si="240"/>
        <v>51.005000000000003</v>
      </c>
      <c r="M269" s="58">
        <f t="shared" si="240"/>
        <v>56.875</v>
      </c>
      <c r="N269" s="100">
        <f t="shared" si="240"/>
        <v>12.021000000000001</v>
      </c>
      <c r="O269" s="100">
        <f t="shared" si="240"/>
        <v>11.469999999999999</v>
      </c>
    </row>
    <row r="270" spans="1:15" ht="15" thickBot="1" x14ac:dyDescent="0.35">
      <c r="A270" s="55" t="s">
        <v>333</v>
      </c>
      <c r="G270" s="58">
        <f t="shared" si="241"/>
        <v>37.186000000000007</v>
      </c>
      <c r="H270" s="58">
        <f t="shared" si="242"/>
        <v>37.729999999999997</v>
      </c>
      <c r="I270" s="58">
        <f t="shared" si="243"/>
        <v>38.704999999999998</v>
      </c>
      <c r="J270" s="58">
        <f t="shared" si="244"/>
        <v>40.144999999999996</v>
      </c>
      <c r="K270" s="58">
        <f t="shared" si="240"/>
        <v>41.914000000000001</v>
      </c>
      <c r="L270" s="58">
        <f t="shared" si="240"/>
        <v>47.015000000000001</v>
      </c>
      <c r="M270" s="58">
        <f t="shared" si="240"/>
        <v>50.7</v>
      </c>
      <c r="N270" s="100">
        <f t="shared" si="240"/>
        <v>9.2279999999999998</v>
      </c>
      <c r="O270" s="100">
        <f t="shared" si="240"/>
        <v>9.2850000000000001</v>
      </c>
    </row>
    <row r="271" spans="1:15" ht="15" thickBot="1" x14ac:dyDescent="0.35">
      <c r="A271" s="55" t="s">
        <v>334</v>
      </c>
      <c r="G271" s="58">
        <f t="shared" si="241"/>
        <v>38.215000000000003</v>
      </c>
      <c r="H271" s="58">
        <f t="shared" si="242"/>
        <v>39.094999999999999</v>
      </c>
      <c r="I271" s="58">
        <f t="shared" si="243"/>
        <v>40.700000000000003</v>
      </c>
      <c r="J271" s="58">
        <f t="shared" si="244"/>
        <v>43.085000000000001</v>
      </c>
      <c r="K271" s="58">
        <f t="shared" si="240"/>
        <v>46.03</v>
      </c>
      <c r="L271" s="58">
        <f t="shared" si="240"/>
        <v>51.425000000000004</v>
      </c>
      <c r="M271" s="58">
        <f t="shared" si="240"/>
        <v>57.525000000000006</v>
      </c>
      <c r="N271" s="100">
        <f t="shared" si="240"/>
        <v>12.315</v>
      </c>
      <c r="O271" s="100">
        <f t="shared" si="240"/>
        <v>11.7</v>
      </c>
    </row>
    <row r="272" spans="1:15" ht="15" thickBot="1" x14ac:dyDescent="0.35">
      <c r="A272" s="55" t="s">
        <v>154</v>
      </c>
      <c r="G272" s="58">
        <f t="shared" si="241"/>
        <v>37.186000000000007</v>
      </c>
      <c r="H272" s="58">
        <f t="shared" si="242"/>
        <v>37.729999999999997</v>
      </c>
      <c r="I272" s="58">
        <f t="shared" si="243"/>
        <v>38.704999999999998</v>
      </c>
      <c r="J272" s="58">
        <f t="shared" si="244"/>
        <v>40.144999999999996</v>
      </c>
      <c r="K272" s="58">
        <f t="shared" si="240"/>
        <v>41.914000000000001</v>
      </c>
      <c r="L272" s="58">
        <f t="shared" si="240"/>
        <v>47.015000000000001</v>
      </c>
      <c r="M272" s="58">
        <f t="shared" si="240"/>
        <v>50.7</v>
      </c>
      <c r="N272" s="100">
        <f t="shared" si="240"/>
        <v>9.2279999999999998</v>
      </c>
      <c r="O272" s="100">
        <f t="shared" si="240"/>
        <v>9.2850000000000001</v>
      </c>
    </row>
    <row r="273" spans="1:15" ht="15" thickBot="1" x14ac:dyDescent="0.35">
      <c r="A273" s="56" t="s">
        <v>84</v>
      </c>
      <c r="G273" s="63">
        <f t="shared" si="241"/>
        <v>36.745000000000005</v>
      </c>
      <c r="H273" s="63">
        <f t="shared" si="242"/>
        <v>37.144999999999996</v>
      </c>
      <c r="I273" s="63">
        <f t="shared" si="243"/>
        <v>37.85</v>
      </c>
      <c r="J273" s="63">
        <f t="shared" si="244"/>
        <v>38.884999999999998</v>
      </c>
      <c r="K273" s="63">
        <f t="shared" si="240"/>
        <v>40.15</v>
      </c>
      <c r="L273" s="63">
        <f t="shared" si="240"/>
        <v>45.125</v>
      </c>
      <c r="M273" s="63">
        <f t="shared" si="240"/>
        <v>47.775000000000006</v>
      </c>
      <c r="N273" s="100">
        <f t="shared" si="240"/>
        <v>7.9050000000000002</v>
      </c>
      <c r="O273" s="100">
        <f t="shared" si="240"/>
        <v>8.25</v>
      </c>
    </row>
    <row r="274" spans="1:15" x14ac:dyDescent="0.3">
      <c r="A274" s="52"/>
    </row>
    <row r="275" spans="1:15" ht="15" thickBot="1" x14ac:dyDescent="0.35"/>
    <row r="276" spans="1:15" ht="15" thickBot="1" x14ac:dyDescent="0.35">
      <c r="A276" s="54" t="s">
        <v>74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45">MIN(I167:I273)</f>
        <v>34.674999999999997</v>
      </c>
      <c r="J276" s="78">
        <f t="shared" si="245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40</v>
      </c>
      <c r="N276" s="18">
        <f>MIN(N171:N274)</f>
        <v>5.0969999999999995</v>
      </c>
      <c r="O276" s="18">
        <f>MIN(O171:O274)</f>
        <v>5.7350000000000003</v>
      </c>
    </row>
    <row r="277" spans="1:15" ht="15" thickBot="1" x14ac:dyDescent="0.35">
      <c r="A277" s="56" t="s">
        <v>75</v>
      </c>
      <c r="G277" s="78">
        <f>MAX(G167:G273)</f>
        <v>43.888999999999996</v>
      </c>
      <c r="H277" s="78">
        <f t="shared" ref="H277:J277" si="246">MAX(H167:H273)</f>
        <v>44.809000000000005</v>
      </c>
      <c r="I277" s="78">
        <f t="shared" si="246"/>
        <v>45.03</v>
      </c>
      <c r="J277" s="78">
        <f t="shared" si="246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12.315</v>
      </c>
      <c r="O277" s="18">
        <f>MAX(O171:O274)</f>
        <v>11.7</v>
      </c>
    </row>
    <row r="279" spans="1:15" ht="15" thickBot="1" x14ac:dyDescent="0.35"/>
    <row r="280" spans="1:15" ht="15" thickBot="1" x14ac:dyDescent="0.35">
      <c r="A280" s="80" t="s">
        <v>76</v>
      </c>
      <c r="C280" s="217" t="s">
        <v>171</v>
      </c>
      <c r="D280" s="218"/>
      <c r="E280" s="219"/>
      <c r="G280" s="217" t="s">
        <v>172</v>
      </c>
      <c r="H280" s="218"/>
      <c r="I280" s="219"/>
    </row>
    <row r="281" spans="1:15" ht="15" thickBot="1" x14ac:dyDescent="0.35">
      <c r="A281" s="81" t="s">
        <v>80</v>
      </c>
      <c r="C281" s="117">
        <v>47</v>
      </c>
      <c r="D281" s="104">
        <v>862</v>
      </c>
      <c r="E281" s="116" t="s">
        <v>79</v>
      </c>
      <c r="G281" s="103">
        <v>950</v>
      </c>
      <c r="H281" s="104">
        <v>2150</v>
      </c>
      <c r="I281" s="114" t="s">
        <v>79</v>
      </c>
    </row>
    <row r="282" spans="1:15" ht="15" thickBot="1" x14ac:dyDescent="0.35">
      <c r="A282" s="79" t="s">
        <v>77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40</v>
      </c>
      <c r="I282" s="102">
        <f>H282-G282</f>
        <v>1.9350000000000023</v>
      </c>
    </row>
    <row r="283" spans="1:15" ht="15" thickBot="1" x14ac:dyDescent="0.35">
      <c r="A283" s="78" t="s">
        <v>78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35">
      <c r="A284" s="78" t="s">
        <v>79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17.525000000000006</v>
      </c>
      <c r="I284" s="90">
        <f>H283-G282</f>
        <v>19.460000000000008</v>
      </c>
    </row>
    <row r="286" spans="1:15" ht="15" thickBot="1" x14ac:dyDescent="0.35"/>
    <row r="287" spans="1:15" ht="15" thickBot="1" x14ac:dyDescent="0.35">
      <c r="C287" s="114" t="s">
        <v>197</v>
      </c>
      <c r="D287" s="114" t="s">
        <v>198</v>
      </c>
    </row>
    <row r="288" spans="1:15" ht="15" thickBot="1" x14ac:dyDescent="0.35">
      <c r="A288" s="114" t="s">
        <v>156</v>
      </c>
      <c r="C288" s="115">
        <f>N277</f>
        <v>12.315</v>
      </c>
      <c r="D288" s="115">
        <f>O277</f>
        <v>11.7</v>
      </c>
    </row>
    <row r="289" spans="1:6" x14ac:dyDescent="0.3">
      <c r="C289" s="83" t="s">
        <v>155</v>
      </c>
      <c r="D289" s="83" t="s">
        <v>155</v>
      </c>
    </row>
    <row r="290" spans="1:6" ht="15" thickBot="1" x14ac:dyDescent="0.35"/>
    <row r="291" spans="1:6" ht="15" thickBot="1" x14ac:dyDescent="0.35">
      <c r="A291" s="114" t="s">
        <v>199</v>
      </c>
    </row>
    <row r="292" spans="1:6" ht="15" thickBot="1" x14ac:dyDescent="0.35">
      <c r="A292" s="78" t="s">
        <v>214</v>
      </c>
    </row>
    <row r="293" spans="1:6" ht="15" thickBot="1" x14ac:dyDescent="0.35">
      <c r="C293" s="127" t="s">
        <v>49</v>
      </c>
      <c r="D293" s="128" t="s">
        <v>50</v>
      </c>
      <c r="E293" s="128" t="s">
        <v>200</v>
      </c>
      <c r="F293" s="129" t="s">
        <v>51</v>
      </c>
    </row>
    <row r="294" spans="1:6" x14ac:dyDescent="0.3">
      <c r="A294" s="124" t="s">
        <v>201</v>
      </c>
      <c r="C294" s="130">
        <v>40</v>
      </c>
      <c r="D294" s="115">
        <v>30</v>
      </c>
      <c r="E294" s="115">
        <v>47</v>
      </c>
      <c r="F294" s="131">
        <v>47</v>
      </c>
    </row>
    <row r="295" spans="1:6" ht="15" thickBot="1" x14ac:dyDescent="0.35">
      <c r="A295" s="125" t="s">
        <v>202</v>
      </c>
      <c r="C295" s="132">
        <v>70</v>
      </c>
      <c r="D295" s="133">
        <v>70</v>
      </c>
      <c r="E295" s="133">
        <v>70</v>
      </c>
      <c r="F295" s="134">
        <v>70</v>
      </c>
    </row>
    <row r="296" spans="1:6" ht="15" thickBot="1" x14ac:dyDescent="0.35"/>
    <row r="297" spans="1:6" ht="15" thickBot="1" x14ac:dyDescent="0.35">
      <c r="A297" s="126" t="s">
        <v>203</v>
      </c>
    </row>
    <row r="298" spans="1:6" x14ac:dyDescent="0.3">
      <c r="A298" s="124" t="s">
        <v>204</v>
      </c>
      <c r="C298" s="135">
        <f>MAX(H167:H273)+C294</f>
        <v>84.808999999999997</v>
      </c>
      <c r="D298" s="136">
        <f>MAX(I167:I273)+D294</f>
        <v>75.03</v>
      </c>
      <c r="E298" s="136">
        <f>MAX(K167:K273)+E294</f>
        <v>96.51</v>
      </c>
      <c r="F298" s="137">
        <f>MAX(M167:M273)+F294</f>
        <v>104.52500000000001</v>
      </c>
    </row>
    <row r="299" spans="1:6" ht="15" thickBot="1" x14ac:dyDescent="0.35">
      <c r="A299" s="125" t="s">
        <v>205</v>
      </c>
      <c r="C299" s="138">
        <f>MIN(H167:H273)+C295</f>
        <v>104.16200000000001</v>
      </c>
      <c r="D299" s="139">
        <f>MIN(I167:I273)+D295</f>
        <v>104.675</v>
      </c>
      <c r="E299" s="139">
        <f>MIN(K167:K273)+E295</f>
        <v>106.358</v>
      </c>
      <c r="F299" s="140">
        <f>MIN(M167:M273)+F295</f>
        <v>110</v>
      </c>
    </row>
    <row r="300" spans="1:6" ht="15" thickBot="1" x14ac:dyDescent="0.35"/>
    <row r="301" spans="1:6" ht="15" thickBot="1" x14ac:dyDescent="0.35">
      <c r="A301" s="78" t="s">
        <v>206</v>
      </c>
      <c r="C301" s="141">
        <f>0.25*C298+0.75*C299</f>
        <v>99.32374999999999</v>
      </c>
      <c r="D301" s="142">
        <f>0.25*D298+0.75*D299</f>
        <v>97.263749999999987</v>
      </c>
      <c r="E301" s="136">
        <f>0.25*E298+0.75*E299</f>
        <v>103.896</v>
      </c>
      <c r="F301" s="137">
        <f>0.25*F298+0.75*F299</f>
        <v>108.63124999999999</v>
      </c>
    </row>
    <row r="302" spans="1:6" ht="15" thickBot="1" x14ac:dyDescent="0.35">
      <c r="A302" s="78" t="s">
        <v>207</v>
      </c>
      <c r="C302" s="146">
        <v>100</v>
      </c>
      <c r="D302" s="21">
        <v>98</v>
      </c>
      <c r="E302" s="21">
        <v>104</v>
      </c>
      <c r="F302" s="147">
        <v>105</v>
      </c>
    </row>
    <row r="303" spans="1:6" ht="15" thickBot="1" x14ac:dyDescent="0.35">
      <c r="A303" s="78" t="s">
        <v>208</v>
      </c>
      <c r="C303" s="176" t="s">
        <v>210</v>
      </c>
      <c r="D303" s="177" t="s">
        <v>211</v>
      </c>
      <c r="E303" s="177" t="s">
        <v>212</v>
      </c>
      <c r="F303" s="178" t="s">
        <v>213</v>
      </c>
    </row>
    <row r="305" spans="1:4" ht="15" thickBot="1" x14ac:dyDescent="0.35"/>
    <row r="306" spans="1:4" ht="15" thickBot="1" x14ac:dyDescent="0.35">
      <c r="A306" s="126" t="s">
        <v>257</v>
      </c>
      <c r="C306" s="114" t="s">
        <v>200</v>
      </c>
      <c r="D306" s="104" t="s">
        <v>51</v>
      </c>
    </row>
    <row r="307" spans="1:4" ht="15" thickBot="1" x14ac:dyDescent="0.35">
      <c r="A307" s="124" t="s">
        <v>255</v>
      </c>
      <c r="C307" s="179">
        <f>E302-MAX(G277:K277)</f>
        <v>54.489999999999995</v>
      </c>
      <c r="D307" s="63">
        <f>F302-MAX(L277:M277)</f>
        <v>47.474999999999994</v>
      </c>
    </row>
    <row r="308" spans="1:4" ht="15" thickBot="1" x14ac:dyDescent="0.35">
      <c r="A308" s="125" t="s">
        <v>256</v>
      </c>
      <c r="C308" s="60">
        <f>E302-MIN(G276:K276)</f>
        <v>70.126000000000005</v>
      </c>
      <c r="D308" s="63">
        <f>F302-MIN(L277:M277)</f>
        <v>51.674999999999997</v>
      </c>
    </row>
    <row r="310" spans="1:4" ht="15" thickBot="1" x14ac:dyDescent="0.35"/>
    <row r="311" spans="1:4" x14ac:dyDescent="0.3">
      <c r="A311" s="126" t="s">
        <v>320</v>
      </c>
    </row>
    <row r="312" spans="1:4" x14ac:dyDescent="0.3">
      <c r="A312" s="82" t="s">
        <v>322</v>
      </c>
      <c r="B312" s="21">
        <f>N161+N158+N155+N152+N149+N146</f>
        <v>2.3220000000000001</v>
      </c>
    </row>
    <row r="313" spans="1:4" x14ac:dyDescent="0.3">
      <c r="A313" s="82" t="s">
        <v>321</v>
      </c>
      <c r="B313" s="21">
        <f>E116*N6+D119*N5</f>
        <v>5.879999999999999</v>
      </c>
    </row>
    <row r="314" spans="1:4" x14ac:dyDescent="0.3">
      <c r="A314" s="83" t="s">
        <v>323</v>
      </c>
      <c r="B314" s="90">
        <f>B312+B313</f>
        <v>8.2019999999999982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7"/>
  <sheetViews>
    <sheetView topLeftCell="A68" zoomScale="69" zoomScaleNormal="69" workbookViewId="0">
      <selection activeCell="P6" sqref="P6"/>
    </sheetView>
  </sheetViews>
  <sheetFormatPr baseColWidth="10" defaultRowHeight="14.4" x14ac:dyDescent="0.3"/>
  <cols>
    <col min="1" max="1" width="55.33203125" customWidth="1"/>
    <col min="9" max="9" width="15.5546875" customWidth="1"/>
    <col min="10" max="15" width="11.6640625" bestFit="1" customWidth="1"/>
  </cols>
  <sheetData>
    <row r="1" spans="1:17" x14ac:dyDescent="0.3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54</v>
      </c>
      <c r="I1" s="42" t="s">
        <v>258</v>
      </c>
      <c r="J1" s="42" t="s">
        <v>209</v>
      </c>
      <c r="K1" s="42" t="s">
        <v>63</v>
      </c>
      <c r="L1" s="42" t="s">
        <v>64</v>
      </c>
      <c r="M1" s="42" t="s">
        <v>65</v>
      </c>
      <c r="N1" s="122" t="s">
        <v>66</v>
      </c>
      <c r="O1" s="45" t="s">
        <v>51</v>
      </c>
    </row>
    <row r="2" spans="1:17" ht="15" thickBot="1" x14ac:dyDescent="0.35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554</v>
      </c>
      <c r="K2" s="44">
        <v>570</v>
      </c>
      <c r="L2" s="44">
        <v>626</v>
      </c>
      <c r="M2" s="44">
        <v>650</v>
      </c>
      <c r="N2" s="123">
        <v>674</v>
      </c>
      <c r="O2" s="46">
        <v>2150</v>
      </c>
    </row>
    <row r="3" spans="1:17" ht="15" thickBot="1" x14ac:dyDescent="0.35">
      <c r="A3" s="72" t="s">
        <v>52</v>
      </c>
    </row>
    <row r="4" spans="1:17" ht="15" thickBot="1" x14ac:dyDescent="0.35">
      <c r="A4" s="73" t="s">
        <v>2</v>
      </c>
    </row>
    <row r="5" spans="1:17" x14ac:dyDescent="0.3">
      <c r="A5" s="70" t="s">
        <v>53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0.11</v>
      </c>
      <c r="L5" s="2">
        <v>0.11</v>
      </c>
      <c r="M5" s="2">
        <v>0.11</v>
      </c>
      <c r="N5" s="2">
        <v>0.11</v>
      </c>
      <c r="O5" s="2">
        <v>0.23</v>
      </c>
      <c r="P5" s="1"/>
    </row>
    <row r="6" spans="1:17" ht="15" thickBot="1" x14ac:dyDescent="0.35">
      <c r="A6" s="32"/>
    </row>
    <row r="7" spans="1:17" ht="15" thickBot="1" x14ac:dyDescent="0.35">
      <c r="A7" s="73" t="s">
        <v>67</v>
      </c>
    </row>
    <row r="8" spans="1:17" x14ac:dyDescent="0.3">
      <c r="A8" s="70" t="s">
        <v>68</v>
      </c>
      <c r="F8" s="2">
        <v>1</v>
      </c>
    </row>
    <row r="9" spans="1:17" x14ac:dyDescent="0.3">
      <c r="A9" s="9" t="s">
        <v>69</v>
      </c>
      <c r="G9" s="2">
        <v>8</v>
      </c>
    </row>
    <row r="10" spans="1:17" x14ac:dyDescent="0.3">
      <c r="A10" s="9" t="s">
        <v>70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</row>
    <row r="11" spans="1:17" x14ac:dyDescent="0.3">
      <c r="A11" s="9" t="s">
        <v>176</v>
      </c>
      <c r="O11" s="2">
        <v>42</v>
      </c>
    </row>
    <row r="12" spans="1:17" x14ac:dyDescent="0.3">
      <c r="A12" s="9" t="s">
        <v>177</v>
      </c>
      <c r="O12" s="2">
        <v>37</v>
      </c>
    </row>
    <row r="13" spans="1:17" x14ac:dyDescent="0.3">
      <c r="H13" s="1"/>
    </row>
    <row r="14" spans="1:17" ht="15" thickBot="1" x14ac:dyDescent="0.35"/>
    <row r="15" spans="1:17" x14ac:dyDescent="0.3">
      <c r="A15" s="101" t="s">
        <v>157</v>
      </c>
    </row>
    <row r="16" spans="1:17" x14ac:dyDescent="0.3">
      <c r="A16" s="9" t="s">
        <v>158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Q16" t="s">
        <v>195</v>
      </c>
    </row>
    <row r="17" spans="1:15" x14ac:dyDescent="0.3">
      <c r="A17" s="9" t="s">
        <v>159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20</v>
      </c>
    </row>
    <row r="18" spans="1:15" x14ac:dyDescent="0.3">
      <c r="A18" s="9" t="s">
        <v>160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</row>
    <row r="19" spans="1:15" x14ac:dyDescent="0.3">
      <c r="A19" s="9" t="s">
        <v>161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124</v>
      </c>
    </row>
    <row r="20" spans="1:15" x14ac:dyDescent="0.3">
      <c r="A20" s="9" t="s">
        <v>162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</row>
    <row r="22" spans="1:15" ht="15" thickBot="1" x14ac:dyDescent="0.35"/>
    <row r="23" spans="1:15" x14ac:dyDescent="0.3">
      <c r="A23" s="101" t="s">
        <v>163</v>
      </c>
    </row>
    <row r="24" spans="1:15" x14ac:dyDescent="0.3">
      <c r="A24" s="9" t="s">
        <v>158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</row>
    <row r="25" spans="1:15" x14ac:dyDescent="0.3">
      <c r="A25" s="9" t="s">
        <v>159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</row>
    <row r="26" spans="1:15" x14ac:dyDescent="0.3">
      <c r="A26" s="9" t="s">
        <v>160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</row>
    <row r="27" spans="1:15" x14ac:dyDescent="0.3">
      <c r="A27" s="9" t="s">
        <v>164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</row>
    <row r="28" spans="1:15" x14ac:dyDescent="0.3">
      <c r="A28" s="9" t="s">
        <v>162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</row>
    <row r="30" spans="1:15" ht="15" thickBot="1" x14ac:dyDescent="0.35"/>
    <row r="31" spans="1:15" x14ac:dyDescent="0.3">
      <c r="A31" s="105" t="s">
        <v>165</v>
      </c>
    </row>
    <row r="32" spans="1:15" x14ac:dyDescent="0.3">
      <c r="A32" s="107" t="s">
        <v>166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</row>
    <row r="33" spans="1:16" x14ac:dyDescent="0.3">
      <c r="A33" s="107" t="s">
        <v>167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81"/>
      <c r="P33" s="185"/>
    </row>
    <row r="34" spans="1:16" x14ac:dyDescent="0.3">
      <c r="A34" s="107" t="s">
        <v>168</v>
      </c>
      <c r="F34" s="106">
        <f t="shared" ref="F34:N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58.330195294568597</v>
      </c>
      <c r="K34" s="108">
        <f t="shared" si="0"/>
        <v>58.57749711344983</v>
      </c>
      <c r="L34" s="108">
        <f t="shared" si="0"/>
        <v>59.391486664208593</v>
      </c>
      <c r="M34" s="108">
        <f t="shared" si="0"/>
        <v>59.718267132857115</v>
      </c>
      <c r="N34" s="108">
        <f t="shared" si="0"/>
        <v>60.0331979307064</v>
      </c>
    </row>
    <row r="35" spans="1:16" x14ac:dyDescent="0.3">
      <c r="A35" s="107" t="s">
        <v>169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58.12</v>
      </c>
      <c r="K35" s="106">
        <v>58.93</v>
      </c>
      <c r="L35" s="106">
        <v>59.26</v>
      </c>
      <c r="M35" s="106">
        <v>59.57</v>
      </c>
      <c r="N35" s="106">
        <v>60.73</v>
      </c>
    </row>
    <row r="36" spans="1:16" x14ac:dyDescent="0.3">
      <c r="A36" s="109" t="s">
        <v>170</v>
      </c>
      <c r="F36" s="109" t="s">
        <v>155</v>
      </c>
      <c r="G36" s="109" t="s">
        <v>155</v>
      </c>
      <c r="H36" s="109" t="s">
        <v>155</v>
      </c>
      <c r="I36" s="109" t="s">
        <v>155</v>
      </c>
      <c r="J36" s="109" t="s">
        <v>155</v>
      </c>
      <c r="K36" s="109" t="s">
        <v>155</v>
      </c>
      <c r="L36" s="109" t="s">
        <v>155</v>
      </c>
      <c r="M36" s="109" t="s">
        <v>155</v>
      </c>
      <c r="N36" s="109" t="s">
        <v>155</v>
      </c>
    </row>
    <row r="38" spans="1:16" ht="15" thickBot="1" x14ac:dyDescent="0.35"/>
    <row r="39" spans="1:16" ht="15" thickBot="1" x14ac:dyDescent="0.35">
      <c r="C39" s="127" t="s">
        <v>218</v>
      </c>
      <c r="D39" s="129" t="s">
        <v>219</v>
      </c>
    </row>
    <row r="40" spans="1:16" ht="15" thickBot="1" x14ac:dyDescent="0.35">
      <c r="A40" s="126" t="s">
        <v>196</v>
      </c>
    </row>
    <row r="41" spans="1:16" x14ac:dyDescent="0.3">
      <c r="A41" s="124" t="s">
        <v>215</v>
      </c>
      <c r="F41" s="159">
        <f>Network!C302</f>
        <v>100</v>
      </c>
      <c r="G41" s="160">
        <f>Network!D302</f>
        <v>98</v>
      </c>
      <c r="H41" s="161">
        <f>Network!E302</f>
        <v>104</v>
      </c>
      <c r="I41" s="161">
        <f>Network!E302</f>
        <v>104</v>
      </c>
      <c r="J41" s="161">
        <f>Network!E302</f>
        <v>104</v>
      </c>
      <c r="K41" s="161">
        <f>Network!E302</f>
        <v>104</v>
      </c>
      <c r="L41" s="161">
        <f>Network!E302</f>
        <v>104</v>
      </c>
      <c r="M41" s="161">
        <f>Network!E302</f>
        <v>104</v>
      </c>
      <c r="N41" s="161">
        <f>Network!E302</f>
        <v>104</v>
      </c>
      <c r="O41" s="162">
        <f>Network!F302</f>
        <v>105</v>
      </c>
    </row>
    <row r="42" spans="1:16" ht="15" thickBot="1" x14ac:dyDescent="0.35">
      <c r="A42" s="149" t="s">
        <v>216</v>
      </c>
      <c r="F42" s="146">
        <v>8</v>
      </c>
      <c r="G42" s="157">
        <v>7</v>
      </c>
      <c r="H42" s="21">
        <v>6</v>
      </c>
      <c r="I42" s="21">
        <v>5</v>
      </c>
      <c r="J42" s="21">
        <v>4</v>
      </c>
      <c r="K42" s="21">
        <v>3</v>
      </c>
      <c r="L42" s="21">
        <v>2</v>
      </c>
      <c r="M42" s="21">
        <v>1</v>
      </c>
      <c r="N42" s="21">
        <v>0</v>
      </c>
      <c r="O42" s="147">
        <v>0</v>
      </c>
    </row>
    <row r="43" spans="1:16" ht="15" thickBot="1" x14ac:dyDescent="0.35">
      <c r="A43" s="149" t="s">
        <v>217</v>
      </c>
      <c r="C43" s="144">
        <v>0.3</v>
      </c>
      <c r="D43" s="145">
        <v>0.5</v>
      </c>
      <c r="F43" s="146">
        <f>F42*C43</f>
        <v>2.4</v>
      </c>
      <c r="G43" s="157">
        <f>G42*C43</f>
        <v>2.1</v>
      </c>
      <c r="H43" s="21">
        <f>H42*D43</f>
        <v>3</v>
      </c>
      <c r="I43" s="21">
        <f>I42*D43</f>
        <v>2.5</v>
      </c>
      <c r="J43" s="21">
        <f>J42*D43</f>
        <v>2</v>
      </c>
      <c r="K43" s="21">
        <f>K42*D43</f>
        <v>1.5</v>
      </c>
      <c r="L43" s="21">
        <f>L42*D43</f>
        <v>1</v>
      </c>
      <c r="M43" s="21">
        <f>M42*D43</f>
        <v>0.5</v>
      </c>
      <c r="N43" s="21">
        <f>N42*D43</f>
        <v>0</v>
      </c>
      <c r="O43" s="147">
        <f>O42*D43</f>
        <v>0</v>
      </c>
    </row>
    <row r="44" spans="1:16" x14ac:dyDescent="0.3">
      <c r="A44" s="155" t="s">
        <v>220</v>
      </c>
      <c r="F44" s="166">
        <f t="shared" ref="F44:O44" si="1">F41+F43</f>
        <v>102.4</v>
      </c>
      <c r="G44" s="167">
        <f t="shared" si="1"/>
        <v>100.1</v>
      </c>
      <c r="H44" s="90">
        <f t="shared" si="1"/>
        <v>107</v>
      </c>
      <c r="I44" s="90">
        <f t="shared" si="1"/>
        <v>106.5</v>
      </c>
      <c r="J44" s="90">
        <f t="shared" si="1"/>
        <v>106</v>
      </c>
      <c r="K44" s="90">
        <f t="shared" si="1"/>
        <v>105.5</v>
      </c>
      <c r="L44" s="90">
        <f t="shared" si="1"/>
        <v>105</v>
      </c>
      <c r="M44" s="90">
        <f t="shared" si="1"/>
        <v>104.5</v>
      </c>
      <c r="N44" s="90">
        <f t="shared" si="1"/>
        <v>104</v>
      </c>
      <c r="O44" s="168">
        <f t="shared" si="1"/>
        <v>105</v>
      </c>
    </row>
    <row r="45" spans="1:16" x14ac:dyDescent="0.3">
      <c r="A45" s="149" t="s">
        <v>221</v>
      </c>
      <c r="F45" s="156">
        <f>F19-F87</f>
        <v>99.032015015757835</v>
      </c>
      <c r="G45" s="158">
        <f t="shared" ref="G45:O45" si="2">G19-G87</f>
        <v>101.17931555708239</v>
      </c>
      <c r="H45" s="151">
        <f t="shared" si="2"/>
        <v>110</v>
      </c>
      <c r="I45" s="151">
        <f t="shared" si="2"/>
        <v>110</v>
      </c>
      <c r="J45" s="151">
        <f t="shared" si="2"/>
        <v>110</v>
      </c>
      <c r="K45" s="151">
        <f t="shared" si="2"/>
        <v>110</v>
      </c>
      <c r="L45" s="151">
        <f t="shared" si="2"/>
        <v>110</v>
      </c>
      <c r="M45" s="151">
        <f t="shared" si="2"/>
        <v>110</v>
      </c>
      <c r="N45" s="151">
        <f t="shared" si="2"/>
        <v>110</v>
      </c>
      <c r="O45" s="154">
        <f t="shared" si="2"/>
        <v>113.03201501575784</v>
      </c>
    </row>
    <row r="46" spans="1:16" ht="15" thickBot="1" x14ac:dyDescent="0.35">
      <c r="A46" s="125" t="s">
        <v>222</v>
      </c>
      <c r="F46" s="163" t="str">
        <f t="shared" ref="F46:O46" si="3">IF(F44&lt;=(F19-F87),"OK","NO")</f>
        <v>NO</v>
      </c>
      <c r="G46" s="164" t="str">
        <f t="shared" si="3"/>
        <v>OK</v>
      </c>
      <c r="H46" s="164" t="str">
        <f t="shared" si="3"/>
        <v>OK</v>
      </c>
      <c r="I46" s="164" t="str">
        <f t="shared" si="3"/>
        <v>OK</v>
      </c>
      <c r="J46" s="164" t="str">
        <f t="shared" si="3"/>
        <v>OK</v>
      </c>
      <c r="K46" s="164" t="str">
        <f t="shared" si="3"/>
        <v>OK</v>
      </c>
      <c r="L46" s="164" t="str">
        <f t="shared" si="3"/>
        <v>OK</v>
      </c>
      <c r="M46" s="164" t="str">
        <f t="shared" si="3"/>
        <v>OK</v>
      </c>
      <c r="N46" s="169" t="str">
        <f t="shared" si="3"/>
        <v>OK</v>
      </c>
      <c r="O46" s="165" t="str">
        <f t="shared" si="3"/>
        <v>OK</v>
      </c>
    </row>
    <row r="47" spans="1:16" ht="15" thickBot="1" x14ac:dyDescent="0.35"/>
    <row r="48" spans="1:16" ht="15" thickBot="1" x14ac:dyDescent="0.35">
      <c r="A48" s="126" t="s">
        <v>227</v>
      </c>
      <c r="F48" s="1"/>
    </row>
    <row r="49" spans="1:15" x14ac:dyDescent="0.3">
      <c r="A49" s="148" t="s">
        <v>228</v>
      </c>
      <c r="F49" s="135">
        <f>18+'Mast + Tower'!B22</f>
        <v>20</v>
      </c>
      <c r="G49" s="136">
        <f>18+'Mast + Tower'!B20</f>
        <v>22</v>
      </c>
      <c r="H49" s="136">
        <f>18+'Mast + Tower'!B18</f>
        <v>24</v>
      </c>
      <c r="I49" s="136">
        <f>18+'Mast + Tower'!B18</f>
        <v>24</v>
      </c>
      <c r="J49" s="136">
        <f>18+'Mast + Tower'!B18</f>
        <v>24</v>
      </c>
      <c r="K49" s="136">
        <f>18+'Mast + Tower'!B18</f>
        <v>24</v>
      </c>
      <c r="L49" s="136">
        <f>18+'Mast + Tower'!B18</f>
        <v>24</v>
      </c>
      <c r="M49" s="136">
        <f>18+'Mast + Tower'!B18</f>
        <v>24</v>
      </c>
      <c r="N49" s="137">
        <f>18+'Mast + Tower'!B18</f>
        <v>24</v>
      </c>
    </row>
    <row r="50" spans="1:15" x14ac:dyDescent="0.3">
      <c r="A50" s="149" t="s">
        <v>229</v>
      </c>
      <c r="F50" s="146">
        <f>F5*F49</f>
        <v>1</v>
      </c>
      <c r="G50" s="21">
        <f>G5*G49</f>
        <v>1.3199999999999998</v>
      </c>
      <c r="H50" s="21">
        <f>H5*H49</f>
        <v>2.4000000000000004</v>
      </c>
      <c r="I50" s="21">
        <f t="shared" ref="I50:M50" si="4">I5*I49</f>
        <v>2.4000000000000004</v>
      </c>
      <c r="J50" s="21">
        <f t="shared" si="4"/>
        <v>2.4000000000000004</v>
      </c>
      <c r="K50" s="21">
        <f t="shared" si="4"/>
        <v>2.64</v>
      </c>
      <c r="L50" s="21">
        <f t="shared" si="4"/>
        <v>2.64</v>
      </c>
      <c r="M50" s="21">
        <f t="shared" si="4"/>
        <v>2.64</v>
      </c>
      <c r="N50" s="147">
        <f>N5*N49</f>
        <v>2.64</v>
      </c>
    </row>
    <row r="51" spans="1:15" ht="15" thickBot="1" x14ac:dyDescent="0.35">
      <c r="A51" s="149" t="s">
        <v>216</v>
      </c>
      <c r="F51" s="146">
        <v>8</v>
      </c>
      <c r="G51" s="21">
        <v>7</v>
      </c>
      <c r="H51" s="21">
        <v>6</v>
      </c>
      <c r="I51" s="21">
        <v>5</v>
      </c>
      <c r="J51" s="21">
        <v>4</v>
      </c>
      <c r="K51" s="21">
        <v>3</v>
      </c>
      <c r="L51" s="21">
        <v>2</v>
      </c>
      <c r="M51" s="21">
        <v>1</v>
      </c>
      <c r="N51" s="147">
        <v>0</v>
      </c>
    </row>
    <row r="52" spans="1:15" ht="15" thickBot="1" x14ac:dyDescent="0.35">
      <c r="A52" s="149" t="s">
        <v>217</v>
      </c>
      <c r="C52" s="144">
        <v>0.3</v>
      </c>
      <c r="D52" s="145">
        <v>0.5</v>
      </c>
      <c r="F52" s="146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</v>
      </c>
      <c r="K52" s="21">
        <f>D52*K51</f>
        <v>1.5</v>
      </c>
      <c r="L52" s="21">
        <f>D52*L51</f>
        <v>1</v>
      </c>
      <c r="M52" s="21">
        <f>D52*M51</f>
        <v>0.5</v>
      </c>
      <c r="N52" s="147">
        <f>D52*N51</f>
        <v>0</v>
      </c>
    </row>
    <row r="53" spans="1:15" x14ac:dyDescent="0.3">
      <c r="A53" s="149" t="s">
        <v>230</v>
      </c>
      <c r="F53" s="146">
        <f t="shared" ref="F53:N53" si="5">F52+F50</f>
        <v>3.4</v>
      </c>
      <c r="G53" s="21">
        <f t="shared" si="5"/>
        <v>3.42</v>
      </c>
      <c r="H53" s="21">
        <f t="shared" si="5"/>
        <v>5.4</v>
      </c>
      <c r="I53" s="21">
        <f t="shared" si="5"/>
        <v>4.9000000000000004</v>
      </c>
      <c r="J53" s="21">
        <f t="shared" si="5"/>
        <v>4.4000000000000004</v>
      </c>
      <c r="K53" s="21">
        <f t="shared" si="5"/>
        <v>4.1400000000000006</v>
      </c>
      <c r="L53" s="21">
        <f t="shared" si="5"/>
        <v>3.64</v>
      </c>
      <c r="M53" s="21">
        <f t="shared" si="5"/>
        <v>3.14</v>
      </c>
      <c r="N53" s="147">
        <f t="shared" si="5"/>
        <v>2.64</v>
      </c>
    </row>
    <row r="54" spans="1:15" ht="15" thickBot="1" x14ac:dyDescent="0.35">
      <c r="A54" s="150" t="s">
        <v>231</v>
      </c>
      <c r="F54" s="138">
        <f t="shared" ref="F54:N54" si="6">F32-F53</f>
        <v>66.599999999999994</v>
      </c>
      <c r="G54" s="139">
        <f t="shared" si="6"/>
        <v>54.58</v>
      </c>
      <c r="H54" s="139">
        <f t="shared" si="6"/>
        <v>44.6</v>
      </c>
      <c r="I54" s="139">
        <f t="shared" si="6"/>
        <v>45.1</v>
      </c>
      <c r="J54" s="139">
        <f t="shared" si="6"/>
        <v>45.6</v>
      </c>
      <c r="K54" s="139">
        <f t="shared" si="6"/>
        <v>45.86</v>
      </c>
      <c r="L54" s="139">
        <f t="shared" si="6"/>
        <v>46.36</v>
      </c>
      <c r="M54" s="139">
        <f t="shared" si="6"/>
        <v>46.86</v>
      </c>
      <c r="N54" s="140">
        <f t="shared" si="6"/>
        <v>47.36</v>
      </c>
    </row>
    <row r="55" spans="1:15" ht="15" thickBot="1" x14ac:dyDescent="0.35"/>
    <row r="56" spans="1:15" ht="15" thickBot="1" x14ac:dyDescent="0.35">
      <c r="A56" s="8" t="s">
        <v>232</v>
      </c>
    </row>
    <row r="57" spans="1:15" ht="15" thickBot="1" x14ac:dyDescent="0.35">
      <c r="A57" s="126" t="s">
        <v>233</v>
      </c>
    </row>
    <row r="58" spans="1:15" x14ac:dyDescent="0.3">
      <c r="A58" s="148" t="s">
        <v>234</v>
      </c>
      <c r="F58" s="135">
        <f>F44-(F32-F53)</f>
        <v>35.800000000000011</v>
      </c>
      <c r="G58" s="136">
        <f>G44-(G32-G53)</f>
        <v>45.519999999999996</v>
      </c>
      <c r="H58" s="136">
        <f>H44-(H32-H53)</f>
        <v>62.4</v>
      </c>
      <c r="I58" s="136">
        <f>I44-(I32-I53)</f>
        <v>61.4</v>
      </c>
      <c r="J58" s="136">
        <f t="shared" ref="J58:N58" si="7">J44-(J32-J53)</f>
        <v>60.4</v>
      </c>
      <c r="K58" s="136">
        <f t="shared" si="7"/>
        <v>59.64</v>
      </c>
      <c r="L58" s="136">
        <f t="shared" si="7"/>
        <v>58.64</v>
      </c>
      <c r="M58" s="136">
        <f t="shared" si="7"/>
        <v>57.64</v>
      </c>
      <c r="N58" s="137">
        <f t="shared" si="7"/>
        <v>56.64</v>
      </c>
    </row>
    <row r="59" spans="1:15" ht="15" thickBot="1" x14ac:dyDescent="0.35">
      <c r="A59" s="150" t="s">
        <v>235</v>
      </c>
      <c r="F59" s="163" t="str">
        <f>IF(AND(F16&gt;F58,(F16-F17)&lt;F58),"OK","NO")</f>
        <v>OK</v>
      </c>
      <c r="G59" s="164" t="str">
        <f t="shared" ref="G59:N59" si="8">IF(AND(G16&gt;G58,(G16-G17)&lt;G58),"OK","NO")</f>
        <v>OK</v>
      </c>
      <c r="H59" s="164" t="str">
        <f t="shared" si="8"/>
        <v>NO</v>
      </c>
      <c r="I59" s="164" t="str">
        <f t="shared" si="8"/>
        <v>NO</v>
      </c>
      <c r="J59" s="164" t="str">
        <f t="shared" si="8"/>
        <v>NO</v>
      </c>
      <c r="K59" s="164" t="str">
        <f t="shared" si="8"/>
        <v>NO</v>
      </c>
      <c r="L59" s="164" t="str">
        <f t="shared" si="8"/>
        <v>NO</v>
      </c>
      <c r="M59" s="164" t="str">
        <f t="shared" si="8"/>
        <v>NO</v>
      </c>
      <c r="N59" s="165" t="str">
        <f t="shared" si="8"/>
        <v>NO</v>
      </c>
    </row>
    <row r="60" spans="1:15" ht="15" thickBot="1" x14ac:dyDescent="0.35"/>
    <row r="61" spans="1:15" ht="15" thickBot="1" x14ac:dyDescent="0.35">
      <c r="A61" s="126" t="s">
        <v>236</v>
      </c>
    </row>
    <row r="62" spans="1:15" x14ac:dyDescent="0.3">
      <c r="A62" s="148" t="s">
        <v>237</v>
      </c>
      <c r="F62" s="135">
        <f>IF(F58-F24&gt;F16-F17,F58-F24,F16-F17)</f>
        <v>35.800000000000011</v>
      </c>
      <c r="G62" s="136">
        <f t="shared" ref="G62:N62" si="9">IF(G58-G24&gt;G16-G17,G58-G24,G16-G17)</f>
        <v>45.519999999999996</v>
      </c>
      <c r="H62" s="136">
        <f t="shared" si="9"/>
        <v>34.4</v>
      </c>
      <c r="I62" s="136">
        <f>IF(I58-I24&gt;I16-I17,I58-I24,I16-I17)</f>
        <v>33.4</v>
      </c>
      <c r="J62" s="136">
        <f t="shared" si="9"/>
        <v>32.4</v>
      </c>
      <c r="K62" s="136">
        <f t="shared" si="9"/>
        <v>31.64</v>
      </c>
      <c r="L62" s="136">
        <f t="shared" si="9"/>
        <v>30.64</v>
      </c>
      <c r="M62" s="136">
        <f t="shared" si="9"/>
        <v>29.64</v>
      </c>
      <c r="N62" s="137">
        <f t="shared" si="9"/>
        <v>28.64</v>
      </c>
    </row>
    <row r="63" spans="1:15" x14ac:dyDescent="0.3">
      <c r="A63" s="149" t="s">
        <v>238</v>
      </c>
      <c r="F63" s="146">
        <f>F58-F62</f>
        <v>0</v>
      </c>
      <c r="G63" s="21">
        <f t="shared" ref="G63:N63" si="10">G58-G62</f>
        <v>0</v>
      </c>
      <c r="H63" s="21">
        <f>H58-H62</f>
        <v>28</v>
      </c>
      <c r="I63" s="21">
        <f>I58-I62</f>
        <v>28</v>
      </c>
      <c r="J63" s="21">
        <f>J58-J62</f>
        <v>28</v>
      </c>
      <c r="K63" s="21">
        <f t="shared" si="10"/>
        <v>28</v>
      </c>
      <c r="L63" s="21">
        <f t="shared" si="10"/>
        <v>28</v>
      </c>
      <c r="M63" s="21">
        <f t="shared" si="10"/>
        <v>28</v>
      </c>
      <c r="N63" s="147">
        <f t="shared" si="10"/>
        <v>28</v>
      </c>
      <c r="O63" s="1"/>
    </row>
    <row r="64" spans="1:15" ht="15" thickBot="1" x14ac:dyDescent="0.35">
      <c r="A64" s="150" t="s">
        <v>239</v>
      </c>
      <c r="F64" s="163" t="str">
        <f>IF(AND(F16&gt;F62,(F16-F17)&lt;F62),"OK","NO")</f>
        <v>OK</v>
      </c>
      <c r="G64" s="164" t="str">
        <f t="shared" ref="G64:N64" si="11">IF(AND(G16&gt;G62,(G16-G17)&lt;G62),"OK","NO")</f>
        <v>OK</v>
      </c>
      <c r="H64" s="164" t="str">
        <f t="shared" si="11"/>
        <v>OK</v>
      </c>
      <c r="I64" s="164" t="str">
        <f t="shared" si="11"/>
        <v>OK</v>
      </c>
      <c r="J64" s="164" t="str">
        <f t="shared" si="11"/>
        <v>OK</v>
      </c>
      <c r="K64" s="164" t="str">
        <f t="shared" si="11"/>
        <v>OK</v>
      </c>
      <c r="L64" s="164" t="str">
        <f t="shared" si="11"/>
        <v>OK</v>
      </c>
      <c r="M64" s="164" t="str">
        <f t="shared" si="11"/>
        <v>OK</v>
      </c>
      <c r="N64" s="165" t="str">
        <f t="shared" si="11"/>
        <v>OK</v>
      </c>
    </row>
    <row r="65" spans="1:15" ht="15" thickBot="1" x14ac:dyDescent="0.35"/>
    <row r="66" spans="1:15" ht="15" thickBot="1" x14ac:dyDescent="0.35">
      <c r="A66" s="170" t="s">
        <v>240</v>
      </c>
    </row>
    <row r="67" spans="1:15" x14ac:dyDescent="0.3">
      <c r="A67" s="149" t="s">
        <v>241</v>
      </c>
      <c r="F67" s="135">
        <v>0.15</v>
      </c>
      <c r="G67" s="136">
        <v>1.536</v>
      </c>
      <c r="H67" s="136">
        <v>8</v>
      </c>
      <c r="I67" s="136">
        <v>8</v>
      </c>
      <c r="J67" s="136">
        <v>8</v>
      </c>
      <c r="K67" s="136">
        <v>8</v>
      </c>
      <c r="L67" s="136">
        <v>8</v>
      </c>
      <c r="M67" s="136">
        <v>8</v>
      </c>
      <c r="N67" s="137">
        <v>8</v>
      </c>
    </row>
    <row r="68" spans="1:15" x14ac:dyDescent="0.3">
      <c r="A68" s="149" t="s">
        <v>242</v>
      </c>
      <c r="F68" s="146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147">
        <v>290</v>
      </c>
    </row>
    <row r="69" spans="1:15" x14ac:dyDescent="0.3">
      <c r="A69" s="149" t="s">
        <v>243</v>
      </c>
      <c r="F69" s="146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147">
        <v>4</v>
      </c>
    </row>
    <row r="70" spans="1:15" ht="15" thickBot="1" x14ac:dyDescent="0.35">
      <c r="A70" s="150" t="s">
        <v>244</v>
      </c>
      <c r="F70" s="138">
        <v>38</v>
      </c>
      <c r="G70" s="139">
        <v>18</v>
      </c>
      <c r="H70" s="139">
        <v>25</v>
      </c>
      <c r="I70" s="139">
        <v>25</v>
      </c>
      <c r="J70" s="139">
        <v>25</v>
      </c>
      <c r="K70" s="139">
        <v>25</v>
      </c>
      <c r="L70" s="139">
        <v>25</v>
      </c>
      <c r="M70" s="139">
        <v>25</v>
      </c>
      <c r="N70" s="140">
        <v>25</v>
      </c>
    </row>
    <row r="71" spans="1:15" ht="15" thickBot="1" x14ac:dyDescent="0.35"/>
    <row r="72" spans="1:15" x14ac:dyDescent="0.3">
      <c r="A72" s="171" t="s">
        <v>245</v>
      </c>
    </row>
    <row r="73" spans="1:15" ht="15" thickBot="1" x14ac:dyDescent="0.35">
      <c r="A73" s="172" t="s">
        <v>233</v>
      </c>
    </row>
    <row r="74" spans="1:15" x14ac:dyDescent="0.3">
      <c r="A74" s="149" t="s">
        <v>246</v>
      </c>
      <c r="B74" s="1"/>
      <c r="F74" s="135">
        <f>10*LOG10(10^((F18+F53)/10)+10^((F53-F58)/10)*(10^((F43+Network!H277)/10)-1))</f>
        <v>16.779680899642923</v>
      </c>
      <c r="G74" s="136">
        <f>10*LOG10(10^((G18+G53)/10)+10^((G53-G58)/10)*(10^((G43+Network!I277)/10)-1))</f>
        <v>13.147592929371502</v>
      </c>
      <c r="H74" s="136">
        <f>10*LOG10(10^((H18+H53)/10)+10^((H53-H58)/10)*(10^((H43+Network!J277)/10)-1))</f>
        <v>14.425715360153408</v>
      </c>
      <c r="I74" s="136">
        <f>10*LOG10(10^((I18+I53)/10)+10^((I53-I58)/10)*(10^((I43+Network!J277)/10)-1))</f>
        <v>13.928842668311461</v>
      </c>
      <c r="J74" s="136">
        <f>10*LOG10(10^((J18+J53)/10)+10^((J53-J58)/10)*(10^((J43+Network!J277)/10)-1))</f>
        <v>13.432348875919986</v>
      </c>
      <c r="K74" s="136">
        <f>10*LOG10(10^((K18+K53)/10)+10^((K53-K58)/10)*(10^((K43+Network!J277)/10)-1))</f>
        <v>13.174336724245999</v>
      </c>
      <c r="L74" s="136">
        <f>10*LOG10(10^((L18+L53)/10)+10^((L53-L58)/10)*(10^((L43+Network!K277)/10)-1))</f>
        <v>12.723293121364554</v>
      </c>
      <c r="M74" s="136">
        <f>10*LOG10(10^((M18+M53)/10)+10^((M53-M58)/10)*(10^((M43+Network!K277)/10)-1))</f>
        <v>12.233347830022003</v>
      </c>
      <c r="N74" s="137">
        <f>10*LOG10(10^((N18+N53)/10)+10^((N53-N58)/10)*(10^((N43+Network!K277)/10)-1))</f>
        <v>11.744601729619896</v>
      </c>
    </row>
    <row r="75" spans="1:15" x14ac:dyDescent="0.3">
      <c r="A75" s="149" t="s">
        <v>247</v>
      </c>
      <c r="F75" s="166">
        <f>F32-F69-10*LOG10(10^((F18+F53)/10)+10^((F53-F58)/10)*(10^((F43+Network!H277)/10)-1))</f>
        <v>66.220319100357074</v>
      </c>
      <c r="G75" s="90">
        <f>G32-G69-10*LOG10(10^((G18+G53)/10)+10^((G53-G58)/10)*(10^((G43+Network!I277)/10)-1))</f>
        <v>47.852407070628502</v>
      </c>
      <c r="H75" s="90">
        <f>H32-H69-10*LOG10(10^((H18+H53)/10)+10^((H53-H58)/10)*(10^((H43+Network!J277)/10)-1))</f>
        <v>31.574284639846592</v>
      </c>
      <c r="I75" s="90">
        <f>I32-I69-10*LOG10(10^((I18+I53)/10)+10^((I53-I58)/10)*(10^((I43+Network!J277)/10)-1))</f>
        <v>32.071157331688539</v>
      </c>
      <c r="J75" s="90">
        <f>J32-J69-10*LOG10(10^((J18+J53)/10)+10^((J53-J58)/10)*(10^((J43+Network!J277)/10)-1))</f>
        <v>32.567651124080015</v>
      </c>
      <c r="K75" s="90">
        <f>K32-K69-10*LOG10(10^((K18+K53)/10)+10^((K53-K58)/10)*(10^((K43+Network!J277)/10)-1))</f>
        <v>32.825663275754003</v>
      </c>
      <c r="L75" s="90">
        <f>L32-L69-10*LOG10(10^((L18+L53)/10)+10^((L53-L58)/10)*(10^((J43+Network!O277)/10)-1))</f>
        <v>33.359983217733763</v>
      </c>
      <c r="M75" s="90">
        <f>M32-M69-10*LOG10(10^((M18+M53)/10)+10^((M53-M58)/10)*(10^((J43+Network!P277)/10)-1))</f>
        <v>33.859999449368757</v>
      </c>
      <c r="N75" s="168">
        <f>N32-N69-10*LOG10(10^((N18+N53)/10)+10^((N53-N58)/10)*(10^((J43+Network!Q277)/10)-1))</f>
        <v>34.35999930679634</v>
      </c>
    </row>
    <row r="76" spans="1:15" ht="15" thickBot="1" x14ac:dyDescent="0.35">
      <c r="A76" s="150" t="s">
        <v>248</v>
      </c>
      <c r="F76" s="163" t="str">
        <f>IF(F75&gt;=F70,"OK","NO")</f>
        <v>OK</v>
      </c>
      <c r="G76" s="164" t="str">
        <f t="shared" ref="G76:N76" si="12">IF(G75&gt;=G70,"OK","NO")</f>
        <v>OK</v>
      </c>
      <c r="H76" s="164" t="str">
        <f t="shared" si="12"/>
        <v>OK</v>
      </c>
      <c r="I76" s="164" t="str">
        <f t="shared" si="12"/>
        <v>OK</v>
      </c>
      <c r="J76" s="164" t="str">
        <f t="shared" si="12"/>
        <v>OK</v>
      </c>
      <c r="K76" s="164" t="str">
        <f t="shared" si="12"/>
        <v>OK</v>
      </c>
      <c r="L76" s="164" t="str">
        <f t="shared" si="12"/>
        <v>OK</v>
      </c>
      <c r="M76" s="164" t="str">
        <f t="shared" si="12"/>
        <v>OK</v>
      </c>
      <c r="N76" s="165" t="str">
        <f t="shared" si="12"/>
        <v>OK</v>
      </c>
    </row>
    <row r="77" spans="1:15" ht="15" thickBot="1" x14ac:dyDescent="0.35"/>
    <row r="78" spans="1:15" ht="15" thickBot="1" x14ac:dyDescent="0.35">
      <c r="A78" s="170" t="s">
        <v>236</v>
      </c>
    </row>
    <row r="79" spans="1:15" x14ac:dyDescent="0.3">
      <c r="A79" s="149" t="s">
        <v>246</v>
      </c>
      <c r="F79" s="135">
        <f>10*LOG10(10^(F26/10)+(10^(F53/10)-1)/10^(F63/10)+(10^(F18/10)-1)*10^(F53/10)/10^(F63/10)+10^((F53-F62-F63)/10)*(10^((F43+Network!H277)/10)-1))</f>
        <v>16.779680899642923</v>
      </c>
      <c r="G79" s="136">
        <f>10*LOG10(10^(G26/10)+(10^(G53/10)-1)/10^(G63/10)+(10^(G18/10)-1)*10^(G53/10)/10^(G63/10)+10^((G53-G62-G63)/10)*(10^((G43+Network!I277)/10)-1))</f>
        <v>13.147592929371502</v>
      </c>
      <c r="H79" s="136">
        <f>10*LOG10(10^(H26/10)+(10^(H53/10)-1)/10^(H63/10)+(10^(H18/10)-1)*10^(H53/10)/10^(H63/10)+10^((H53-H62-H63)/10)*(10^((H43+Network!J277)/10)-1))</f>
        <v>6.6954645101141157</v>
      </c>
      <c r="I79" s="136">
        <f>10*LOG10(10^(I26/10)+(10^(I53/10)-1)/10^(I63/10)+(10^(I18/10)-1)*10^(I53/10)/10^(I63/10)+10^((I53-I62-I63)/10)*(10^((I43+Network!J277)/10)-1))</f>
        <v>6.6910497575131398</v>
      </c>
      <c r="J79" s="136">
        <f>10*LOG10(10^(J26/10)+(10^(J53/10)-1)/10^(J63/10)+(10^(J18/10)-1)*10^(J53/10)/10^(J63/10)+10^((J53-J62-J63)/10)*(10^((J43+Network!J277)/10)-1))</f>
        <v>6.6871112669985608</v>
      </c>
      <c r="K79" s="136">
        <f>10*LOG10(10^(K26/10)+(10^(K53/10)-1)/10^(K63/10)+(10^(K18/10)-1)*10^(K53/10)/10^(K63/10)+10^((K53-K62-K63)/10)*(10^((K43+Network!J277)/10)-1))</f>
        <v>6.6852341688357919</v>
      </c>
      <c r="L79" s="136">
        <f>10*LOG10(10^(L26/10)+(10^(L53/10)-1)/10^(L63/10)+(10^(L18/10)-1)*10^(L53/10)/10^(L63/10)+10^((L53-L62-L63)/10)*(10^((L43+Network!K277)/10)-1))</f>
        <v>6.8574051682622006</v>
      </c>
      <c r="M79" s="136">
        <f>10*LOG10(10^(M26/10)+(10^(M53/10)-1)/10^(M63/10)+(10^(M18/10)-1)*10^(M53/10)/10^(M63/10)+10^((M53-M62-M63)/10)*(10^((M43+Network!K277)/10)-1))</f>
        <v>6.8545694438043423</v>
      </c>
      <c r="N79" s="137">
        <f>10*LOG10(10^(N26/10)+(10^(N53/10)-1)/10^(N63/10)+(10^(N18/10)-1)*10^(N53/10)/10^(N63/10)+10^((N53-N62-N63)/10)*(10^((N43+Network!K277)/10)-1))</f>
        <v>6.8520404604457941</v>
      </c>
      <c r="O79" s="1"/>
    </row>
    <row r="80" spans="1:15" x14ac:dyDescent="0.3">
      <c r="A80" s="149" t="s">
        <v>247</v>
      </c>
      <c r="F80" s="166">
        <f>F32-F69-10*LOG10(10^(F26/10)+(10^(F53/10)-1)/10^(F63/10)+(10^(F18/10)-1)*10^(F53/10)/10^(F63/10)+10^((F53-F62-F63)/10)*(10^((F43+Network!H277)/10)-1))</f>
        <v>66.220319100357074</v>
      </c>
      <c r="G80" s="90">
        <f>G32-G69-10*LOG10(10^(G26/10)+(10^(G53/10)-1)/10^(G63/10)+(10^(G18/10)-1)*10^(G53/10)/10^(G63/10)+10^((G53-G62-G63)/10)*(10^((G43+Network!I277)/10)-1))</f>
        <v>47.852407070628502</v>
      </c>
      <c r="H80" s="90">
        <f>H32-H69-10*LOG10(10^(H26/10)+(10^(H53/10)-1)/10^(H63/10)+(10^(H18/10)-1)*10^(H53/10)/10^(H63/10)+10^((H53-H62-H63)/10)*(10^((H43+Network!J277)/10)-1))</f>
        <v>39.304535489885886</v>
      </c>
      <c r="I80" s="90">
        <f>I32-I69-10*LOG10(10^(I26/10)+(10^(I53/10)-1)/10^(I63/10)+(10^(I18/10)-1)*10^(I53/10)/10^(I63/10)+10^((I53-I62-I63)/10)*(10^((I43+Network!J277)/10)-1))</f>
        <v>39.308950242486858</v>
      </c>
      <c r="J80" s="90">
        <f>J32-J69-10*LOG10(10^(J26/10)+(10^(J53/10)-1)/10^(J63/10)+(10^(J18/10)-1)*10^(J53/10)/10^(J63/10)+10^((J53-J62-J63)/10)*(10^((J43+Network!J277)/10)-1))</f>
        <v>39.312888733001436</v>
      </c>
      <c r="K80" s="90">
        <f>K32-K69-10*LOG10(10^(K26/10)+(10^(K53/10)-1)/10^(K63/10)+(10^(K18/10)-1)*10^(K53/10)/10^(K63/10)+10^((K53-K62-K63)/10)*(10^((K43+Network!J277)/10)-1))</f>
        <v>39.314765831164209</v>
      </c>
      <c r="L80" s="90">
        <f>L32-L69-10*LOG10(10^(L26/10)+(10^(L53/10)-1)/10^(L63/10)+(10^(L18/10)-1)*10^(L53/10)/10^(L63/10)+10^((L53-L62-L63)/10)*(10^((L43+Network!K277)/10)-1))</f>
        <v>39.142594831737796</v>
      </c>
      <c r="M80" s="90">
        <f>M32-M69-10*LOG10(10^(M26/10)+(10^(M53/10)-1)/10^(M63/10)+(10^(M18/10)-1)*10^(M53/10)/10^(M63/10)+10^((M53-M62-M63)/10)*(10^((M43+Network!K277)/10)-1))</f>
        <v>39.145430556195656</v>
      </c>
      <c r="N80" s="168">
        <f>N32-N69-10*LOG10(10^(N26/10)+(10^(N53/10)-1)/10^(N63/10)+(10^(N18/10)-1)*10^(N53/10)/10^(N63/10)+10^((N53-N62-N63)/10)*(10^((N43+Network!K277)/10)-1))</f>
        <v>39.147959539554208</v>
      </c>
    </row>
    <row r="81" spans="1:15" ht="15" thickBot="1" x14ac:dyDescent="0.35">
      <c r="A81" s="150" t="s">
        <v>249</v>
      </c>
      <c r="F81" s="163" t="str">
        <f>IF(F80&gt;=F70,"OK","NO")</f>
        <v>OK</v>
      </c>
      <c r="G81" s="164" t="str">
        <f t="shared" ref="G81:N81" si="13">IF(G80&gt;=G70,"OK","NO")</f>
        <v>OK</v>
      </c>
      <c r="H81" s="164" t="str">
        <f t="shared" si="13"/>
        <v>OK</v>
      </c>
      <c r="I81" s="164" t="str">
        <f t="shared" si="13"/>
        <v>OK</v>
      </c>
      <c r="J81" s="164" t="str">
        <f t="shared" si="13"/>
        <v>OK</v>
      </c>
      <c r="K81" s="164" t="str">
        <f t="shared" si="13"/>
        <v>OK</v>
      </c>
      <c r="L81" s="164" t="str">
        <f t="shared" si="13"/>
        <v>OK</v>
      </c>
      <c r="M81" s="164" t="str">
        <f t="shared" si="13"/>
        <v>OK</v>
      </c>
      <c r="N81" s="165" t="str">
        <f t="shared" si="13"/>
        <v>OK</v>
      </c>
    </row>
    <row r="84" spans="1:15" ht="15" thickBot="1" x14ac:dyDescent="0.35"/>
    <row r="85" spans="1:15" ht="15" thickBot="1" x14ac:dyDescent="0.35">
      <c r="A85" s="126" t="s">
        <v>223</v>
      </c>
    </row>
    <row r="86" spans="1:15" x14ac:dyDescent="0.3">
      <c r="A86" s="148" t="s">
        <v>224</v>
      </c>
      <c r="F86" s="135">
        <v>30</v>
      </c>
      <c r="G86" s="136">
        <v>16</v>
      </c>
      <c r="H86" s="136">
        <v>1</v>
      </c>
      <c r="I86" s="136">
        <v>2</v>
      </c>
      <c r="J86" s="136">
        <v>1</v>
      </c>
      <c r="K86" s="136">
        <v>1</v>
      </c>
      <c r="L86" s="136">
        <v>1</v>
      </c>
      <c r="M86" s="136">
        <v>1</v>
      </c>
      <c r="N86" s="136">
        <v>1</v>
      </c>
      <c r="O86" s="137">
        <v>30</v>
      </c>
    </row>
    <row r="87" spans="1:15" ht="15" thickBot="1" x14ac:dyDescent="0.35">
      <c r="A87" s="149" t="s">
        <v>225</v>
      </c>
      <c r="F87" s="152">
        <f>7.5*LOG10((F86-1))</f>
        <v>10.96798498424217</v>
      </c>
      <c r="G87" s="153">
        <f>7.5*LOG10(G86-1)</f>
        <v>8.8206844429176101</v>
      </c>
      <c r="H87" s="143">
        <v>0</v>
      </c>
      <c r="I87" s="143">
        <f>7.5*LOG10(I86-1)</f>
        <v>0</v>
      </c>
      <c r="J87" s="143">
        <v>0</v>
      </c>
      <c r="K87" s="143">
        <v>0</v>
      </c>
      <c r="L87" s="143">
        <v>0</v>
      </c>
      <c r="M87" s="143">
        <v>0</v>
      </c>
      <c r="N87" s="143">
        <v>0</v>
      </c>
      <c r="O87" s="154">
        <f>7.5*LOG10(O86-1)</f>
        <v>10.96798498424217</v>
      </c>
    </row>
    <row r="88" spans="1:15" ht="15" thickBot="1" x14ac:dyDescent="0.35">
      <c r="A88" s="150" t="s">
        <v>226</v>
      </c>
      <c r="H88" s="138">
        <v>30</v>
      </c>
      <c r="I88" s="139">
        <v>30</v>
      </c>
      <c r="J88" s="139">
        <v>30</v>
      </c>
      <c r="K88" s="139">
        <v>30</v>
      </c>
      <c r="L88" s="139">
        <v>30</v>
      </c>
      <c r="M88" s="139">
        <v>30</v>
      </c>
      <c r="N88" s="139">
        <v>30</v>
      </c>
      <c r="O88" s="140">
        <v>18</v>
      </c>
    </row>
    <row r="89" spans="1:15" ht="15" thickBot="1" x14ac:dyDescent="0.35"/>
    <row r="90" spans="1:15" ht="15" thickBot="1" x14ac:dyDescent="0.35">
      <c r="A90" s="170" t="s">
        <v>233</v>
      </c>
    </row>
    <row r="91" spans="1:15" x14ac:dyDescent="0.3">
      <c r="A91" s="155" t="s">
        <v>250</v>
      </c>
      <c r="H91" s="159">
        <f>H28+2*(H27-H87-H44)</f>
        <v>33</v>
      </c>
      <c r="I91" s="161">
        <f t="shared" ref="I91" si="14">I28+2*(I27-H87-I44)</f>
        <v>34</v>
      </c>
      <c r="J91" s="161">
        <f>J28+2*(J27-J87-J44)</f>
        <v>35</v>
      </c>
      <c r="K91" s="161">
        <f>K28+2*(K27-K87-K44)</f>
        <v>36</v>
      </c>
      <c r="L91" s="161">
        <f>L28+2*(L27-L87-L44)</f>
        <v>37</v>
      </c>
      <c r="M91" s="161">
        <f>M28+2*(M27-M87-M44)</f>
        <v>38</v>
      </c>
      <c r="N91" s="180">
        <f>N28+2*(N27-N87-N44)</f>
        <v>39</v>
      </c>
      <c r="O91" s="162">
        <f>O20+2*(O19-O87-O44)</f>
        <v>51.064030031515671</v>
      </c>
    </row>
    <row r="92" spans="1:15" ht="15" thickBot="1" x14ac:dyDescent="0.35">
      <c r="A92" s="125" t="s">
        <v>251</v>
      </c>
      <c r="H92" s="163" t="str">
        <f>IF(H91&gt;=H88,"OK","NO")</f>
        <v>OK</v>
      </c>
      <c r="I92" s="164" t="str">
        <f t="shared" ref="I92:N92" si="15">IF(I91&gt;=I88,"OK","NO")</f>
        <v>OK</v>
      </c>
      <c r="J92" s="164" t="str">
        <f t="shared" si="15"/>
        <v>OK</v>
      </c>
      <c r="K92" s="164" t="str">
        <f t="shared" si="15"/>
        <v>OK</v>
      </c>
      <c r="L92" s="164" t="str">
        <f t="shared" si="15"/>
        <v>OK</v>
      </c>
      <c r="M92" s="164" t="str">
        <f t="shared" si="15"/>
        <v>OK</v>
      </c>
      <c r="N92" s="169" t="str">
        <f t="shared" si="15"/>
        <v>OK</v>
      </c>
      <c r="O92" s="165" t="str">
        <f>IF(O91&gt;=O88,"OK","NO")</f>
        <v>OK</v>
      </c>
    </row>
    <row r="93" spans="1:15" ht="15" thickBot="1" x14ac:dyDescent="0.35"/>
    <row r="94" spans="1:15" ht="15" thickBot="1" x14ac:dyDescent="0.35">
      <c r="A94" s="170" t="s">
        <v>236</v>
      </c>
    </row>
    <row r="95" spans="1:15" x14ac:dyDescent="0.3">
      <c r="A95" s="149" t="s">
        <v>252</v>
      </c>
      <c r="H95" s="135">
        <f>H32+H63</f>
        <v>78</v>
      </c>
      <c r="I95" s="136">
        <f t="shared" ref="I95:L95" si="16">I32+I63</f>
        <v>78</v>
      </c>
      <c r="J95" s="136">
        <f t="shared" si="16"/>
        <v>78</v>
      </c>
      <c r="K95" s="136">
        <f t="shared" si="16"/>
        <v>78</v>
      </c>
      <c r="L95" s="136">
        <f t="shared" si="16"/>
        <v>78</v>
      </c>
      <c r="M95" s="182">
        <f>M32+M63</f>
        <v>78</v>
      </c>
      <c r="N95" s="137">
        <f>N32+N63</f>
        <v>78</v>
      </c>
    </row>
    <row r="96" spans="1:15" x14ac:dyDescent="0.3">
      <c r="A96" s="155" t="s">
        <v>253</v>
      </c>
      <c r="H96" s="174">
        <f>-20*LOG10(10^(-H91/20)+10^(-(H28+2*(H27-7.5*LOG10(SUM(H86:N86)-1)-H32-H63))/20))</f>
        <v>32.953068544611554</v>
      </c>
      <c r="I96" s="173">
        <f>-20*LOG10(10^(-I91/20)+10^(-(I28+2*(I27-7.5*LOG10(SUM(H86:N86)-1)-I32-I63))/20))</f>
        <v>33.947359360533518</v>
      </c>
      <c r="J96" s="173">
        <f>-20*LOG10(10^(-J91/20)+10^(-(J28+2*(J27-7.5*LOG10(SUM(I86:O86)-1)-J32-J63))/20))</f>
        <v>34.799999274861314</v>
      </c>
      <c r="K96" s="173">
        <f>-20*LOG10(10^(-K91/20)+10^(-(K28+2*(K27-7.5*LOG10(SUM(H86:N86)-1)-K32-K63))/20))</f>
        <v>35.933781198644489</v>
      </c>
      <c r="L96" s="173">
        <f>-20*LOG10(10^(-L91/20)+10^(-(L28+2*(L27-7.5*LOG10(SUM(H86:N86)-1)-L32-L63))/20))</f>
        <v>36.925735731532804</v>
      </c>
      <c r="M96" s="183">
        <f>-20*LOG10(10^(-M91/20)+10^(-(M28+2*(M27-7.5*LOG10(SUM(H86:N86)-1)-M32-M63))/20))</f>
        <v>37.916717431794545</v>
      </c>
      <c r="N96" s="175">
        <f>-20*LOG10(10^(-N91/20)+10^(-(N28+2*(N27-7.5*LOG10(SUM(H86:N86)-1)-N32-N63))/20))</f>
        <v>38.906609867464191</v>
      </c>
      <c r="O96" s="184"/>
    </row>
    <row r="97" spans="1:14" ht="15" thickBot="1" x14ac:dyDescent="0.35">
      <c r="A97" s="125" t="s">
        <v>254</v>
      </c>
      <c r="H97" s="163" t="str">
        <f>IF(H96&gt;=H88,"OK","NO")</f>
        <v>OK</v>
      </c>
      <c r="I97" s="164" t="str">
        <f t="shared" ref="I97:N97" si="17">IF(I96&gt;=I88,"OK","NO")</f>
        <v>OK</v>
      </c>
      <c r="J97" s="164" t="str">
        <f t="shared" si="17"/>
        <v>OK</v>
      </c>
      <c r="K97" s="164" t="str">
        <f t="shared" si="17"/>
        <v>OK</v>
      </c>
      <c r="L97" s="164" t="str">
        <f t="shared" si="17"/>
        <v>OK</v>
      </c>
      <c r="M97" s="169" t="str">
        <f t="shared" si="17"/>
        <v>OK</v>
      </c>
      <c r="N97" s="165" t="str">
        <f t="shared" si="17"/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8"/>
  <sheetViews>
    <sheetView topLeftCell="A26" zoomScale="97" zoomScaleNormal="70" workbookViewId="0">
      <selection activeCell="A44" sqref="A44:A47"/>
    </sheetView>
  </sheetViews>
  <sheetFormatPr baseColWidth="10" defaultRowHeight="14.4" x14ac:dyDescent="0.3"/>
  <cols>
    <col min="1" max="1" width="20" customWidth="1"/>
    <col min="2" max="2" width="16.6640625" customWidth="1"/>
    <col min="3" max="3" width="16.33203125" customWidth="1"/>
  </cols>
  <sheetData>
    <row r="2" spans="1:7" x14ac:dyDescent="0.3">
      <c r="A2" s="32"/>
      <c r="B2" s="220" t="s">
        <v>178</v>
      </c>
      <c r="C2" s="221"/>
    </row>
    <row r="3" spans="1:7" x14ac:dyDescent="0.3">
      <c r="A3" s="118"/>
      <c r="B3" s="189" t="s">
        <v>179</v>
      </c>
      <c r="C3" s="189" t="s">
        <v>180</v>
      </c>
    </row>
    <row r="4" spans="1:7" x14ac:dyDescent="0.3">
      <c r="A4" s="119" t="s">
        <v>181</v>
      </c>
      <c r="B4" s="190">
        <v>39.49</v>
      </c>
      <c r="C4" s="190">
        <v>39.49</v>
      </c>
    </row>
    <row r="5" spans="1:7" x14ac:dyDescent="0.3">
      <c r="A5" s="119" t="s">
        <v>182</v>
      </c>
      <c r="B5" s="190">
        <v>30</v>
      </c>
      <c r="C5" s="190">
        <v>19.2</v>
      </c>
    </row>
    <row r="6" spans="1:7" x14ac:dyDescent="0.3">
      <c r="A6" s="119" t="s">
        <v>265</v>
      </c>
      <c r="B6" s="190">
        <f>30-0.36</f>
        <v>29.64</v>
      </c>
      <c r="C6" s="190">
        <f>-C5-0.36</f>
        <v>-19.559999999999999</v>
      </c>
      <c r="F6" s="186"/>
      <c r="G6" s="186"/>
    </row>
    <row r="7" spans="1:7" x14ac:dyDescent="0.3">
      <c r="A7" s="119" t="s">
        <v>259</v>
      </c>
      <c r="B7" s="191">
        <f>DEGREES(ACOS(COS(RADIANS(B6))*COS(RADIANS(B4))))</f>
        <v>47.874722541842957</v>
      </c>
      <c r="C7" s="191">
        <f>DEGREES(ACOS(COS(RADIANS(C6))*COS(RADIANS(C4))))</f>
        <v>43.347844323707463</v>
      </c>
    </row>
    <row r="8" spans="1:7" x14ac:dyDescent="0.3">
      <c r="A8" s="119" t="s">
        <v>260</v>
      </c>
      <c r="B8" s="190">
        <v>6378.16</v>
      </c>
      <c r="C8" s="190">
        <v>6378.16</v>
      </c>
    </row>
    <row r="9" spans="1:7" x14ac:dyDescent="0.3">
      <c r="A9" s="119" t="s">
        <v>261</v>
      </c>
      <c r="B9" s="190">
        <v>35786.300000000003</v>
      </c>
      <c r="C9" s="190">
        <v>35786.300000000003</v>
      </c>
      <c r="F9" s="188"/>
      <c r="G9" s="188"/>
    </row>
    <row r="10" spans="1:7" x14ac:dyDescent="0.3">
      <c r="A10" s="119" t="s">
        <v>262</v>
      </c>
      <c r="B10" s="192">
        <f>DEGREES(ATAN((COS(RADIANS(B7))-B8/(B9+B8))/SIN(RADIANS(B7))))</f>
        <v>35.008051729265496</v>
      </c>
      <c r="C10" s="192">
        <f>DEGREES(ATAN((COS(RADIANS(C7))-B8/(B9+B8))/SIN(RADIANS(C7))))</f>
        <v>39.997625557419383</v>
      </c>
      <c r="F10" s="186"/>
      <c r="G10" s="186"/>
    </row>
    <row r="11" spans="1:7" x14ac:dyDescent="0.3">
      <c r="A11" s="119" t="s">
        <v>263</v>
      </c>
      <c r="B11" s="191">
        <f>180 + DEGREES(ATAN(TAN(RADIANS(B6))/SIN(RADIANS(B4))))</f>
        <v>221.82020731856079</v>
      </c>
      <c r="C11" s="191">
        <f>180 + DEGREES(ATAN(TAN(RADIANS(C6))/SIN(RADIANS(C4))))</f>
        <v>150.80819109153012</v>
      </c>
      <c r="F11" s="186"/>
      <c r="G11" s="187"/>
    </row>
    <row r="12" spans="1:7" x14ac:dyDescent="0.3">
      <c r="A12" s="119" t="s">
        <v>264</v>
      </c>
      <c r="B12" s="191">
        <f>B9*SQRT(1+((2*B8*(B8+B9))/POWER(B9,2)*(1-COS(RADIANS(B7)))))</f>
        <v>38180.475101277909</v>
      </c>
      <c r="C12" s="193">
        <f>C9*SQRT(1+((2*C8*(C8+C9))/POWER(C9,2)*(1-COS(RADIANS(C7)))))</f>
        <v>37780.795202936883</v>
      </c>
    </row>
    <row r="13" spans="1:7" x14ac:dyDescent="0.3">
      <c r="A13" s="118"/>
      <c r="B13" s="118"/>
      <c r="C13" s="118"/>
    </row>
    <row r="15" spans="1:7" x14ac:dyDescent="0.3">
      <c r="A15" s="119" t="s">
        <v>309</v>
      </c>
      <c r="B15" s="120">
        <v>54</v>
      </c>
      <c r="C15" s="120">
        <v>51</v>
      </c>
    </row>
    <row r="16" spans="1:7" x14ac:dyDescent="0.3">
      <c r="A16" s="119" t="s">
        <v>183</v>
      </c>
      <c r="B16" s="120">
        <v>0.7</v>
      </c>
      <c r="C16" s="120">
        <v>0.7</v>
      </c>
    </row>
    <row r="17" spans="1:3" x14ac:dyDescent="0.3">
      <c r="A17" s="119" t="s">
        <v>307</v>
      </c>
      <c r="B17" s="120">
        <v>50</v>
      </c>
      <c r="C17" s="120">
        <v>50</v>
      </c>
    </row>
    <row r="18" spans="1:3" x14ac:dyDescent="0.3">
      <c r="A18" s="119" t="s">
        <v>308</v>
      </c>
      <c r="B18" s="120">
        <v>3</v>
      </c>
      <c r="C18" s="120">
        <v>3</v>
      </c>
    </row>
    <row r="19" spans="1:3" x14ac:dyDescent="0.3">
      <c r="A19" s="119" t="s">
        <v>184</v>
      </c>
      <c r="B19" s="120">
        <v>27</v>
      </c>
      <c r="C19" s="120">
        <v>27</v>
      </c>
    </row>
    <row r="20" spans="1:3" x14ac:dyDescent="0.3">
      <c r="A20" s="119" t="s">
        <v>185</v>
      </c>
      <c r="B20" s="120">
        <v>0.7</v>
      </c>
      <c r="C20" s="120">
        <v>0.7</v>
      </c>
    </row>
    <row r="21" spans="1:3" x14ac:dyDescent="0.3">
      <c r="A21" s="119" t="s">
        <v>186</v>
      </c>
      <c r="B21" s="120">
        <v>12.75</v>
      </c>
      <c r="C21" s="120">
        <v>12.75</v>
      </c>
    </row>
    <row r="22" spans="1:3" x14ac:dyDescent="0.3">
      <c r="A22" s="119" t="s">
        <v>188</v>
      </c>
      <c r="B22" s="196">
        <f>92.44+20*LOG10(B21)+20*LOG10(B12)</f>
        <v>206.18703026066953</v>
      </c>
      <c r="C22" s="196">
        <f>92.44+20*LOG10(C21)+20*LOG10(C12)</f>
        <v>206.09562558798024</v>
      </c>
    </row>
    <row r="23" spans="1:3" x14ac:dyDescent="0.3">
      <c r="A23" s="119" t="s">
        <v>189</v>
      </c>
      <c r="B23" s="120">
        <v>5.0999999999999996</v>
      </c>
      <c r="C23" s="120">
        <v>5.0999999999999996</v>
      </c>
    </row>
    <row r="24" spans="1:3" x14ac:dyDescent="0.3">
      <c r="A24" s="119" t="s">
        <v>194</v>
      </c>
      <c r="B24" s="121">
        <v>1.3800000000000001E-23</v>
      </c>
      <c r="C24" s="121">
        <v>1.3800000000000001E-23</v>
      </c>
    </row>
    <row r="25" spans="1:3" x14ac:dyDescent="0.3">
      <c r="A25" s="119" t="s">
        <v>190</v>
      </c>
      <c r="B25" s="196">
        <f>B17+290*(POWER(10,B20/10)-1)</f>
        <v>100.72029093246357</v>
      </c>
      <c r="C25" s="196">
        <f>C17+290*(POWER(10,C20/10)-1)</f>
        <v>100.72029093246357</v>
      </c>
    </row>
    <row r="26" spans="1:3" x14ac:dyDescent="0.3">
      <c r="A26" s="119" t="s">
        <v>191</v>
      </c>
      <c r="B26" s="120">
        <f>11+B18</f>
        <v>14</v>
      </c>
      <c r="C26" s="120">
        <f>11+C18</f>
        <v>14</v>
      </c>
    </row>
    <row r="27" spans="1:3" x14ac:dyDescent="0.3">
      <c r="A27" s="119" t="s">
        <v>187</v>
      </c>
      <c r="B27" s="196">
        <f>10*LOG10(B24*B25*B19*1000000)</f>
        <v>-134.25640177870341</v>
      </c>
      <c r="C27" s="196">
        <f>10*LOG10(C24*C25*C19*1000000)</f>
        <v>-134.25640177870341</v>
      </c>
    </row>
    <row r="28" spans="1:3" x14ac:dyDescent="0.3">
      <c r="A28" s="119" t="s">
        <v>306</v>
      </c>
      <c r="B28" s="196">
        <f>B26-B15+B22+B23+B27</f>
        <v>37.030628481966119</v>
      </c>
      <c r="C28" s="196">
        <f>C26-C15+C22+C23+C27</f>
        <v>39.939223809276825</v>
      </c>
    </row>
    <row r="29" spans="1:3" x14ac:dyDescent="0.3">
      <c r="A29" s="119" t="s">
        <v>192</v>
      </c>
      <c r="B29" s="195">
        <f>300000000/(B21*1000000000)</f>
        <v>2.3529411764705882E-2</v>
      </c>
      <c r="C29" s="195">
        <f>300000000/(C21*1000000000)</f>
        <v>2.3529411764705882E-2</v>
      </c>
    </row>
    <row r="31" spans="1:3" x14ac:dyDescent="0.3">
      <c r="A31" s="119" t="s">
        <v>297</v>
      </c>
      <c r="B31" s="196">
        <f>B29*POWER(10,(B28/20))/(PI()*SQRT(B16))</f>
        <v>0.63598020936830035</v>
      </c>
      <c r="C31" s="196">
        <f>C29*POWER(10,(C28/20))/(PI()*SQRT(C16))</f>
        <v>0.88894188095344961</v>
      </c>
    </row>
    <row r="32" spans="1:3" x14ac:dyDescent="0.3">
      <c r="A32" s="119" t="s">
        <v>193</v>
      </c>
      <c r="B32" s="196">
        <f>B28-10*LOG10(B25)</f>
        <v>16.999458766271765</v>
      </c>
      <c r="C32" s="196">
        <f>C28-10*LOG10(C25)</f>
        <v>19.908054093582471</v>
      </c>
    </row>
    <row r="33" spans="1:7" x14ac:dyDescent="0.3">
      <c r="A33" s="119" t="s">
        <v>298</v>
      </c>
      <c r="B33" s="196">
        <f>B15-B23-B22+B28</f>
        <v>-120.25640177870341</v>
      </c>
      <c r="C33" s="196">
        <f>C15-C23-C22+C28</f>
        <v>-120.25640177870341</v>
      </c>
      <c r="D33" s="194"/>
      <c r="E33" s="194"/>
      <c r="F33" s="194"/>
      <c r="G33" s="194"/>
    </row>
    <row r="34" spans="1:7" x14ac:dyDescent="0.3">
      <c r="A34" s="119" t="s">
        <v>299</v>
      </c>
      <c r="B34" s="196">
        <f>(B15-B23-B22+B28)-B27</f>
        <v>14</v>
      </c>
      <c r="C34" s="196">
        <f>(C15-C23-C22+C28)-C27</f>
        <v>14</v>
      </c>
    </row>
    <row r="35" spans="1:7" x14ac:dyDescent="0.3">
      <c r="A35" s="119" t="s">
        <v>294</v>
      </c>
      <c r="B35" s="196">
        <f>B33+60-(29.6*0.2)</f>
        <v>-66.176401778703408</v>
      </c>
      <c r="C35" s="196">
        <f>C33+60-(29.6*0.2)</f>
        <v>-66.176401778703408</v>
      </c>
    </row>
    <row r="36" spans="1:7" x14ac:dyDescent="0.3">
      <c r="A36" s="119" t="s">
        <v>295</v>
      </c>
      <c r="B36" s="196">
        <f>SQRT(POWER(10,(B35/10))*75)*1000000</f>
        <v>4253.1484633272221</v>
      </c>
      <c r="C36" s="196">
        <f>SQRT(POWER(10,(C35/10))*75)*1000000</f>
        <v>4253.1484633272221</v>
      </c>
    </row>
    <row r="37" spans="1:7" x14ac:dyDescent="0.3">
      <c r="A37" s="119" t="s">
        <v>296</v>
      </c>
      <c r="B37" s="196">
        <f>20*LOG10(B36)</f>
        <v>72.574210855213593</v>
      </c>
      <c r="C37" s="196">
        <f>20*LOG10(C36)</f>
        <v>72.574210855213593</v>
      </c>
    </row>
    <row r="38" spans="1:7" x14ac:dyDescent="0.3">
      <c r="A38" s="119" t="s">
        <v>300</v>
      </c>
      <c r="B38" s="196">
        <f>123-B37</f>
        <v>50.425789144786407</v>
      </c>
      <c r="C38" s="196">
        <f>123-C37</f>
        <v>50.425789144786407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topLeftCell="A11" zoomScaleNormal="100" workbookViewId="0">
      <selection activeCell="K16" sqref="K16"/>
    </sheetView>
  </sheetViews>
  <sheetFormatPr baseColWidth="10" defaultRowHeight="14.4" x14ac:dyDescent="0.3"/>
  <cols>
    <col min="1" max="1" width="26.21875" customWidth="1"/>
    <col min="2" max="2" width="17.77734375" customWidth="1"/>
    <col min="3" max="3" width="25.6640625" customWidth="1"/>
    <col min="5" max="5" width="34.88671875" customWidth="1"/>
    <col min="6" max="6" width="21.77734375" customWidth="1"/>
    <col min="7" max="7" width="17.77734375" customWidth="1"/>
    <col min="8" max="8" width="18.6640625" customWidth="1"/>
    <col min="9" max="9" width="5.6640625" customWidth="1"/>
    <col min="10" max="10" width="18.88671875" customWidth="1"/>
    <col min="12" max="12" width="12.88671875" customWidth="1"/>
  </cols>
  <sheetData>
    <row r="1" spans="1:10" x14ac:dyDescent="0.3">
      <c r="A1" s="211"/>
      <c r="B1" s="119" t="s">
        <v>286</v>
      </c>
      <c r="C1" s="119" t="s">
        <v>283</v>
      </c>
      <c r="D1" s="198"/>
      <c r="E1" s="32"/>
      <c r="F1" s="32"/>
      <c r="G1" s="32"/>
      <c r="H1" s="32"/>
    </row>
    <row r="2" spans="1:10" x14ac:dyDescent="0.3">
      <c r="A2" s="119" t="s">
        <v>270</v>
      </c>
      <c r="B2" s="198">
        <f>B3*B6</f>
        <v>523.20000000000005</v>
      </c>
      <c r="C2" s="119" t="s">
        <v>284</v>
      </c>
      <c r="D2" s="198">
        <v>3</v>
      </c>
      <c r="E2" s="32"/>
      <c r="F2" s="32"/>
      <c r="G2" s="32"/>
      <c r="H2" s="32"/>
    </row>
    <row r="3" spans="1:10" x14ac:dyDescent="0.3">
      <c r="A3" s="119" t="s">
        <v>269</v>
      </c>
      <c r="B3" s="198">
        <f>((B4)^2/16)*B5</f>
        <v>799.52256944444457</v>
      </c>
      <c r="C3" s="119" t="s">
        <v>285</v>
      </c>
      <c r="D3" s="198">
        <v>3</v>
      </c>
      <c r="E3" s="32"/>
      <c r="F3" s="32"/>
      <c r="G3" s="32"/>
      <c r="H3" s="32"/>
    </row>
    <row r="4" spans="1:10" x14ac:dyDescent="0.3">
      <c r="A4" s="119" t="s">
        <v>266</v>
      </c>
      <c r="B4" s="200">
        <f>130*(1000/3600)</f>
        <v>36.111111111111114</v>
      </c>
      <c r="C4" s="119" t="s">
        <v>288</v>
      </c>
      <c r="D4" s="198">
        <v>0.27200000000000002</v>
      </c>
      <c r="E4" s="32"/>
      <c r="F4" s="32"/>
      <c r="G4" s="32"/>
      <c r="H4" s="32"/>
    </row>
    <row r="5" spans="1:10" x14ac:dyDescent="0.3">
      <c r="A5" s="210" t="s">
        <v>267</v>
      </c>
      <c r="B5" s="198">
        <v>9.81</v>
      </c>
      <c r="C5" s="32"/>
      <c r="D5" s="32"/>
      <c r="E5" s="32"/>
      <c r="F5" s="32"/>
      <c r="G5" s="32"/>
      <c r="H5" s="32"/>
    </row>
    <row r="6" spans="1:10" x14ac:dyDescent="0.3">
      <c r="A6" s="210" t="s">
        <v>268</v>
      </c>
      <c r="B6" s="198">
        <f>523.2/B3</f>
        <v>0.65439053254437862</v>
      </c>
      <c r="C6" s="32"/>
      <c r="D6" s="32"/>
      <c r="E6" s="32"/>
      <c r="F6" s="32"/>
      <c r="G6" s="32"/>
      <c r="H6" s="32"/>
    </row>
    <row r="7" spans="1:10" x14ac:dyDescent="0.3">
      <c r="A7" s="32"/>
      <c r="B7" s="32"/>
      <c r="C7" s="32"/>
      <c r="D7" s="32"/>
      <c r="E7" s="32"/>
      <c r="F7" s="32"/>
      <c r="G7" s="32"/>
      <c r="H7" s="32"/>
    </row>
    <row r="8" spans="1:10" x14ac:dyDescent="0.3">
      <c r="A8" s="222" t="s">
        <v>274</v>
      </c>
      <c r="B8" s="223"/>
      <c r="C8" s="222" t="s">
        <v>305</v>
      </c>
      <c r="D8" s="223"/>
      <c r="E8" s="32"/>
      <c r="F8" s="32"/>
      <c r="G8" s="32"/>
      <c r="H8" s="32"/>
    </row>
    <row r="9" spans="1:10" x14ac:dyDescent="0.3">
      <c r="A9" s="119" t="s">
        <v>287</v>
      </c>
      <c r="B9" s="198">
        <v>4.4999999999999998E-2</v>
      </c>
      <c r="C9" s="224">
        <v>4.4999999999999998E-2</v>
      </c>
      <c r="D9" s="225"/>
      <c r="E9" s="32"/>
      <c r="F9" s="32"/>
      <c r="G9" s="32"/>
      <c r="H9" s="32"/>
    </row>
    <row r="10" spans="1:10" x14ac:dyDescent="0.3">
      <c r="A10" s="119" t="s">
        <v>271</v>
      </c>
      <c r="B10" s="198">
        <v>6</v>
      </c>
      <c r="C10" s="224">
        <v>3</v>
      </c>
      <c r="D10" s="225"/>
      <c r="E10" s="32"/>
      <c r="F10" s="32"/>
      <c r="G10" s="32"/>
      <c r="H10" s="32"/>
    </row>
    <row r="11" spans="1:10" x14ac:dyDescent="0.3">
      <c r="A11" s="119" t="s">
        <v>272</v>
      </c>
      <c r="B11" s="198">
        <v>0.7</v>
      </c>
      <c r="C11" s="224">
        <v>0.7</v>
      </c>
      <c r="D11" s="225"/>
      <c r="E11" s="32"/>
      <c r="F11" s="32"/>
      <c r="G11" s="32"/>
      <c r="H11" s="32"/>
    </row>
    <row r="12" spans="1:10" x14ac:dyDescent="0.3">
      <c r="A12" s="119" t="s">
        <v>273</v>
      </c>
      <c r="B12" s="198">
        <f>B9*B10*B11</f>
        <v>0.189</v>
      </c>
      <c r="C12" s="224">
        <f>C9*C10*C11</f>
        <v>9.4500000000000001E-2</v>
      </c>
      <c r="D12" s="225"/>
      <c r="E12" s="32"/>
      <c r="F12" s="32"/>
      <c r="G12" s="32"/>
      <c r="H12" s="32"/>
    </row>
    <row r="13" spans="1:10" x14ac:dyDescent="0.3">
      <c r="A13" s="119" t="s">
        <v>290</v>
      </c>
      <c r="B13" s="198">
        <f>800*B12</f>
        <v>151.19999999999999</v>
      </c>
      <c r="C13" s="224">
        <f>800*C12</f>
        <v>75.599999999999994</v>
      </c>
      <c r="D13" s="225"/>
      <c r="E13" s="32"/>
      <c r="F13" s="32"/>
      <c r="G13" s="32"/>
      <c r="H13" s="32"/>
    </row>
    <row r="14" spans="1:10" x14ac:dyDescent="0.3">
      <c r="A14" s="32"/>
      <c r="B14" s="32"/>
      <c r="C14" s="32"/>
      <c r="D14" s="32"/>
      <c r="E14" s="32"/>
      <c r="F14" s="32"/>
      <c r="G14" s="32"/>
      <c r="H14" s="32"/>
    </row>
    <row r="15" spans="1:10" x14ac:dyDescent="0.3">
      <c r="A15" s="32"/>
      <c r="B15" s="32"/>
      <c r="C15" s="32"/>
      <c r="D15" s="32"/>
      <c r="E15" s="32"/>
      <c r="F15" s="32"/>
      <c r="G15" s="32"/>
      <c r="H15" s="32"/>
    </row>
    <row r="16" spans="1:10" x14ac:dyDescent="0.3">
      <c r="A16" s="222" t="s">
        <v>304</v>
      </c>
      <c r="B16" s="223"/>
      <c r="C16" s="119" t="s">
        <v>301</v>
      </c>
      <c r="D16" s="32"/>
      <c r="E16" s="119" t="s">
        <v>310</v>
      </c>
      <c r="F16" s="119" t="s">
        <v>289</v>
      </c>
      <c r="G16" s="32"/>
      <c r="H16" s="119" t="s">
        <v>318</v>
      </c>
      <c r="I16" s="215"/>
      <c r="J16" s="119" t="s">
        <v>319</v>
      </c>
    </row>
    <row r="17" spans="1:13" x14ac:dyDescent="0.3">
      <c r="A17" s="119" t="s">
        <v>275</v>
      </c>
      <c r="B17" s="198">
        <v>93</v>
      </c>
      <c r="C17" s="198">
        <f>B17*B18</f>
        <v>558</v>
      </c>
      <c r="D17" s="32"/>
      <c r="E17" s="198">
        <v>93</v>
      </c>
      <c r="F17" s="198">
        <f>E17*E18</f>
        <v>558</v>
      </c>
      <c r="G17" s="32"/>
      <c r="H17" s="198">
        <v>93</v>
      </c>
      <c r="J17" s="198">
        <f>2*B5</f>
        <v>19.62</v>
      </c>
      <c r="L17" s="119" t="s">
        <v>311</v>
      </c>
      <c r="M17" s="198">
        <f>-SUM(H17,H19,H21,H23,H24)</f>
        <v>-755.30000000000007</v>
      </c>
    </row>
    <row r="18" spans="1:13" x14ac:dyDescent="0.3">
      <c r="A18" s="119" t="s">
        <v>276</v>
      </c>
      <c r="B18" s="198">
        <v>6</v>
      </c>
      <c r="C18" s="198"/>
      <c r="D18" s="32"/>
      <c r="E18" s="198">
        <v>6</v>
      </c>
      <c r="F18" s="198"/>
      <c r="G18" s="32"/>
      <c r="H18" s="198"/>
      <c r="J18" s="198"/>
      <c r="L18" s="119" t="s">
        <v>312</v>
      </c>
      <c r="M18" s="198">
        <f>-SUM(J24,J25,J23,J21,J19,J17)</f>
        <v>-139.30200000000002</v>
      </c>
    </row>
    <row r="19" spans="1:13" x14ac:dyDescent="0.3">
      <c r="A19" s="119" t="s">
        <v>277</v>
      </c>
      <c r="B19" s="198">
        <v>36.5</v>
      </c>
      <c r="C19" s="198">
        <f t="shared" ref="C19" si="0">B19*B20</f>
        <v>146</v>
      </c>
      <c r="D19" s="32"/>
      <c r="E19" s="198">
        <v>36.5</v>
      </c>
      <c r="F19" s="198">
        <f>E19*E20</f>
        <v>146</v>
      </c>
      <c r="G19" s="32"/>
      <c r="H19" s="198">
        <v>36.5</v>
      </c>
      <c r="J19" s="198">
        <f>1.5*B5</f>
        <v>14.715</v>
      </c>
    </row>
    <row r="20" spans="1:13" x14ac:dyDescent="0.3">
      <c r="A20" s="119" t="s">
        <v>278</v>
      </c>
      <c r="B20" s="198">
        <v>4</v>
      </c>
      <c r="C20" s="198"/>
      <c r="D20" s="32"/>
      <c r="E20" s="198">
        <v>4</v>
      </c>
      <c r="F20" s="198"/>
      <c r="G20" s="32"/>
      <c r="H20" s="198"/>
      <c r="J20" s="198"/>
    </row>
    <row r="21" spans="1:13" x14ac:dyDescent="0.3">
      <c r="A21" s="119" t="s">
        <v>282</v>
      </c>
      <c r="B21" s="198">
        <v>27</v>
      </c>
      <c r="C21" s="198">
        <f>B21*B22</f>
        <v>54</v>
      </c>
      <c r="D21" s="32"/>
      <c r="E21" s="198">
        <v>27</v>
      </c>
      <c r="F21" s="198">
        <f>E21*E22</f>
        <v>54</v>
      </c>
      <c r="G21" s="32"/>
      <c r="H21" s="198">
        <v>27</v>
      </c>
      <c r="J21" s="198">
        <f>1.2*B5</f>
        <v>11.772</v>
      </c>
    </row>
    <row r="22" spans="1:13" x14ac:dyDescent="0.3">
      <c r="A22" s="119" t="s">
        <v>279</v>
      </c>
      <c r="B22" s="198">
        <v>2</v>
      </c>
      <c r="C22" s="198"/>
      <c r="D22" s="32"/>
      <c r="E22" s="198">
        <v>2</v>
      </c>
      <c r="F22" s="198"/>
      <c r="G22" s="32"/>
      <c r="H22" s="198"/>
      <c r="J22" s="198"/>
    </row>
    <row r="23" spans="1:13" x14ac:dyDescent="0.3">
      <c r="A23" s="119" t="s">
        <v>280</v>
      </c>
      <c r="B23" s="198">
        <v>523.20000000000005</v>
      </c>
      <c r="C23" s="198">
        <f>B23*B24</f>
        <v>261.60000000000002</v>
      </c>
      <c r="D23" s="32"/>
      <c r="E23" s="198">
        <v>523.20000000000005</v>
      </c>
      <c r="F23" s="198">
        <f>E23*E24</f>
        <v>261.60000000000002</v>
      </c>
      <c r="G23" s="32"/>
      <c r="H23" s="198">
        <v>523.20000000000005</v>
      </c>
      <c r="J23" s="198">
        <f>5*9.81</f>
        <v>49.050000000000004</v>
      </c>
    </row>
    <row r="24" spans="1:13" x14ac:dyDescent="0.3">
      <c r="A24" s="213" t="s">
        <v>281</v>
      </c>
      <c r="B24" s="200">
        <v>0.5</v>
      </c>
      <c r="C24" s="200"/>
      <c r="D24" s="32"/>
      <c r="E24" s="200">
        <v>0.5</v>
      </c>
      <c r="F24" s="200"/>
      <c r="G24" s="32"/>
      <c r="H24" s="200">
        <f>C13</f>
        <v>75.599999999999994</v>
      </c>
      <c r="J24" s="198">
        <f>2*B5</f>
        <v>19.62</v>
      </c>
    </row>
    <row r="25" spans="1:13" x14ac:dyDescent="0.3">
      <c r="A25" s="201"/>
      <c r="B25" s="201"/>
      <c r="C25" s="201"/>
      <c r="D25" s="32"/>
      <c r="E25" s="201"/>
      <c r="F25" s="201"/>
      <c r="G25" s="32"/>
      <c r="H25" s="201"/>
      <c r="J25" s="198">
        <f>2.5*B5</f>
        <v>24.525000000000002</v>
      </c>
    </row>
    <row r="26" spans="1:13" x14ac:dyDescent="0.3">
      <c r="A26" s="212" t="s">
        <v>313</v>
      </c>
      <c r="E26" s="198">
        <v>2.9</v>
      </c>
      <c r="G26" s="32"/>
    </row>
    <row r="27" spans="1:13" x14ac:dyDescent="0.3">
      <c r="A27" s="214" t="s">
        <v>314</v>
      </c>
      <c r="B27" s="198">
        <f>SUM(C17,C19,C21,C23)</f>
        <v>1019.6</v>
      </c>
      <c r="C27" s="203"/>
      <c r="D27" s="207"/>
      <c r="E27" s="216">
        <f>SUM(F17*(E26-E24),F19*(E26-E22),F21*(E20-E26),F23*(E18-E26))</f>
        <v>2340.96</v>
      </c>
      <c r="F27" s="203"/>
      <c r="G27" s="32"/>
      <c r="H27" s="32"/>
    </row>
    <row r="28" spans="1:13" x14ac:dyDescent="0.3">
      <c r="A28" s="119" t="s">
        <v>315</v>
      </c>
      <c r="B28" s="199">
        <f>0.045*280*((B10)^2-(3)^2)</f>
        <v>340.2</v>
      </c>
      <c r="C28" s="203"/>
      <c r="D28" s="32"/>
      <c r="E28" s="199">
        <f>(0.045*280*((C10)^2))*6</f>
        <v>680.4</v>
      </c>
      <c r="F28" s="203"/>
      <c r="G28" s="32"/>
      <c r="H28" s="32"/>
    </row>
    <row r="29" spans="1:13" x14ac:dyDescent="0.3">
      <c r="A29" s="119" t="s">
        <v>316</v>
      </c>
      <c r="B29" s="199">
        <f>B27+B28</f>
        <v>1359.8</v>
      </c>
      <c r="C29" s="202"/>
      <c r="D29" s="32"/>
      <c r="E29" s="199">
        <f>E27+E28</f>
        <v>3021.36</v>
      </c>
      <c r="F29" s="202"/>
      <c r="G29" s="32"/>
      <c r="H29" s="32"/>
    </row>
    <row r="30" spans="1:13" x14ac:dyDescent="0.3">
      <c r="A30" s="213" t="s">
        <v>317</v>
      </c>
      <c r="B30" s="204">
        <f>B29-355</f>
        <v>1004.8</v>
      </c>
      <c r="C30" s="209" t="s">
        <v>302</v>
      </c>
      <c r="D30" s="205"/>
      <c r="E30" s="206">
        <f>E29-355</f>
        <v>2666.36</v>
      </c>
      <c r="F30" s="208" t="s">
        <v>303</v>
      </c>
    </row>
    <row r="31" spans="1:13" x14ac:dyDescent="0.3">
      <c r="A31" s="197"/>
      <c r="B31" s="197"/>
      <c r="C31" s="197"/>
      <c r="E31" s="197"/>
      <c r="F31" s="197"/>
    </row>
    <row r="33" spans="1:4" x14ac:dyDescent="0.3">
      <c r="A33" t="s">
        <v>293</v>
      </c>
      <c r="D33" t="s">
        <v>291</v>
      </c>
    </row>
    <row r="34" spans="1:4" x14ac:dyDescent="0.3">
      <c r="D34" t="s">
        <v>292</v>
      </c>
    </row>
    <row r="42" spans="1:4" x14ac:dyDescent="0.3">
      <c r="B42">
        <v>523.20000000000005</v>
      </c>
      <c r="C42">
        <f>B42*B43</f>
        <v>261.60000000000002</v>
      </c>
    </row>
    <row r="43" spans="1:4" x14ac:dyDescent="0.3">
      <c r="B43">
        <v>0.5</v>
      </c>
    </row>
    <row r="45" spans="1:4" x14ac:dyDescent="0.3">
      <c r="B45">
        <f>SUM(C42)</f>
        <v>261.60000000000002</v>
      </c>
    </row>
    <row r="46" spans="1:4" x14ac:dyDescent="0.3">
      <c r="B46">
        <f>0.045*280*((B10)^2-(3)^2)</f>
        <v>340.2</v>
      </c>
    </row>
    <row r="47" spans="1:4" x14ac:dyDescent="0.3">
      <c r="B47">
        <f>B45+B46</f>
        <v>601.79999999999995</v>
      </c>
    </row>
    <row r="48" spans="1:4" x14ac:dyDescent="0.3">
      <c r="B48">
        <f>B47-355</f>
        <v>246.79999999999995</v>
      </c>
    </row>
  </sheetData>
  <mergeCells count="8">
    <mergeCell ref="A16:B16"/>
    <mergeCell ref="A8:B8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Network</vt:lpstr>
      <vt:lpstr>Antenna + Headend</vt:lpstr>
      <vt:lpstr>Satellite</vt:lpstr>
      <vt:lpstr>Mast + 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2023-01-17T21:11:57Z</dcterms:modified>
</cp:coreProperties>
</file>