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300" documentId="14_{9F4157DC-F50C-4A01-87BD-49BE01D9B9B2}" xr6:coauthVersionLast="47" xr6:coauthVersionMax="47" xr10:uidLastSave="{B5D279DC-60F2-4BD3-9BBD-156AB107B084}"/>
  <bookViews>
    <workbookView xWindow="1560" yWindow="1560" windowWidth="21600" windowHeight="11235" xr2:uid="{00000000-000D-0000-FFFF-FFFF00000000}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7" i="1" l="1"/>
  <c r="N125" i="1"/>
  <c r="B318" i="1"/>
  <c r="B317" i="1"/>
  <c r="B319" i="1" s="1"/>
  <c r="O262" i="1"/>
  <c r="N262" i="1"/>
  <c r="I282" i="1"/>
  <c r="B312" i="1"/>
  <c r="B313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J25" i="4"/>
  <c r="B26" i="3"/>
  <c r="C42" i="4"/>
  <c r="B45" i="4" s="1"/>
  <c r="B46" i="4"/>
  <c r="B314" i="1" l="1"/>
  <c r="B47" i="4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E27" i="4" l="1"/>
  <c r="C11" i="3"/>
  <c r="B11" i="3"/>
  <c r="B12" i="3"/>
  <c r="B22" i="3" s="1"/>
  <c r="B10" i="3"/>
  <c r="C12" i="3"/>
  <c r="C22" i="3" s="1"/>
  <c r="C10" i="3"/>
  <c r="B6" i="4"/>
  <c r="B2" i="4" s="1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H63" i="2"/>
  <c r="H96" i="2" s="1"/>
  <c r="N63" i="2"/>
  <c r="N95" i="2" s="1"/>
  <c r="F63" i="2"/>
  <c r="G63" i="2"/>
  <c r="M63" i="2" l="1"/>
  <c r="M95" i="2" s="1"/>
  <c r="K63" i="2"/>
  <c r="K95" i="2" s="1"/>
  <c r="I95" i="2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J96" i="2" s="1"/>
  <c r="J95" i="2" l="1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G284" i="1"/>
  <c r="E282" i="1"/>
  <c r="C284" i="1"/>
  <c r="I284" i="1"/>
  <c r="H284" i="1"/>
  <c r="E29" i="4"/>
  <c r="E30" i="4" s="1"/>
  <c r="D284" i="1" l="1"/>
  <c r="E284" i="1"/>
</calcChain>
</file>

<file path=xl/sharedStrings.xml><?xml version="1.0" encoding="utf-8"?>
<sst xmlns="http://schemas.openxmlformats.org/spreadsheetml/2006/main" count="497" uniqueCount="341">
  <si>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</si>
  <si>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</si>
  <si>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</si>
  <si>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</si>
  <si>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</si>
  <si>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</si>
  <si>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</si>
  <si>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</si>
  <si>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</si>
  <si>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</si>
  <si>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</si>
  <si>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</si>
  <si>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</si>
  <si>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</si>
  <si>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</si>
  <si>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</si>
  <si>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</si>
  <si>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</si>
  <si>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</si>
  <si>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</si>
  <si>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</si>
  <si>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</si>
  <si>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</si>
  <si>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</si>
  <si>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</si>
  <si>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</si>
  <si>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</si>
  <si>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</si>
  <si>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</si>
  <si>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</si>
  <si>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</si>
  <si>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</si>
  <si>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</si>
  <si>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</si>
  <si>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</si>
  <si>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</si>
  <si>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</si>
  <si>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</si>
  <si>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</si>
  <si>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</si>
  <si>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</si>
  <si>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</si>
  <si>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</si>
  <si>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</si>
  <si>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</si>
  <si>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</si>
  <si>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</si>
  <si>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</si>
  <si>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</si>
  <si>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</si>
  <si>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</si>
  <si>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</si>
  <si>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</si>
  <si>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</si>
  <si>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</si>
  <si>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</si>
  <si>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</si>
  <si>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</si>
  <si>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</si>
  <si>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</si>
  <si>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</si>
  <si>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</si>
  <si>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</si>
  <si>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</si>
  <si>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</si>
  <si>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</si>
  <si>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</si>
  <si>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</si>
  <si>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</si>
  <si>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</si>
  <si>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</si>
  <si>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</si>
  <si>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</si>
  <si>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</si>
  <si>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</si>
  <si>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</si>
  <si>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</si>
  <si>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</si>
  <si>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</si>
  <si>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</si>
  <si>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</si>
  <si>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</si>
  <si>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</si>
  <si>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</si>
  <si>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</si>
  <si>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</si>
  <si>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</si>
  <si>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</si>
  <si>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</si>
  <si>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</si>
  <si>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</si>
  <si>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</si>
  <si>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</si>
  <si>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</si>
  <si>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</si>
  <si>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</si>
  <si>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</si>
  <si>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</si>
  <si>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</si>
  <si>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</si>
  <si>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</si>
  <si>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</si>
  <si>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</si>
  <si>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</si>
  <si>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</si>
  <si>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</si>
  <si>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</si>
  <si>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</si>
  <si>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</si>
  <si>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</si>
  <si>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</si>
  <si>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</si>
  <si>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</si>
  <si>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</si>
  <si>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</si>
  <si>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</si>
  <si>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</si>
  <si>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</si>
  <si>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</si>
  <si>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</si>
  <si>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</si>
  <si>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</si>
  <si>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</si>
  <si>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</si>
  <si>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</si>
  <si>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</si>
  <si>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</si>
  <si>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</si>
  <si>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</si>
  <si>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</si>
  <si>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</si>
  <si>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</si>
  <si>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</si>
  <si>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</si>
  <si>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</si>
  <si>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</si>
  <si>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</si>
  <si>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</si>
  <si>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</si>
  <si>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</si>
  <si>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</si>
  <si>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</si>
  <si>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</si>
  <si>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</si>
  <si>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</si>
  <si>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</si>
  <si>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</si>
  <si>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</si>
  <si>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</si>
  <si>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</si>
  <si>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</si>
  <si>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</si>
  <si>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</si>
  <si>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</si>
  <si>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</si>
  <si>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</si>
  <si>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</si>
  <si>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</si>
  <si>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</si>
  <si>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</si>
  <si>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</si>
  <si>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</si>
  <si>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</si>
  <si>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</si>
  <si>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</si>
  <si>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</si>
  <si>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</si>
  <si>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</si>
  <si>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</si>
  <si>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</si>
  <si>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</si>
  <si>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</si>
  <si>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</si>
  <si>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</si>
  <si>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</si>
  <si>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</si>
  <si>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</si>
  <si>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</si>
  <si>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</si>
  <si>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</si>
  <si>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</si>
  <si>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</si>
  <si>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</si>
  <si>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</si>
  <si>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</si>
  <si>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</si>
  <si>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</si>
  <si>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</si>
  <si>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</si>
  <si>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</si>
  <si>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</si>
  <si>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</si>
  <si>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</si>
  <si>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</si>
  <si>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</si>
  <si>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</si>
  <si>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</si>
  <si>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</si>
  <si>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</si>
  <si>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</si>
  <si>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</si>
  <si>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</si>
  <si>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</si>
  <si>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</si>
  <si>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</si>
  <si>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</si>
  <si>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</si>
  <si>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</si>
  <si>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</si>
  <si>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</si>
  <si>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</si>
  <si>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</si>
  <si>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</si>
  <si>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</si>
  <si>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</si>
  <si>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</si>
  <si>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</si>
  <si>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</si>
  <si>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</si>
  <si>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</si>
  <si>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</si>
  <si>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</si>
  <si>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</si>
  <si>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</si>
  <si>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</si>
  <si>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</si>
  <si>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</si>
  <si>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</si>
  <si>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</si>
  <si>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</si>
  <si>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</si>
  <si>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</si>
  <si>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</si>
  <si>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</si>
  <si>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</si>
  <si>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</si>
  <si>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</si>
  <si>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</si>
  <si>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</si>
  <si>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</si>
  <si>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</si>
  <si>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</si>
  <si>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</si>
  <si>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</si>
  <si>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</si>
  <si>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</si>
  <si>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</si>
  <si>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</si>
  <si>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</si>
  <si>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</si>
  <si>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</si>
  <si>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</si>
  <si>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</si>
  <si>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</si>
  <si>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</si>
  <si>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</si>
  <si>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</si>
  <si>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</si>
  <si>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</si>
  <si>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</si>
  <si>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</si>
  <si>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</si>
  <si>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</si>
  <si>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</si>
  <si>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</si>
  <si>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</si>
  <si>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</si>
  <si>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</si>
  <si>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</si>
  <si>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</si>
  <si>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</si>
  <si>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</si>
  <si>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</si>
  <si>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</si>
  <si>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</si>
  <si>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</si>
  <si>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</si>
  <si>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</si>
  <si>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</si>
  <si>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</si>
  <si>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</si>
  <si>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</si>
  <si>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</si>
  <si>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</si>
  <si>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</si>
  <si>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</si>
  <si>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</si>
  <si>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</si>
  <si>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</si>
  <si>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</si>
  <si>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</si>
  <si>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</si>
  <si>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</si>
  <si>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</si>
  <si>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</si>
  <si>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</si>
  <si>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</si>
  <si>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</si>
  <si>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</si>
  <si>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</si>
  <si>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</si>
  <si>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</si>
  <si>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</si>
  <si>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</si>
  <si>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</si>
  <si>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</si>
  <si>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</si>
  <si>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</si>
  <si>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</si>
  <si>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</si>
  <si>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</si>
  <si>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</si>
  <si>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</si>
  <si>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</si>
  <si>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</si>
  <si>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</si>
  <si>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</si>
  <si>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</si>
  <si>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</si>
  <si>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</si>
  <si>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</si>
  <si>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</si>
  <si>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</si>
  <si>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</si>
  <si>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</si>
  <si>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</si>
  <si>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</si>
  <si>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</si>
  <si>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</si>
  <si>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</si>
  <si>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</si>
  <si>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</si>
  <si>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</si>
  <si>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</si>
  <si>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</si>
  <si>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</si>
  <si>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</si>
  <si>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</si>
  <si>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</si>
  <si>
    <t>Planicity of the distribution network (Best outlet)</t>
  </si>
  <si>
    <t>Planicity of the dispersion + interior network (Best outlet)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</si>
</sst>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0" fillId="0" borderId="54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9"/>
  <sheetViews>
    <sheetView tabSelected="1" topLeftCell="A167" zoomScale="90" zoomScaleNormal="90" workbookViewId="0">
      <selection activeCell="A200" sqref="A200"/>
    </sheetView>
  </sheetViews>
  <sheetFormatPr baseColWidth="10" defaultRowHeight="15" x14ac:dyDescent="0.25"/>
  <cols>
    <col min="1" max="1" width="59.7109375" customWidth="1"/>
    <col min="2" max="2" width="16.140625" customWidth="1"/>
    <col min="3" max="3" width="21.28515625" customWidth="1"/>
    <col min="4" max="4" width="16.5703125" customWidth="1"/>
    <col min="5" max="5" width="14.5703125" customWidth="1"/>
    <col min="7" max="7" width="12.7109375" customWidth="1"/>
    <col min="14" max="14" width="15.28515625" customWidth="1"/>
  </cols>
  <sheetData>
    <row r="1" spans="1:15" ht="15.75" thickBot="1" x14ac:dyDescent="0.3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25">
      <c r="A2" s="1" t="s">
        <v>0</v>
      </c>
      <c r="B2" s="1"/>
      <c r="C2" s="1"/>
      <c r="D2" s="1"/>
      <c r="E2" s="1"/>
    </row>
    <row r="3" spans="1:15" ht="15.75" thickBot="1" x14ac:dyDescent="0.3"/>
    <row r="4" spans="1:15" ht="15.75" thickBot="1" x14ac:dyDescent="0.3">
      <c r="A4" s="15" t="s">
        <v>2</v>
      </c>
    </row>
    <row r="5" spans="1:15" x14ac:dyDescent="0.25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25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25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25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.75" thickBot="1" x14ac:dyDescent="0.3"/>
    <row r="10" spans="1:15" ht="15.75" thickBot="1" x14ac:dyDescent="0.3">
      <c r="A10" s="17" t="s">
        <v>7</v>
      </c>
      <c r="C10" s="18" t="s">
        <v>8</v>
      </c>
      <c r="D10" s="18" t="s">
        <v>9</v>
      </c>
    </row>
    <row r="11" spans="1:15" x14ac:dyDescent="0.25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25">
      <c r="A12" s="9" t="s">
        <v>71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25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25">
      <c r="A14" s="9" t="s">
        <v>62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.75" thickBot="1" x14ac:dyDescent="0.3"/>
    <row r="16" spans="1:15" ht="15.75" thickBot="1" x14ac:dyDescent="0.3">
      <c r="A16" s="28" t="s">
        <v>28</v>
      </c>
      <c r="B16" s="29"/>
      <c r="C16" s="30"/>
    </row>
    <row r="17" spans="1:15" ht="15.75" thickBot="1" x14ac:dyDescent="0.3"/>
    <row r="18" spans="1:15" ht="16.5" thickBot="1" x14ac:dyDescent="0.3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173</v>
      </c>
      <c r="I18" s="8" t="s">
        <v>174</v>
      </c>
      <c r="J18" s="8" t="s">
        <v>175</v>
      </c>
      <c r="K18" s="84" t="s">
        <v>60</v>
      </c>
      <c r="L18" s="86" t="s">
        <v>72</v>
      </c>
      <c r="M18" s="87" t="s">
        <v>73</v>
      </c>
    </row>
    <row r="19" spans="1:15" ht="15.75" thickBot="1" x14ac:dyDescent="0.3">
      <c r="A19" s="54" t="s">
        <v>143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.75" thickBot="1" x14ac:dyDescent="0.3">
      <c r="A20" s="55" t="s">
        <v>142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.75" thickBot="1" x14ac:dyDescent="0.3">
      <c r="A21" s="55" t="s">
        <v>141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.75" thickBot="1" x14ac:dyDescent="0.3">
      <c r="A22" s="55" t="s">
        <v>144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.75" thickBot="1" x14ac:dyDescent="0.3">
      <c r="A23" s="56" t="s">
        <v>140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.75" thickBot="1" x14ac:dyDescent="0.3">
      <c r="A24" s="52"/>
      <c r="N24" s="91"/>
      <c r="O24" s="91"/>
    </row>
    <row r="25" spans="1:15" ht="15.75" thickBot="1" x14ac:dyDescent="0.3">
      <c r="A25" s="54" t="s">
        <v>139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.75" thickBot="1" x14ac:dyDescent="0.3">
      <c r="A26" s="55" t="s">
        <v>138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.75" thickBot="1" x14ac:dyDescent="0.3">
      <c r="A27" s="55" t="s">
        <v>137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.75" thickBot="1" x14ac:dyDescent="0.3">
      <c r="A28" s="55" t="s">
        <v>336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.75" thickBot="1" x14ac:dyDescent="0.3">
      <c r="A29" s="56" t="s">
        <v>136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.75" thickBot="1" x14ac:dyDescent="0.3">
      <c r="A30" s="52"/>
      <c r="N30" s="91"/>
      <c r="O30" s="91"/>
    </row>
    <row r="31" spans="1:15" ht="15.75" thickBot="1" x14ac:dyDescent="0.3">
      <c r="A31" s="54" t="s">
        <v>116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.75" thickBot="1" x14ac:dyDescent="0.3">
      <c r="A32" s="55" t="s">
        <v>115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.75" thickBot="1" x14ac:dyDescent="0.3">
      <c r="A33" s="55" t="s">
        <v>114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.75" thickBot="1" x14ac:dyDescent="0.3">
      <c r="A34" s="55" t="s">
        <v>113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.75" thickBot="1" x14ac:dyDescent="0.3">
      <c r="A35" s="55" t="s">
        <v>337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.75" thickBot="1" x14ac:dyDescent="0.3">
      <c r="A36" s="56" t="s">
        <v>112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.75" thickBot="1" x14ac:dyDescent="0.3">
      <c r="A37" s="52"/>
      <c r="N37" s="91"/>
      <c r="O37" s="91"/>
    </row>
    <row r="38" spans="1:15" ht="15.75" thickBot="1" x14ac:dyDescent="0.3">
      <c r="A38" s="54" t="s">
        <v>111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.75" thickBot="1" x14ac:dyDescent="0.3">
      <c r="A39" s="55" t="s">
        <v>110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.75" thickBot="1" x14ac:dyDescent="0.3">
      <c r="A40" s="55" t="s">
        <v>109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.75" thickBot="1" x14ac:dyDescent="0.3">
      <c r="A41" s="55" t="s">
        <v>108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.75" thickBot="1" x14ac:dyDescent="0.3">
      <c r="A42" s="55" t="s">
        <v>337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.75" thickBot="1" x14ac:dyDescent="0.3">
      <c r="A43" s="56" t="s">
        <v>107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.75" thickBot="1" x14ac:dyDescent="0.3">
      <c r="A44" s="52"/>
      <c r="N44" s="91"/>
      <c r="O44" s="91"/>
    </row>
    <row r="45" spans="1:15" ht="15.75" thickBot="1" x14ac:dyDescent="0.3">
      <c r="A45" s="54" t="s">
        <v>135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.75" thickBot="1" x14ac:dyDescent="0.3">
      <c r="A46" s="55" t="s">
        <v>134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.75" thickBot="1" x14ac:dyDescent="0.3">
      <c r="A47" s="55" t="s">
        <v>133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.75" thickBot="1" x14ac:dyDescent="0.3">
      <c r="A48" s="55" t="s">
        <v>147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.75" thickBot="1" x14ac:dyDescent="0.3">
      <c r="A49" s="56" t="s">
        <v>132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.75" thickBot="1" x14ac:dyDescent="0.3">
      <c r="A50" s="52"/>
      <c r="N50" s="91"/>
      <c r="O50" s="91"/>
    </row>
    <row r="51" spans="1:15" ht="15.75" thickBot="1" x14ac:dyDescent="0.3">
      <c r="A51" s="54" t="s">
        <v>131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.75" thickBot="1" x14ac:dyDescent="0.3">
      <c r="A52" s="55" t="s">
        <v>130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.75" thickBot="1" x14ac:dyDescent="0.3">
      <c r="A53" s="55" t="s">
        <v>129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.75" thickBot="1" x14ac:dyDescent="0.3">
      <c r="A54" s="55" t="s">
        <v>148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.75" thickBot="1" x14ac:dyDescent="0.3">
      <c r="A55" s="56" t="s">
        <v>128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.75" thickBot="1" x14ac:dyDescent="0.3">
      <c r="A56" s="52"/>
      <c r="N56" s="91"/>
      <c r="O56" s="91"/>
    </row>
    <row r="57" spans="1:15" ht="15.75" thickBot="1" x14ac:dyDescent="0.3">
      <c r="A57" s="54" t="s">
        <v>106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.75" thickBot="1" x14ac:dyDescent="0.3">
      <c r="A58" s="55" t="s">
        <v>105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.75" thickBot="1" x14ac:dyDescent="0.3">
      <c r="A59" s="55" t="s">
        <v>104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.75" thickBot="1" x14ac:dyDescent="0.3">
      <c r="A60" s="55" t="s">
        <v>103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.75" thickBot="1" x14ac:dyDescent="0.3">
      <c r="A61" s="55" t="s">
        <v>149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.75" thickBot="1" x14ac:dyDescent="0.3">
      <c r="A62" s="56" t="s">
        <v>102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.75" thickBot="1" x14ac:dyDescent="0.3">
      <c r="A63" s="52"/>
      <c r="N63" s="91"/>
      <c r="O63" s="91"/>
    </row>
    <row r="64" spans="1:15" ht="15.75" thickBot="1" x14ac:dyDescent="0.3">
      <c r="A64" s="54" t="s">
        <v>101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.75" thickBot="1" x14ac:dyDescent="0.3">
      <c r="A65" s="55" t="s">
        <v>100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.75" thickBot="1" x14ac:dyDescent="0.3">
      <c r="A66" s="55" t="s">
        <v>99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.75" thickBot="1" x14ac:dyDescent="0.3">
      <c r="A67" s="55" t="s">
        <v>98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.75" thickBot="1" x14ac:dyDescent="0.3">
      <c r="A68" s="55" t="s">
        <v>337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.75" thickBot="1" x14ac:dyDescent="0.3">
      <c r="A69" s="56" t="s">
        <v>97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.75" thickBot="1" x14ac:dyDescent="0.3">
      <c r="A70" s="52"/>
      <c r="N70" s="91"/>
      <c r="O70" s="91"/>
    </row>
    <row r="71" spans="1:15" ht="15.75" thickBot="1" x14ac:dyDescent="0.3">
      <c r="A71" s="54" t="s">
        <v>127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.75" thickBot="1" x14ac:dyDescent="0.3">
      <c r="A72" s="55" t="s">
        <v>126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.75" thickBot="1" x14ac:dyDescent="0.3">
      <c r="A73" s="55" t="s">
        <v>324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.75" thickBot="1" x14ac:dyDescent="0.3">
      <c r="A74" s="55" t="s">
        <v>338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.75" thickBot="1" x14ac:dyDescent="0.3">
      <c r="A75" s="56" t="s">
        <v>125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.75" thickBot="1" x14ac:dyDescent="0.3">
      <c r="A76" s="52"/>
      <c r="N76" s="91"/>
      <c r="O76" s="91"/>
    </row>
    <row r="77" spans="1:15" ht="15.75" thickBot="1" x14ac:dyDescent="0.3">
      <c r="A77" s="54" t="s">
        <v>124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.75" thickBot="1" x14ac:dyDescent="0.3">
      <c r="A78" s="55" t="s">
        <v>123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.75" thickBot="1" x14ac:dyDescent="0.3">
      <c r="A79" s="55" t="s">
        <v>325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.75" thickBot="1" x14ac:dyDescent="0.3">
      <c r="A80" s="55" t="s">
        <v>150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.75" thickBot="1" x14ac:dyDescent="0.3">
      <c r="A81" s="56" t="s">
        <v>122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.75" thickBot="1" x14ac:dyDescent="0.3">
      <c r="A82" s="52"/>
      <c r="N82" s="91"/>
      <c r="O82" s="91"/>
    </row>
    <row r="83" spans="1:15" ht="15.75" thickBot="1" x14ac:dyDescent="0.3">
      <c r="A83" s="54" t="s">
        <v>96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.75" thickBot="1" x14ac:dyDescent="0.3">
      <c r="A84" s="55" t="s">
        <v>95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.75" thickBot="1" x14ac:dyDescent="0.3">
      <c r="A85" s="55" t="s">
        <v>326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.75" thickBot="1" x14ac:dyDescent="0.3">
      <c r="A86" s="55" t="s">
        <v>327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.75" thickBot="1" x14ac:dyDescent="0.3">
      <c r="A87" s="55" t="s">
        <v>151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.75" thickBot="1" x14ac:dyDescent="0.3">
      <c r="A88" s="56" t="s">
        <v>94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.75" thickBot="1" x14ac:dyDescent="0.3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.75" thickBot="1" x14ac:dyDescent="0.3">
      <c r="A90" s="54" t="s">
        <v>93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.75" thickBot="1" x14ac:dyDescent="0.3">
      <c r="A91" s="55" t="s">
        <v>92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.75" thickBot="1" x14ac:dyDescent="0.3">
      <c r="A92" s="55" t="s">
        <v>328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.75" thickBot="1" x14ac:dyDescent="0.3">
      <c r="A93" s="55" t="s">
        <v>329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.75" thickBot="1" x14ac:dyDescent="0.3">
      <c r="A94" s="55" t="s">
        <v>151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.75" thickBot="1" x14ac:dyDescent="0.3">
      <c r="A95" s="56" t="s">
        <v>91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.75" thickBot="1" x14ac:dyDescent="0.3">
      <c r="N96" s="92"/>
      <c r="O96" s="92"/>
    </row>
    <row r="97" spans="1:15" s="52" customFormat="1" ht="15.75" thickBot="1" x14ac:dyDescent="0.3">
      <c r="A97" s="54" t="s">
        <v>121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.75" thickBot="1" x14ac:dyDescent="0.3">
      <c r="A98" s="55" t="s">
        <v>120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.75" thickBot="1" x14ac:dyDescent="0.3">
      <c r="A99" s="55" t="s">
        <v>330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.75" thickBot="1" x14ac:dyDescent="0.3">
      <c r="A100" s="55" t="s">
        <v>152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.75" thickBot="1" x14ac:dyDescent="0.3">
      <c r="A101" s="56" t="s">
        <v>119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.75" thickBot="1" x14ac:dyDescent="0.3">
      <c r="N102" s="92"/>
      <c r="O102" s="92"/>
    </row>
    <row r="103" spans="1:15" s="52" customFormat="1" ht="15.75" thickBot="1" x14ac:dyDescent="0.3">
      <c r="A103" s="54" t="s">
        <v>118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.75" thickBot="1" x14ac:dyDescent="0.3">
      <c r="A104" s="55" t="s">
        <v>117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.75" thickBot="1" x14ac:dyDescent="0.3">
      <c r="A105" s="55" t="s">
        <v>331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.75" thickBot="1" x14ac:dyDescent="0.3">
      <c r="A106" s="55" t="s">
        <v>153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.75" thickBot="1" x14ac:dyDescent="0.3">
      <c r="A107" s="56" t="s">
        <v>90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.75" thickBot="1" x14ac:dyDescent="0.3">
      <c r="N108" s="92"/>
      <c r="O108" s="92"/>
    </row>
    <row r="109" spans="1:15" s="52" customFormat="1" ht="15.75" thickBot="1" x14ac:dyDescent="0.3">
      <c r="A109" s="54" t="s">
        <v>89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.75" thickBot="1" x14ac:dyDescent="0.3">
      <c r="A110" s="55" t="s">
        <v>88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.75" thickBot="1" x14ac:dyDescent="0.3">
      <c r="A111" s="55" t="s">
        <v>332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.75" thickBot="1" x14ac:dyDescent="0.3">
      <c r="A112" s="55" t="s">
        <v>335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.75" thickBot="1" x14ac:dyDescent="0.3">
      <c r="A113" s="55" t="s">
        <v>154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.75" thickBot="1" x14ac:dyDescent="0.3">
      <c r="A114" s="56" t="s">
        <v>87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.75" thickBot="1" x14ac:dyDescent="0.3">
      <c r="N115" s="92"/>
      <c r="O115" s="92"/>
    </row>
    <row r="116" spans="1:15" s="52" customFormat="1" ht="15.75" thickBot="1" x14ac:dyDescent="0.3">
      <c r="A116" s="54" t="s">
        <v>86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.75" thickBot="1" x14ac:dyDescent="0.3">
      <c r="A117" s="55" t="s">
        <v>85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.75" thickBot="1" x14ac:dyDescent="0.3">
      <c r="A118" s="55" t="s">
        <v>333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.75" thickBot="1" x14ac:dyDescent="0.3">
      <c r="A119" s="55" t="s">
        <v>334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.75" thickBot="1" x14ac:dyDescent="0.3">
      <c r="A120" s="55" t="s">
        <v>154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.75" thickBot="1" x14ac:dyDescent="0.3">
      <c r="A121" s="56" t="s">
        <v>84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.75" thickBot="1" x14ac:dyDescent="0.3">
      <c r="N122" s="92"/>
      <c r="O122" s="92"/>
    </row>
    <row r="123" spans="1:15" s="52" customFormat="1" ht="15.75" thickBot="1" x14ac:dyDescent="0.3">
      <c r="A123" s="54" t="s">
        <v>83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.75" thickBot="1" x14ac:dyDescent="0.3">
      <c r="A124" s="55" t="s">
        <v>82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.75" thickBot="1" x14ac:dyDescent="0.3">
      <c r="A125" s="56" t="s">
        <v>81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25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25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.75" thickBot="1" x14ac:dyDescent="0.3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.75" thickBot="1" x14ac:dyDescent="0.3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25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25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25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25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25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25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25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25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25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25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25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25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25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.75" thickBot="1" x14ac:dyDescent="0.3"/>
    <row r="145" spans="1:15" ht="15.75" thickBot="1" x14ac:dyDescent="0.3">
      <c r="A145" s="12" t="s">
        <v>15</v>
      </c>
      <c r="C145" s="11" t="s">
        <v>18</v>
      </c>
    </row>
    <row r="146" spans="1:15" ht="15.75" thickBot="1" x14ac:dyDescent="0.3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.75" thickBot="1" x14ac:dyDescent="0.3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.75" thickBot="1" x14ac:dyDescent="0.3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.75" thickBot="1" x14ac:dyDescent="0.3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.75" thickBot="1" x14ac:dyDescent="0.3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.75" thickBot="1" x14ac:dyDescent="0.3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.75" thickBot="1" x14ac:dyDescent="0.3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.75" thickBot="1" x14ac:dyDescent="0.3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.75" thickBot="1" x14ac:dyDescent="0.3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.75" thickBot="1" x14ac:dyDescent="0.3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.75" thickBot="1" x14ac:dyDescent="0.3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.75" thickBot="1" x14ac:dyDescent="0.3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.75" thickBot="1" x14ac:dyDescent="0.3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.75" thickBot="1" x14ac:dyDescent="0.3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.75" thickBot="1" x14ac:dyDescent="0.3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.75" thickBot="1" x14ac:dyDescent="0.3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.75" thickBot="1" x14ac:dyDescent="0.3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.75" thickBot="1" x14ac:dyDescent="0.3"/>
    <row r="166" spans="1:15" ht="15.75" thickBot="1" x14ac:dyDescent="0.3">
      <c r="A166" s="13" t="s">
        <v>19</v>
      </c>
      <c r="G166" s="77" t="s">
        <v>59</v>
      </c>
      <c r="H166" s="77" t="s">
        <v>173</v>
      </c>
      <c r="I166" s="77" t="s">
        <v>174</v>
      </c>
      <c r="J166" s="77" t="s">
        <v>175</v>
      </c>
      <c r="K166" s="8" t="s">
        <v>60</v>
      </c>
      <c r="L166" s="8" t="s">
        <v>72</v>
      </c>
      <c r="M166" s="85" t="s">
        <v>73</v>
      </c>
      <c r="N166" s="18" t="s">
        <v>8</v>
      </c>
      <c r="O166" s="18" t="s">
        <v>9</v>
      </c>
    </row>
    <row r="167" spans="1:15" ht="15.75" thickBot="1" x14ac:dyDescent="0.3">
      <c r="A167" s="54" t="s">
        <v>83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O167" si="132">SUM(O$161:O$162)+O$160+O123</f>
        <v>6.4250000000000007</v>
      </c>
    </row>
    <row r="168" spans="1:15" ht="15.75" thickBot="1" x14ac:dyDescent="0.3">
      <c r="A168" s="55" t="s">
        <v>82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.75" thickBot="1" x14ac:dyDescent="0.3">
      <c r="A169" s="56" t="s">
        <v>81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.75" thickBot="1" x14ac:dyDescent="0.3"/>
    <row r="171" spans="1:15" ht="15.75" thickBot="1" x14ac:dyDescent="0.3">
      <c r="A171" s="54" t="s">
        <v>143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.75" thickBot="1" x14ac:dyDescent="0.3">
      <c r="A172" s="55" t="s">
        <v>142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.75" thickBot="1" x14ac:dyDescent="0.3">
      <c r="A173" s="55" t="s">
        <v>141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.75" thickBot="1" x14ac:dyDescent="0.3">
      <c r="A174" s="55" t="s">
        <v>144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.75" thickBot="1" x14ac:dyDescent="0.3">
      <c r="A175" s="56" t="s">
        <v>140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.75" thickBot="1" x14ac:dyDescent="0.3">
      <c r="A176" s="52"/>
    </row>
    <row r="177" spans="1:15" ht="15.75" thickBot="1" x14ac:dyDescent="0.3">
      <c r="A177" s="54" t="s">
        <v>139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.75" thickBot="1" x14ac:dyDescent="0.3">
      <c r="A178" s="55" t="s">
        <v>138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.75" thickBot="1" x14ac:dyDescent="0.3">
      <c r="A179" s="55" t="s">
        <v>137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.75" thickBot="1" x14ac:dyDescent="0.3">
      <c r="A180" s="55" t="s">
        <v>145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.75" thickBot="1" x14ac:dyDescent="0.3">
      <c r="A181" s="56" t="s">
        <v>136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.75" thickBot="1" x14ac:dyDescent="0.3">
      <c r="A182" s="52"/>
    </row>
    <row r="183" spans="1:15" ht="15.75" thickBot="1" x14ac:dyDescent="0.3">
      <c r="A183" s="54" t="s">
        <v>116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 t="shared" ref="M183:M188" si="147">SUM(M$161:M$162)+M$159+M$158+M$157+$M31</f>
        <v>48.25</v>
      </c>
      <c r="N183" s="100">
        <f t="shared" ref="N183:N188" si="148">SUM(N$161:N$162)+N$159+N$158+N$157+$N31</f>
        <v>6.7139999999999995</v>
      </c>
      <c r="O183" s="100">
        <f t="shared" ref="O183:O188" si="149">SUM(O$161:O$162)+O$159+O$158+O$157+$O31</f>
        <v>7.0000000000000009</v>
      </c>
    </row>
    <row r="184" spans="1:15" ht="15.75" thickBot="1" x14ac:dyDescent="0.3">
      <c r="A184" s="55" t="s">
        <v>115</v>
      </c>
      <c r="G184" s="58">
        <f t="shared" ref="G184:G188" si="150">SUM(G$161:G$162)+G$159+G$158+G$157+G32</f>
        <v>38.683999999999997</v>
      </c>
      <c r="H184" s="58">
        <f t="shared" ref="H184:H188" si="151">SUM(H$161:H$162)+H$159+H$158+H$157+$H32</f>
        <v>39.387999999999998</v>
      </c>
      <c r="I184" s="58">
        <f t="shared" ref="I184:I188" si="152">SUM(I$161:I$162)+I$159+I$158+I$157+$I32</f>
        <v>40.69</v>
      </c>
      <c r="J184" s="58">
        <f t="shared" ref="J184:J188" si="153">SUM(J$161:J$162)+J$159+J$158+J$157+$J32</f>
        <v>42.634</v>
      </c>
      <c r="K184" s="58">
        <f t="shared" ref="K184:K188" si="154">SUM(K$161:K$162)+K$159+K$158+K$157+$K32</f>
        <v>45.043999999999997</v>
      </c>
      <c r="L184" s="58">
        <f t="shared" ref="L184:L188" si="155">SUM(L$161:L$162)+L$159+L$158+L$157+$L32</f>
        <v>49.129999999999995</v>
      </c>
      <c r="M184" s="58">
        <f t="shared" si="147"/>
        <v>54.099999999999994</v>
      </c>
      <c r="N184" s="100">
        <f t="shared" si="148"/>
        <v>9.36</v>
      </c>
      <c r="O184" s="100">
        <f t="shared" si="149"/>
        <v>9.07</v>
      </c>
    </row>
    <row r="185" spans="1:15" ht="15.75" thickBot="1" x14ac:dyDescent="0.3">
      <c r="A185" s="55" t="s">
        <v>114</v>
      </c>
      <c r="G185" s="58">
        <f t="shared" si="150"/>
        <v>37.753</v>
      </c>
      <c r="H185" s="58">
        <f t="shared" si="151"/>
        <v>38.152999999999999</v>
      </c>
      <c r="I185" s="58">
        <f t="shared" si="152"/>
        <v>38.885000000000005</v>
      </c>
      <c r="J185" s="58">
        <f t="shared" si="153"/>
        <v>39.974000000000004</v>
      </c>
      <c r="K185" s="58">
        <f t="shared" si="154"/>
        <v>41.32</v>
      </c>
      <c r="L185" s="58">
        <f t="shared" si="155"/>
        <v>45.14</v>
      </c>
      <c r="M185" s="58">
        <f t="shared" si="147"/>
        <v>47.924999999999997</v>
      </c>
      <c r="N185" s="100">
        <f t="shared" si="148"/>
        <v>6.5669999999999993</v>
      </c>
      <c r="O185" s="100">
        <f t="shared" si="149"/>
        <v>6.8850000000000007</v>
      </c>
    </row>
    <row r="186" spans="1:15" ht="15.75" thickBot="1" x14ac:dyDescent="0.3">
      <c r="A186" s="55" t="s">
        <v>113</v>
      </c>
      <c r="G186" s="58">
        <f t="shared" si="150"/>
        <v>38.781999999999996</v>
      </c>
      <c r="H186" s="58">
        <f t="shared" si="151"/>
        <v>39.518000000000001</v>
      </c>
      <c r="I186" s="58">
        <f t="shared" si="152"/>
        <v>40.880000000000003</v>
      </c>
      <c r="J186" s="58">
        <f t="shared" si="153"/>
        <v>42.914000000000001</v>
      </c>
      <c r="K186" s="58">
        <f t="shared" si="154"/>
        <v>45.436000000000007</v>
      </c>
      <c r="L186" s="58">
        <f t="shared" si="155"/>
        <v>49.55</v>
      </c>
      <c r="M186" s="58">
        <f t="shared" si="147"/>
        <v>54.75</v>
      </c>
      <c r="N186" s="100">
        <f t="shared" si="148"/>
        <v>9.6539999999999999</v>
      </c>
      <c r="O186" s="100">
        <f t="shared" si="149"/>
        <v>9.3000000000000007</v>
      </c>
    </row>
    <row r="187" spans="1:15" ht="15.75" thickBot="1" x14ac:dyDescent="0.3">
      <c r="A187" s="55" t="s">
        <v>146</v>
      </c>
      <c r="G187" s="58">
        <f t="shared" si="150"/>
        <v>37.753</v>
      </c>
      <c r="H187" s="58">
        <f t="shared" si="151"/>
        <v>38.152999999999999</v>
      </c>
      <c r="I187" s="58">
        <f t="shared" si="152"/>
        <v>38.885000000000005</v>
      </c>
      <c r="J187" s="58">
        <f t="shared" si="153"/>
        <v>39.974000000000004</v>
      </c>
      <c r="K187" s="58">
        <f t="shared" si="154"/>
        <v>41.32</v>
      </c>
      <c r="L187" s="58">
        <f t="shared" si="155"/>
        <v>45.14</v>
      </c>
      <c r="M187" s="58">
        <f t="shared" si="147"/>
        <v>47.924999999999997</v>
      </c>
      <c r="N187" s="100">
        <f t="shared" si="148"/>
        <v>6.5669999999999993</v>
      </c>
      <c r="O187" s="100">
        <f t="shared" si="149"/>
        <v>6.8850000000000007</v>
      </c>
    </row>
    <row r="188" spans="1:15" ht="15.75" thickBot="1" x14ac:dyDescent="0.3">
      <c r="A188" s="56" t="s">
        <v>112</v>
      </c>
      <c r="G188" s="63">
        <f t="shared" si="150"/>
        <v>37.311999999999998</v>
      </c>
      <c r="H188" s="63">
        <f t="shared" si="151"/>
        <v>37.567999999999998</v>
      </c>
      <c r="I188" s="63">
        <f t="shared" si="152"/>
        <v>38.03</v>
      </c>
      <c r="J188" s="63">
        <f t="shared" si="153"/>
        <v>38.713999999999999</v>
      </c>
      <c r="K188" s="63">
        <f t="shared" si="154"/>
        <v>39.555999999999997</v>
      </c>
      <c r="L188" s="63">
        <f t="shared" si="155"/>
        <v>43.25</v>
      </c>
      <c r="M188" s="63">
        <f t="shared" si="147"/>
        <v>45</v>
      </c>
      <c r="N188" s="100">
        <f t="shared" si="148"/>
        <v>5.2439999999999998</v>
      </c>
      <c r="O188" s="100">
        <f t="shared" si="149"/>
        <v>5.85</v>
      </c>
    </row>
    <row r="189" spans="1:15" ht="15.75" thickBot="1" x14ac:dyDescent="0.3">
      <c r="A189" s="52"/>
    </row>
    <row r="190" spans="1:15" ht="15.75" thickBot="1" x14ac:dyDescent="0.3">
      <c r="A190" s="54" t="s">
        <v>111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.75" thickBot="1" x14ac:dyDescent="0.3">
      <c r="A191" s="55" t="s">
        <v>110</v>
      </c>
      <c r="G191" s="58">
        <f t="shared" ref="G191:G195" si="156">SUM(G$161:G$162)+G$159+G$158+G$157+G39</f>
        <v>38.683999999999997</v>
      </c>
      <c r="H191" s="58">
        <f t="shared" ref="H191:H195" si="157">SUM(H$161:H$162)+H$159+H$158+H$157+$H39</f>
        <v>39.387999999999998</v>
      </c>
      <c r="I191" s="58">
        <f t="shared" ref="I191:I195" si="158">SUM(I$161:I$162)+I$159+I$158+I$157+$I39</f>
        <v>38.408100000000005</v>
      </c>
      <c r="J191" s="58">
        <f t="shared" ref="J191:J195" si="159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60">SUM(L$161:L$162)+L$159+L$158+L$157+L$39</f>
        <v>49.129999999999995</v>
      </c>
      <c r="M191" s="58">
        <f t="shared" si="160"/>
        <v>54.099999999999994</v>
      </c>
      <c r="N191" s="100">
        <f t="shared" si="160"/>
        <v>9.36</v>
      </c>
      <c r="O191" s="100">
        <f t="shared" si="160"/>
        <v>9.07</v>
      </c>
    </row>
    <row r="192" spans="1:15" ht="15.75" thickBot="1" x14ac:dyDescent="0.3">
      <c r="A192" s="55" t="s">
        <v>109</v>
      </c>
      <c r="G192" s="58">
        <f t="shared" si="156"/>
        <v>37.753</v>
      </c>
      <c r="H192" s="58">
        <f t="shared" si="157"/>
        <v>38.152999999999999</v>
      </c>
      <c r="I192" s="58">
        <f t="shared" si="158"/>
        <v>38.408100000000005</v>
      </c>
      <c r="J192" s="58">
        <f t="shared" si="159"/>
        <v>41.26634</v>
      </c>
      <c r="K192" s="58">
        <f>SUM(K$161:K$162)+K$159+K$158+K$157+K$40</f>
        <v>41.32</v>
      </c>
      <c r="L192" s="58">
        <f t="shared" ref="L192:O192" si="161">SUM(L$161:L$162)+L$159+L$158+L$157+L$40</f>
        <v>45.14</v>
      </c>
      <c r="M192" s="58">
        <f t="shared" si="161"/>
        <v>47.924999999999997</v>
      </c>
      <c r="N192" s="100">
        <f t="shared" si="161"/>
        <v>6.5669999999999993</v>
      </c>
      <c r="O192" s="100">
        <f t="shared" si="161"/>
        <v>6.8850000000000007</v>
      </c>
    </row>
    <row r="193" spans="1:15" ht="15.75" thickBot="1" x14ac:dyDescent="0.3">
      <c r="A193" s="55" t="s">
        <v>108</v>
      </c>
      <c r="G193" s="58">
        <f t="shared" si="156"/>
        <v>38.781999999999996</v>
      </c>
      <c r="H193" s="58">
        <f t="shared" si="157"/>
        <v>39.518000000000001</v>
      </c>
      <c r="I193" s="58">
        <f t="shared" si="158"/>
        <v>38.408100000000005</v>
      </c>
      <c r="J193" s="58">
        <f t="shared" si="159"/>
        <v>41.410399999999996</v>
      </c>
      <c r="K193" s="58">
        <f>SUM(K$161:K$162)+K$159+K$158+K$157+K$41</f>
        <v>45.436000000000007</v>
      </c>
      <c r="L193" s="58">
        <f t="shared" ref="L193:O193" si="162">SUM(L$161:L$162)+L$159+L$158+L$157+L$41</f>
        <v>49.55</v>
      </c>
      <c r="M193" s="58">
        <f t="shared" si="162"/>
        <v>54.75</v>
      </c>
      <c r="N193" s="100">
        <f t="shared" si="162"/>
        <v>9.6539999999999999</v>
      </c>
      <c r="O193" s="100">
        <f t="shared" si="162"/>
        <v>9.3000000000000007</v>
      </c>
    </row>
    <row r="194" spans="1:15" ht="15.75" thickBot="1" x14ac:dyDescent="0.3">
      <c r="A194" s="55" t="s">
        <v>146</v>
      </c>
      <c r="G194" s="58">
        <f t="shared" si="156"/>
        <v>37.753</v>
      </c>
      <c r="H194" s="58">
        <f t="shared" si="157"/>
        <v>38.152999999999999</v>
      </c>
      <c r="I194" s="58">
        <f t="shared" si="158"/>
        <v>38.408100000000005</v>
      </c>
      <c r="J194" s="58">
        <f t="shared" si="159"/>
        <v>41.26634</v>
      </c>
      <c r="K194" s="58">
        <f>SUM(K$161:K$162)+K$159+K$158+K$157+K$42</f>
        <v>41.32</v>
      </c>
      <c r="L194" s="58">
        <f t="shared" ref="L194:O194" si="163">SUM(L$161:L$162)+L$159+L$158+L$157+L$42</f>
        <v>45.14</v>
      </c>
      <c r="M194" s="58">
        <f t="shared" si="163"/>
        <v>47.924999999999997</v>
      </c>
      <c r="N194" s="100">
        <f t="shared" si="163"/>
        <v>6.5669999999999993</v>
      </c>
      <c r="O194" s="100">
        <f t="shared" si="163"/>
        <v>6.8850000000000007</v>
      </c>
    </row>
    <row r="195" spans="1:15" ht="15.75" thickBot="1" x14ac:dyDescent="0.3">
      <c r="A195" s="56" t="s">
        <v>107</v>
      </c>
      <c r="G195" s="63">
        <f t="shared" si="156"/>
        <v>37.311999999999998</v>
      </c>
      <c r="H195" s="63">
        <f t="shared" si="157"/>
        <v>37.567999999999998</v>
      </c>
      <c r="I195" s="63">
        <f t="shared" si="158"/>
        <v>38.408100000000005</v>
      </c>
      <c r="J195" s="63">
        <f t="shared" si="159"/>
        <v>41.204599999999999</v>
      </c>
      <c r="K195" s="63">
        <f>SUM(K$161:K$162)+K$159+K$158+K$157+K$43</f>
        <v>39.555999999999997</v>
      </c>
      <c r="L195" s="63">
        <f t="shared" ref="L195:O195" si="164">SUM(L$161:L$162)+L$159+L$158+L$157+L$43</f>
        <v>43.25</v>
      </c>
      <c r="M195" s="63">
        <f t="shared" si="164"/>
        <v>45</v>
      </c>
      <c r="N195" s="100">
        <f t="shared" si="164"/>
        <v>5.2439999999999998</v>
      </c>
      <c r="O195" s="100">
        <f t="shared" si="164"/>
        <v>5.85</v>
      </c>
    </row>
    <row r="196" spans="1:15" ht="15.75" thickBot="1" x14ac:dyDescent="0.3">
      <c r="A196" s="52"/>
    </row>
    <row r="197" spans="1:15" ht="15.75" thickBot="1" x14ac:dyDescent="0.3">
      <c r="A197" s="54" t="s">
        <v>135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5">SUM(N$161:N$162)+N$159+N$158+N$156+N$155+N$154+N45</f>
        <v>8.9239999999999995</v>
      </c>
      <c r="O197" s="100">
        <f t="shared" si="165"/>
        <v>8.8350000000000009</v>
      </c>
    </row>
    <row r="198" spans="1:15" ht="15.75" thickBot="1" x14ac:dyDescent="0.3">
      <c r="A198" s="55" t="s">
        <v>134</v>
      </c>
      <c r="G198" s="63">
        <f>SUM(G$161:G$162)+G$159+G$158+G$156+G$155+G$154+G46</f>
        <v>34.707000000000001</v>
      </c>
      <c r="H198" s="63">
        <f t="shared" ref="H198:H201" si="166">SUM(H$161:H$162)+H$159+H$158+H$156+H$155+H$154+$H46</f>
        <v>35.266999999999996</v>
      </c>
      <c r="I198" s="63">
        <f t="shared" ref="I198:I201" si="167">SUM(I$161:I$162)+I$159+I$158+I$156+I$155+I$154+$I46</f>
        <v>36.29</v>
      </c>
      <c r="J198" s="63">
        <f t="shared" ref="J198:J201" si="168">SUM(J$161:J$162)+J$159+J$158+J$156+J$155+J$154+$J46</f>
        <v>37.811</v>
      </c>
      <c r="K198" s="58">
        <f t="shared" ref="K198:O201" si="169">SUM(K$161:K$162)+K$159+K$158+K$156+K$155+K$154+K46</f>
        <v>39.69</v>
      </c>
      <c r="L198" s="58">
        <f t="shared" si="169"/>
        <v>41.635000000000005</v>
      </c>
      <c r="M198" s="58">
        <f t="shared" si="169"/>
        <v>45.525000000000006</v>
      </c>
      <c r="N198" s="100">
        <f t="shared" si="169"/>
        <v>8.4829999999999988</v>
      </c>
      <c r="O198" s="100">
        <f t="shared" si="169"/>
        <v>8.49</v>
      </c>
    </row>
    <row r="199" spans="1:15" ht="15.75" thickBot="1" x14ac:dyDescent="0.3">
      <c r="A199" s="55" t="s">
        <v>133</v>
      </c>
      <c r="G199" s="63">
        <f>SUM(G$161:G$162)+G$159+G$158+G$156+G$155+G$154+G47</f>
        <v>34.510999999999996</v>
      </c>
      <c r="H199" s="63">
        <f t="shared" si="166"/>
        <v>35.006999999999998</v>
      </c>
      <c r="I199" s="63">
        <f t="shared" si="167"/>
        <v>35.909999999999997</v>
      </c>
      <c r="J199" s="63">
        <f t="shared" si="168"/>
        <v>37.250999999999998</v>
      </c>
      <c r="K199" s="58">
        <f t="shared" si="169"/>
        <v>38.905999999999999</v>
      </c>
      <c r="L199" s="58">
        <f t="shared" si="169"/>
        <v>40.795000000000002</v>
      </c>
      <c r="M199" s="58">
        <f t="shared" si="169"/>
        <v>44.225000000000001</v>
      </c>
      <c r="N199" s="100">
        <f t="shared" si="169"/>
        <v>7.8949999999999996</v>
      </c>
      <c r="O199" s="100">
        <f t="shared" si="169"/>
        <v>8.0300000000000011</v>
      </c>
    </row>
    <row r="200" spans="1:15" ht="15.75" thickBot="1" x14ac:dyDescent="0.3">
      <c r="A200" s="55" t="s">
        <v>147</v>
      </c>
      <c r="G200" s="63">
        <f t="shared" ref="G200:G201" si="170">SUM(G$161:G$162)+G$159+G$158+G$156+G$155+G$154+G48</f>
        <v>33.874000000000002</v>
      </c>
      <c r="H200" s="63">
        <f t="shared" si="166"/>
        <v>34.161999999999999</v>
      </c>
      <c r="I200" s="63">
        <f t="shared" si="167"/>
        <v>34.674999999999997</v>
      </c>
      <c r="J200" s="63">
        <f t="shared" si="168"/>
        <v>35.430999999999997</v>
      </c>
      <c r="K200" s="58">
        <f t="shared" si="169"/>
        <v>36.358000000000004</v>
      </c>
      <c r="L200" s="58">
        <f t="shared" si="169"/>
        <v>38.064999999999998</v>
      </c>
      <c r="M200" s="58">
        <f t="shared" si="169"/>
        <v>40</v>
      </c>
      <c r="N200" s="100">
        <f t="shared" si="169"/>
        <v>5.984</v>
      </c>
      <c r="O200" s="100">
        <f t="shared" si="169"/>
        <v>6.5350000000000001</v>
      </c>
    </row>
    <row r="201" spans="1:15" ht="15.75" thickBot="1" x14ac:dyDescent="0.3">
      <c r="A201" s="56" t="s">
        <v>132</v>
      </c>
      <c r="G201" s="63">
        <f t="shared" si="170"/>
        <v>34.609000000000002</v>
      </c>
      <c r="H201" s="63">
        <f t="shared" si="166"/>
        <v>35.137</v>
      </c>
      <c r="I201" s="63">
        <f t="shared" si="167"/>
        <v>36.1</v>
      </c>
      <c r="J201" s="63">
        <f t="shared" si="168"/>
        <v>37.530999999999999</v>
      </c>
      <c r="K201" s="63">
        <f t="shared" si="169"/>
        <v>39.298000000000002</v>
      </c>
      <c r="L201" s="63">
        <f t="shared" si="169"/>
        <v>41.215000000000003</v>
      </c>
      <c r="M201" s="63">
        <f t="shared" si="169"/>
        <v>44.875</v>
      </c>
      <c r="N201" s="100">
        <f t="shared" si="169"/>
        <v>8.1890000000000001</v>
      </c>
      <c r="O201" s="100">
        <f t="shared" si="169"/>
        <v>8.26</v>
      </c>
    </row>
    <row r="202" spans="1:15" ht="15.75" thickBot="1" x14ac:dyDescent="0.3">
      <c r="A202" s="52"/>
    </row>
    <row r="203" spans="1:15" ht="15.75" thickBot="1" x14ac:dyDescent="0.3">
      <c r="A203" s="54" t="s">
        <v>131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71">SUM(N$161:N$162)+N$159+N$158+N$156+N$155+N$154+N51</f>
        <v>8.9239999999999995</v>
      </c>
      <c r="O203" s="100">
        <f t="shared" si="171"/>
        <v>8.8350000000000009</v>
      </c>
    </row>
    <row r="204" spans="1:15" ht="15.75" thickBot="1" x14ac:dyDescent="0.3">
      <c r="A204" s="55" t="s">
        <v>130</v>
      </c>
      <c r="G204" s="58">
        <f t="shared" ref="G204:G207" si="172">SUM(G$161:G$162)+G$159+G$158+G$156+G$155+G$154+G52</f>
        <v>34.510999999999996</v>
      </c>
      <c r="H204" s="58">
        <f t="shared" ref="H204:H207" si="173">SUM(H$161:H$162)+H$159+H$158+H$156+H$155+H$154+$H52</f>
        <v>35.006999999999998</v>
      </c>
      <c r="I204" s="58">
        <f t="shared" ref="I204:I207" si="174">SUM(I$161:I$162)+I$159+I$158+I$156+I$155+I$154+$I52</f>
        <v>35.909999999999997</v>
      </c>
      <c r="J204" s="58">
        <f t="shared" ref="J204:J207" si="175">SUM(J$161:J$162)+J$159+J$158+J$156+J$155+J$154+$J52</f>
        <v>37.250999999999998</v>
      </c>
      <c r="K204" s="58">
        <f t="shared" ref="K204:O207" si="176">SUM(K$161:K$162)+K$159+K$158+K$156+K$155+K$154+K52</f>
        <v>38.905999999999999</v>
      </c>
      <c r="L204" s="58">
        <f t="shared" si="176"/>
        <v>40.795000000000002</v>
      </c>
      <c r="M204" s="58">
        <f t="shared" si="176"/>
        <v>44.225000000000001</v>
      </c>
      <c r="N204" s="100">
        <f t="shared" si="176"/>
        <v>7.8949999999999996</v>
      </c>
      <c r="O204" s="100">
        <f t="shared" si="176"/>
        <v>8.0300000000000011</v>
      </c>
    </row>
    <row r="205" spans="1:15" ht="15.75" thickBot="1" x14ac:dyDescent="0.3">
      <c r="A205" s="55" t="s">
        <v>129</v>
      </c>
      <c r="G205" s="58">
        <f t="shared" si="172"/>
        <v>34.510999999999996</v>
      </c>
      <c r="H205" s="58">
        <f t="shared" si="173"/>
        <v>35.006999999999998</v>
      </c>
      <c r="I205" s="58">
        <f t="shared" si="174"/>
        <v>35.909999999999997</v>
      </c>
      <c r="J205" s="58">
        <f t="shared" si="175"/>
        <v>37.250999999999998</v>
      </c>
      <c r="K205" s="58">
        <f t="shared" si="176"/>
        <v>38.905999999999999</v>
      </c>
      <c r="L205" s="58">
        <f t="shared" si="176"/>
        <v>40.795000000000002</v>
      </c>
      <c r="M205" s="58">
        <f t="shared" si="176"/>
        <v>44.225000000000001</v>
      </c>
      <c r="N205" s="100">
        <f t="shared" si="176"/>
        <v>7.8949999999999996</v>
      </c>
      <c r="O205" s="100">
        <f t="shared" si="176"/>
        <v>8.0300000000000011</v>
      </c>
    </row>
    <row r="206" spans="1:15" ht="15.75" thickBot="1" x14ac:dyDescent="0.3">
      <c r="A206" s="55" t="s">
        <v>148</v>
      </c>
      <c r="G206" s="58">
        <f t="shared" si="172"/>
        <v>33.874000000000002</v>
      </c>
      <c r="H206" s="58">
        <f t="shared" si="173"/>
        <v>34.161999999999999</v>
      </c>
      <c r="I206" s="58">
        <f t="shared" si="174"/>
        <v>34.674999999999997</v>
      </c>
      <c r="J206" s="58">
        <f t="shared" si="175"/>
        <v>35.430999999999997</v>
      </c>
      <c r="K206" s="58">
        <f t="shared" si="176"/>
        <v>36.358000000000004</v>
      </c>
      <c r="L206" s="58">
        <f t="shared" si="176"/>
        <v>38.064999999999998</v>
      </c>
      <c r="M206" s="58">
        <f t="shared" si="176"/>
        <v>40</v>
      </c>
      <c r="N206" s="100">
        <f t="shared" si="176"/>
        <v>5.984</v>
      </c>
      <c r="O206" s="100">
        <f t="shared" si="176"/>
        <v>6.5350000000000001</v>
      </c>
    </row>
    <row r="207" spans="1:15" ht="15.75" thickBot="1" x14ac:dyDescent="0.3">
      <c r="A207" s="56" t="s">
        <v>128</v>
      </c>
      <c r="G207" s="63">
        <f t="shared" si="172"/>
        <v>34.609000000000002</v>
      </c>
      <c r="H207" s="63">
        <f t="shared" si="173"/>
        <v>35.137</v>
      </c>
      <c r="I207" s="63">
        <f t="shared" si="174"/>
        <v>36.1</v>
      </c>
      <c r="J207" s="63">
        <f t="shared" si="175"/>
        <v>37.530999999999999</v>
      </c>
      <c r="K207" s="63">
        <f t="shared" si="176"/>
        <v>39.298000000000002</v>
      </c>
      <c r="L207" s="63">
        <f t="shared" si="176"/>
        <v>41.215000000000003</v>
      </c>
      <c r="M207" s="63">
        <f t="shared" si="176"/>
        <v>44.875</v>
      </c>
      <c r="N207" s="100">
        <f t="shared" si="176"/>
        <v>8.1890000000000001</v>
      </c>
      <c r="O207" s="100">
        <f t="shared" si="176"/>
        <v>8.26</v>
      </c>
    </row>
    <row r="208" spans="1:15" ht="15.75" thickBot="1" x14ac:dyDescent="0.3">
      <c r="A208" s="52"/>
    </row>
    <row r="209" spans="1:15" ht="15.75" thickBot="1" x14ac:dyDescent="0.3">
      <c r="A209" s="54" t="s">
        <v>106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7">SUM(N$161:N$162)+N$159+N$158+N$156+N$155+N$154+N57</f>
        <v>7.6009999999999991</v>
      </c>
      <c r="O209" s="100">
        <f t="shared" si="177"/>
        <v>7.8000000000000007</v>
      </c>
    </row>
    <row r="210" spans="1:15" ht="15.75" thickBot="1" x14ac:dyDescent="0.3">
      <c r="A210" s="55" t="s">
        <v>105</v>
      </c>
      <c r="G210" s="58">
        <f t="shared" ref="G210:G214" si="178">SUM(G$161:G$162)+G$159+G$158+G$156+G$155+G$154+G58</f>
        <v>37.295000000000002</v>
      </c>
      <c r="H210" s="58">
        <f t="shared" ref="H210:H214" si="179">SUM(H$161:H$162)+H$159+H$158+H$156+H$155+H$154+$H58</f>
        <v>38.046999999999997</v>
      </c>
      <c r="I210" s="58">
        <f t="shared" ref="I210:I214" si="180">SUM(I$161:I$162)+I$159+I$158+I$156+I$155+I$154+$I58</f>
        <v>39.43</v>
      </c>
      <c r="J210" s="58">
        <f t="shared" ref="J210:J214" si="181">SUM(J$161:J$162)+J$159+J$158+J$156+J$155+J$154+$J58</f>
        <v>41.491</v>
      </c>
      <c r="K210" s="58">
        <f t="shared" ref="K210:O214" si="182">SUM(K$161:K$162)+K$159+K$158+K$156+K$155+K$154+K58</f>
        <v>44.042000000000002</v>
      </c>
      <c r="L210" s="58">
        <f t="shared" si="182"/>
        <v>47.155000000000001</v>
      </c>
      <c r="M210" s="58">
        <f t="shared" si="182"/>
        <v>52.424999999999997</v>
      </c>
      <c r="N210" s="100">
        <f t="shared" si="182"/>
        <v>10.247</v>
      </c>
      <c r="O210" s="100">
        <f t="shared" si="182"/>
        <v>9.870000000000001</v>
      </c>
    </row>
    <row r="211" spans="1:15" ht="15.75" thickBot="1" x14ac:dyDescent="0.3">
      <c r="A211" s="55" t="s">
        <v>104</v>
      </c>
      <c r="G211" s="58">
        <f t="shared" si="178"/>
        <v>36.364000000000004</v>
      </c>
      <c r="H211" s="58">
        <f t="shared" si="179"/>
        <v>36.811999999999998</v>
      </c>
      <c r="I211" s="58">
        <f t="shared" si="180"/>
        <v>37.625</v>
      </c>
      <c r="J211" s="58">
        <f t="shared" si="181"/>
        <v>38.831000000000003</v>
      </c>
      <c r="K211" s="58">
        <f t="shared" si="182"/>
        <v>40.317999999999998</v>
      </c>
      <c r="L211" s="58">
        <f t="shared" si="182"/>
        <v>43.165000000000006</v>
      </c>
      <c r="M211" s="58">
        <f t="shared" si="182"/>
        <v>46.25</v>
      </c>
      <c r="N211" s="100">
        <f t="shared" si="182"/>
        <v>7.4539999999999988</v>
      </c>
      <c r="O211" s="100">
        <f t="shared" si="182"/>
        <v>7.6850000000000005</v>
      </c>
    </row>
    <row r="212" spans="1:15" ht="15.75" thickBot="1" x14ac:dyDescent="0.3">
      <c r="A212" s="55" t="s">
        <v>103</v>
      </c>
      <c r="G212" s="58">
        <f t="shared" si="178"/>
        <v>37.393000000000001</v>
      </c>
      <c r="H212" s="58">
        <f t="shared" si="179"/>
        <v>38.177</v>
      </c>
      <c r="I212" s="58">
        <f t="shared" si="180"/>
        <v>39.620000000000005</v>
      </c>
      <c r="J212" s="58">
        <f t="shared" si="181"/>
        <v>41.771000000000001</v>
      </c>
      <c r="K212" s="58">
        <f t="shared" si="182"/>
        <v>44.434000000000005</v>
      </c>
      <c r="L212" s="58">
        <f t="shared" si="182"/>
        <v>47.575000000000003</v>
      </c>
      <c r="M212" s="58">
        <f t="shared" si="182"/>
        <v>53.075000000000003</v>
      </c>
      <c r="N212" s="100">
        <f t="shared" si="182"/>
        <v>10.540999999999999</v>
      </c>
      <c r="O212" s="100">
        <f t="shared" si="182"/>
        <v>10.100000000000001</v>
      </c>
    </row>
    <row r="213" spans="1:15" ht="15.75" thickBot="1" x14ac:dyDescent="0.3">
      <c r="A213" s="55" t="s">
        <v>149</v>
      </c>
      <c r="G213" s="58">
        <f t="shared" si="178"/>
        <v>36.364000000000004</v>
      </c>
      <c r="H213" s="58">
        <f t="shared" si="179"/>
        <v>36.811999999999998</v>
      </c>
      <c r="I213" s="58">
        <f t="shared" si="180"/>
        <v>37.625</v>
      </c>
      <c r="J213" s="58">
        <f t="shared" si="181"/>
        <v>38.831000000000003</v>
      </c>
      <c r="K213" s="58">
        <f t="shared" si="182"/>
        <v>40.317999999999998</v>
      </c>
      <c r="L213" s="58">
        <f t="shared" si="182"/>
        <v>43.165000000000006</v>
      </c>
      <c r="M213" s="58">
        <f t="shared" si="182"/>
        <v>46.25</v>
      </c>
      <c r="N213" s="100">
        <f>SUM(N$161:N$162)+N$159+N$158+N$156+N$155+N$154+N61</f>
        <v>7.4539999999999988</v>
      </c>
      <c r="O213" s="100">
        <f t="shared" si="182"/>
        <v>7.6850000000000005</v>
      </c>
    </row>
    <row r="214" spans="1:15" ht="15.75" thickBot="1" x14ac:dyDescent="0.3">
      <c r="A214" s="56" t="s">
        <v>102</v>
      </c>
      <c r="G214" s="63">
        <f t="shared" si="178"/>
        <v>35.923000000000002</v>
      </c>
      <c r="H214" s="63">
        <f t="shared" si="179"/>
        <v>36.226999999999997</v>
      </c>
      <c r="I214" s="63">
        <f t="shared" si="180"/>
        <v>36.770000000000003</v>
      </c>
      <c r="J214" s="63">
        <f t="shared" si="181"/>
        <v>37.570999999999998</v>
      </c>
      <c r="K214" s="63">
        <f t="shared" si="182"/>
        <v>38.554000000000002</v>
      </c>
      <c r="L214" s="63">
        <f t="shared" si="182"/>
        <v>41.275000000000006</v>
      </c>
      <c r="M214" s="63">
        <f t="shared" si="182"/>
        <v>43.325000000000003</v>
      </c>
      <c r="N214" s="100">
        <f t="shared" si="182"/>
        <v>6.1310000000000002</v>
      </c>
      <c r="O214" s="100">
        <f t="shared" si="182"/>
        <v>6.65</v>
      </c>
    </row>
    <row r="215" spans="1:15" ht="15.75" thickBot="1" x14ac:dyDescent="0.3">
      <c r="A215" s="52"/>
    </row>
    <row r="216" spans="1:15" ht="15.75" thickBot="1" x14ac:dyDescent="0.3">
      <c r="A216" s="54" t="s">
        <v>101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3">SUM(N$161:N$162)+N$159+N$158+N$156+N$155+N$154+N64</f>
        <v>7.6009999999999991</v>
      </c>
      <c r="O216" s="100">
        <f t="shared" si="183"/>
        <v>7.8000000000000007</v>
      </c>
    </row>
    <row r="217" spans="1:15" ht="15.75" thickBot="1" x14ac:dyDescent="0.3">
      <c r="A217" s="55" t="s">
        <v>100</v>
      </c>
      <c r="G217" s="58">
        <f t="shared" ref="G217:G221" si="184">SUM(G$161:G$162)+G$159+G$158+G$156+G$155+G$154+G65</f>
        <v>37.295000000000002</v>
      </c>
      <c r="H217" s="58">
        <f t="shared" ref="H217:H221" si="185">SUM(H$161:H$162)+H$159+H$158+H$156+H$155+H$154+$H65</f>
        <v>38.046999999999997</v>
      </c>
      <c r="I217" s="58">
        <f t="shared" ref="I217:I221" si="186">SUM(I$161:I$162)+I$159+I$158+I$156+I$155+I$154+$I65</f>
        <v>39.43</v>
      </c>
      <c r="J217" s="58">
        <f t="shared" ref="J217:J221" si="187">SUM(J$161:J$162)+J$159+J$158+J$156+J$155+J$154+$J65</f>
        <v>41.491</v>
      </c>
      <c r="K217" s="58">
        <f t="shared" ref="K217:O221" si="188">SUM(K$161:K$162)+K$159+K$158+K$156+K$155+K$154+K65</f>
        <v>44.042000000000002</v>
      </c>
      <c r="L217" s="58">
        <f t="shared" si="188"/>
        <v>47.155000000000001</v>
      </c>
      <c r="M217" s="58">
        <f t="shared" si="188"/>
        <v>52.424999999999997</v>
      </c>
      <c r="N217" s="100">
        <f t="shared" si="188"/>
        <v>10.247</v>
      </c>
      <c r="O217" s="100">
        <f t="shared" si="188"/>
        <v>9.870000000000001</v>
      </c>
    </row>
    <row r="218" spans="1:15" ht="15.75" thickBot="1" x14ac:dyDescent="0.3">
      <c r="A218" s="55" t="s">
        <v>99</v>
      </c>
      <c r="G218" s="58">
        <f t="shared" si="184"/>
        <v>36.364000000000004</v>
      </c>
      <c r="H218" s="58">
        <f t="shared" si="185"/>
        <v>36.811999999999998</v>
      </c>
      <c r="I218" s="58">
        <f t="shared" si="186"/>
        <v>37.625</v>
      </c>
      <c r="J218" s="58">
        <f t="shared" si="187"/>
        <v>38.831000000000003</v>
      </c>
      <c r="K218" s="58">
        <f t="shared" si="188"/>
        <v>40.317999999999998</v>
      </c>
      <c r="L218" s="58">
        <f t="shared" si="188"/>
        <v>43.165000000000006</v>
      </c>
      <c r="M218" s="58">
        <f t="shared" si="188"/>
        <v>46.25</v>
      </c>
      <c r="N218" s="100">
        <f t="shared" si="188"/>
        <v>7.4539999999999988</v>
      </c>
      <c r="O218" s="100">
        <f t="shared" si="188"/>
        <v>7.6850000000000005</v>
      </c>
    </row>
    <row r="219" spans="1:15" ht="15.75" thickBot="1" x14ac:dyDescent="0.3">
      <c r="A219" s="55" t="s">
        <v>98</v>
      </c>
      <c r="G219" s="58">
        <f t="shared" si="184"/>
        <v>37.295000000000002</v>
      </c>
      <c r="H219" s="58">
        <f t="shared" si="185"/>
        <v>38.046999999999997</v>
      </c>
      <c r="I219" s="58">
        <f t="shared" si="186"/>
        <v>39.43</v>
      </c>
      <c r="J219" s="58">
        <f t="shared" si="187"/>
        <v>41.491</v>
      </c>
      <c r="K219" s="58">
        <f t="shared" si="188"/>
        <v>44.042000000000002</v>
      </c>
      <c r="L219" s="58">
        <f t="shared" si="188"/>
        <v>47.155000000000001</v>
      </c>
      <c r="M219" s="58">
        <f t="shared" si="188"/>
        <v>52.424999999999997</v>
      </c>
      <c r="N219" s="100">
        <f t="shared" si="188"/>
        <v>10.247</v>
      </c>
      <c r="O219" s="100">
        <f t="shared" si="188"/>
        <v>9.870000000000001</v>
      </c>
    </row>
    <row r="220" spans="1:15" ht="15.75" thickBot="1" x14ac:dyDescent="0.3">
      <c r="A220" s="55" t="s">
        <v>149</v>
      </c>
      <c r="G220" s="58">
        <f t="shared" si="184"/>
        <v>36.364000000000004</v>
      </c>
      <c r="H220" s="58">
        <f t="shared" si="185"/>
        <v>36.811999999999998</v>
      </c>
      <c r="I220" s="58">
        <f t="shared" si="186"/>
        <v>37.625</v>
      </c>
      <c r="J220" s="58">
        <f t="shared" si="187"/>
        <v>38.831000000000003</v>
      </c>
      <c r="K220" s="58">
        <f t="shared" si="188"/>
        <v>40.317999999999998</v>
      </c>
      <c r="L220" s="58">
        <f t="shared" si="188"/>
        <v>43.165000000000006</v>
      </c>
      <c r="M220" s="58">
        <f t="shared" si="188"/>
        <v>46.25</v>
      </c>
      <c r="N220" s="100">
        <f t="shared" si="188"/>
        <v>7.4539999999999988</v>
      </c>
      <c r="O220" s="100">
        <f t="shared" si="188"/>
        <v>7.6850000000000005</v>
      </c>
    </row>
    <row r="221" spans="1:15" ht="15.75" thickBot="1" x14ac:dyDescent="0.3">
      <c r="A221" s="56" t="s">
        <v>97</v>
      </c>
      <c r="G221" s="63">
        <f t="shared" si="184"/>
        <v>35.923000000000002</v>
      </c>
      <c r="H221" s="63">
        <f t="shared" si="185"/>
        <v>36.226999999999997</v>
      </c>
      <c r="I221" s="63">
        <f t="shared" si="186"/>
        <v>36.770000000000003</v>
      </c>
      <c r="J221" s="63">
        <f t="shared" si="187"/>
        <v>37.570999999999998</v>
      </c>
      <c r="K221" s="63">
        <f t="shared" si="188"/>
        <v>38.554000000000002</v>
      </c>
      <c r="L221" s="63">
        <f t="shared" si="188"/>
        <v>41.275000000000006</v>
      </c>
      <c r="M221" s="63">
        <f t="shared" si="188"/>
        <v>43.325000000000003</v>
      </c>
      <c r="N221" s="100">
        <f t="shared" si="188"/>
        <v>6.1310000000000002</v>
      </c>
      <c r="O221" s="100">
        <f t="shared" si="188"/>
        <v>6.65</v>
      </c>
    </row>
    <row r="222" spans="1:15" ht="15.75" thickBot="1" x14ac:dyDescent="0.3">
      <c r="A222" s="52"/>
    </row>
    <row r="223" spans="1:15" ht="15.75" thickBot="1" x14ac:dyDescent="0.3">
      <c r="A223" s="54" t="s">
        <v>127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9">SUM(N$161:N$162)+N$159+N$158+N$156+N$155+N$153+N$152+N$151+N71</f>
        <v>9.8109999999999999</v>
      </c>
      <c r="O223" s="100">
        <f t="shared" si="189"/>
        <v>9.6349999999999998</v>
      </c>
    </row>
    <row r="224" spans="1:15" ht="15.75" thickBot="1" x14ac:dyDescent="0.3">
      <c r="A224" s="55" t="s">
        <v>126</v>
      </c>
      <c r="G224" s="58">
        <f t="shared" ref="G224:G227" si="190">SUM(G$161:G$162)+G$159+G$158+G$156+G$155+G$153+G$152+G$151+G72</f>
        <v>37.118000000000002</v>
      </c>
      <c r="H224" s="58">
        <f t="shared" ref="H224:H227" si="191">SUM(H$161:H$162)+H$159+H$158+H$156+H$155+H$153+H$152+H$151+$H72</f>
        <v>37.725999999999999</v>
      </c>
      <c r="I224" s="58">
        <f t="shared" ref="I224:I227" si="192">SUM(I$161:I$162)+I$159+I$158+I$156+I$155+I$153+I$152+I$151+$I72</f>
        <v>38.83</v>
      </c>
      <c r="J224" s="58">
        <f t="shared" ref="J224:J227" si="193">SUM(J$161:J$162)+J$159+J$158+J$156+J$155+J$153+J$152+J$151+$J72</f>
        <v>40.468000000000004</v>
      </c>
      <c r="K224" s="58">
        <f t="shared" ref="K224:O227" si="194">SUM(K$161:K$162)+K$159+K$158+K$156+K$155+K$153+K$152+K$151+K72</f>
        <v>42.488</v>
      </c>
      <c r="L224" s="58">
        <f t="shared" si="194"/>
        <v>45.56</v>
      </c>
      <c r="M224" s="58">
        <f t="shared" si="194"/>
        <v>49.75</v>
      </c>
      <c r="N224" s="100">
        <f t="shared" si="194"/>
        <v>9.3699999999999992</v>
      </c>
      <c r="O224" s="100">
        <f t="shared" si="194"/>
        <v>9.2899999999999991</v>
      </c>
    </row>
    <row r="225" spans="1:15" ht="15.75" thickBot="1" x14ac:dyDescent="0.3">
      <c r="A225" s="55" t="s">
        <v>324</v>
      </c>
      <c r="G225" s="58">
        <f t="shared" si="190"/>
        <v>36.921999999999997</v>
      </c>
      <c r="H225" s="58">
        <f t="shared" si="191"/>
        <v>37.466000000000001</v>
      </c>
      <c r="I225" s="58">
        <f t="shared" si="192"/>
        <v>38.450000000000003</v>
      </c>
      <c r="J225" s="58">
        <f t="shared" si="193"/>
        <v>39.908000000000001</v>
      </c>
      <c r="K225" s="58">
        <f t="shared" si="194"/>
        <v>41.704000000000001</v>
      </c>
      <c r="L225" s="58">
        <f t="shared" si="194"/>
        <v>44.72</v>
      </c>
      <c r="M225" s="58">
        <f t="shared" si="194"/>
        <v>48.45</v>
      </c>
      <c r="N225" s="100">
        <f t="shared" si="194"/>
        <v>8.782</v>
      </c>
      <c r="O225" s="100">
        <f t="shared" si="194"/>
        <v>8.83</v>
      </c>
    </row>
    <row r="226" spans="1:15" ht="15.75" thickBot="1" x14ac:dyDescent="0.3">
      <c r="A226" s="55" t="s">
        <v>338</v>
      </c>
      <c r="G226" s="58">
        <f t="shared" si="190"/>
        <v>36.285000000000004</v>
      </c>
      <c r="H226" s="58">
        <f t="shared" si="191"/>
        <v>36.621000000000002</v>
      </c>
      <c r="I226" s="58">
        <f t="shared" si="192"/>
        <v>37.215000000000003</v>
      </c>
      <c r="J226" s="58">
        <f t="shared" si="193"/>
        <v>38.088000000000001</v>
      </c>
      <c r="K226" s="58">
        <f t="shared" si="194"/>
        <v>39.156000000000006</v>
      </c>
      <c r="L226" s="58">
        <f t="shared" si="194"/>
        <v>41.99</v>
      </c>
      <c r="M226" s="58">
        <f t="shared" si="194"/>
        <v>44.225000000000001</v>
      </c>
      <c r="N226" s="100">
        <f t="shared" si="194"/>
        <v>6.8710000000000004</v>
      </c>
      <c r="O226" s="100">
        <f t="shared" si="194"/>
        <v>7.335</v>
      </c>
    </row>
    <row r="227" spans="1:15" ht="15.75" thickBot="1" x14ac:dyDescent="0.3">
      <c r="A227" s="56" t="s">
        <v>125</v>
      </c>
      <c r="G227" s="63">
        <f t="shared" si="190"/>
        <v>37.020000000000003</v>
      </c>
      <c r="H227" s="63">
        <f t="shared" si="191"/>
        <v>37.596000000000004</v>
      </c>
      <c r="I227" s="63">
        <f t="shared" si="192"/>
        <v>38.64</v>
      </c>
      <c r="J227" s="63">
        <f t="shared" si="193"/>
        <v>40.188000000000002</v>
      </c>
      <c r="K227" s="63">
        <f t="shared" si="194"/>
        <v>42.096000000000004</v>
      </c>
      <c r="L227" s="63">
        <f t="shared" si="194"/>
        <v>45.14</v>
      </c>
      <c r="M227" s="63">
        <f t="shared" si="194"/>
        <v>49.099999999999994</v>
      </c>
      <c r="N227" s="100">
        <f t="shared" si="194"/>
        <v>9.0760000000000005</v>
      </c>
      <c r="O227" s="100">
        <f t="shared" si="194"/>
        <v>9.0599999999999987</v>
      </c>
    </row>
    <row r="228" spans="1:15" ht="15.75" thickBot="1" x14ac:dyDescent="0.3">
      <c r="A228" s="52"/>
    </row>
    <row r="229" spans="1:15" ht="15.75" thickBot="1" x14ac:dyDescent="0.3">
      <c r="A229" s="54" t="s">
        <v>124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5">SUM(M$161:M$162)+M$159+M$158+M$156+M$155+M$153+M$152+M$151+M77</f>
        <v>50.724999999999994</v>
      </c>
      <c r="N229" s="100">
        <f t="shared" si="195"/>
        <v>9.8109999999999999</v>
      </c>
      <c r="O229" s="100">
        <f t="shared" si="195"/>
        <v>9.6349999999999998</v>
      </c>
    </row>
    <row r="230" spans="1:15" ht="15.75" thickBot="1" x14ac:dyDescent="0.3">
      <c r="A230" s="55" t="s">
        <v>123</v>
      </c>
      <c r="G230" s="58">
        <f t="shared" ref="G230:G233" si="196">SUM(G$161:G$162)+G$159+G$158+G$156+G$155+G$153+G$152+G$151+G78</f>
        <v>36.921999999999997</v>
      </c>
      <c r="H230" s="58">
        <f t="shared" ref="H230:H233" si="197">SUM(H$161:H$162)+H$159+H$158+H$156+H$155+H$153+H$152+H$151+$H78</f>
        <v>37.466000000000001</v>
      </c>
      <c r="I230" s="58">
        <f t="shared" ref="I230:I233" si="198">SUM(I$161:I$162)+I$159+I$158+I$156+I$155+I$153+I$152+I$151+$I78</f>
        <v>38.450000000000003</v>
      </c>
      <c r="J230" s="58">
        <f t="shared" ref="J230:J233" si="199">SUM(J$161:J$162)+J$159+J$158+J$156+J$155+J$153+J$152+J$151+$J78</f>
        <v>39.908000000000001</v>
      </c>
      <c r="K230" s="58">
        <f t="shared" ref="K230:O233" si="200">SUM(K$161:K$162)+K$159+K$158+K$156+K$155+K$153+K$152+K$151+K78</f>
        <v>41.704000000000001</v>
      </c>
      <c r="L230" s="58">
        <f t="shared" si="200"/>
        <v>44.72</v>
      </c>
      <c r="M230" s="58">
        <f t="shared" si="200"/>
        <v>48.45</v>
      </c>
      <c r="N230" s="100">
        <f t="shared" si="200"/>
        <v>8.782</v>
      </c>
      <c r="O230" s="100">
        <f t="shared" si="200"/>
        <v>8.83</v>
      </c>
    </row>
    <row r="231" spans="1:15" ht="15.75" thickBot="1" x14ac:dyDescent="0.3">
      <c r="A231" s="55" t="s">
        <v>325</v>
      </c>
      <c r="G231" s="58">
        <f t="shared" si="196"/>
        <v>36.921999999999997</v>
      </c>
      <c r="H231" s="58">
        <f t="shared" si="197"/>
        <v>37.466000000000001</v>
      </c>
      <c r="I231" s="58">
        <f t="shared" si="198"/>
        <v>38.450000000000003</v>
      </c>
      <c r="J231" s="58">
        <f t="shared" si="199"/>
        <v>39.908000000000001</v>
      </c>
      <c r="K231" s="58">
        <f t="shared" si="200"/>
        <v>41.704000000000001</v>
      </c>
      <c r="L231" s="58">
        <f t="shared" si="200"/>
        <v>44.72</v>
      </c>
      <c r="M231" s="58">
        <f t="shared" si="200"/>
        <v>48.45</v>
      </c>
      <c r="N231" s="100">
        <f t="shared" si="200"/>
        <v>8.782</v>
      </c>
      <c r="O231" s="100">
        <f t="shared" si="200"/>
        <v>8.83</v>
      </c>
    </row>
    <row r="232" spans="1:15" ht="15.75" thickBot="1" x14ac:dyDescent="0.3">
      <c r="A232" s="55" t="s">
        <v>150</v>
      </c>
      <c r="G232" s="58">
        <f t="shared" si="196"/>
        <v>36.285000000000004</v>
      </c>
      <c r="H232" s="58">
        <f t="shared" si="197"/>
        <v>36.621000000000002</v>
      </c>
      <c r="I232" s="58">
        <f t="shared" si="198"/>
        <v>37.215000000000003</v>
      </c>
      <c r="J232" s="58">
        <f t="shared" si="199"/>
        <v>38.088000000000001</v>
      </c>
      <c r="K232" s="58">
        <f t="shared" si="200"/>
        <v>39.156000000000006</v>
      </c>
      <c r="L232" s="58">
        <f t="shared" si="200"/>
        <v>41.99</v>
      </c>
      <c r="M232" s="58">
        <f t="shared" si="200"/>
        <v>44.225000000000001</v>
      </c>
      <c r="N232" s="100">
        <f t="shared" si="200"/>
        <v>6.8710000000000004</v>
      </c>
      <c r="O232" s="100">
        <f t="shared" si="200"/>
        <v>7.335</v>
      </c>
    </row>
    <row r="233" spans="1:15" ht="15.75" thickBot="1" x14ac:dyDescent="0.3">
      <c r="A233" s="56" t="s">
        <v>122</v>
      </c>
      <c r="G233" s="63">
        <f t="shared" si="196"/>
        <v>37.020000000000003</v>
      </c>
      <c r="H233" s="63">
        <f t="shared" si="197"/>
        <v>37.596000000000004</v>
      </c>
      <c r="I233" s="63">
        <f t="shared" si="198"/>
        <v>38.64</v>
      </c>
      <c r="J233" s="63">
        <f t="shared" si="199"/>
        <v>40.188000000000002</v>
      </c>
      <c r="K233" s="63">
        <f t="shared" si="200"/>
        <v>42.096000000000004</v>
      </c>
      <c r="L233" s="63">
        <f t="shared" si="200"/>
        <v>45.14</v>
      </c>
      <c r="M233" s="63">
        <f t="shared" si="200"/>
        <v>49.099999999999994</v>
      </c>
      <c r="N233" s="100">
        <f t="shared" si="200"/>
        <v>9.0760000000000005</v>
      </c>
      <c r="O233" s="100">
        <f t="shared" si="200"/>
        <v>9.0599999999999987</v>
      </c>
    </row>
    <row r="234" spans="1:15" ht="15.75" thickBot="1" x14ac:dyDescent="0.3">
      <c r="A234" s="52"/>
    </row>
    <row r="235" spans="1:15" ht="15.75" thickBot="1" x14ac:dyDescent="0.3">
      <c r="A235" s="54" t="s">
        <v>96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201">SUM(N$161:N$162)+N$159+N$158+N$156+N$155+N$153+N$152+N$151+N83</f>
        <v>8.4879999999999995</v>
      </c>
      <c r="O235" s="100">
        <f t="shared" si="201"/>
        <v>8.6000000000000014</v>
      </c>
    </row>
    <row r="236" spans="1:15" ht="15.75" thickBot="1" x14ac:dyDescent="0.3">
      <c r="A236" s="55" t="s">
        <v>95</v>
      </c>
      <c r="G236" s="58">
        <f t="shared" ref="G236:G240" si="202">SUM(G$161:G$162)+G$159+G$158+G$156+G$155+G$153+G$152+G$151+G84</f>
        <v>39.706000000000003</v>
      </c>
      <c r="H236" s="58">
        <f t="shared" ref="H236:H240" si="203">SUM(H$161:H$162)+H$159+H$158+H$156+H$155+H$153+H$152+H$151+$H84</f>
        <v>40.506</v>
      </c>
      <c r="I236" s="58">
        <f t="shared" ref="I236:I240" si="204">SUM(I$161:I$162)+I$159+I$158+I$156+I$155+I$153+I$152+I$151+$I84</f>
        <v>41.97</v>
      </c>
      <c r="J236" s="58">
        <f t="shared" ref="J236:J240" si="205">SUM(J$161:J$162)+J$159+J$158+J$156+J$155+J$153+J$152+J$151+$J84</f>
        <v>44.147999999999996</v>
      </c>
      <c r="K236" s="58">
        <f t="shared" ref="K236:K240" si="206">SUM(K$161:K$162)+K$159+K$158+K$156+K$155+K$153+K$152+K$151+K84</f>
        <v>46.84</v>
      </c>
      <c r="L236" s="58">
        <f t="shared" ref="L236:O240" si="207">SUM(L$161:L$162)+L$159+L$158+L$156+L$155+L$153+L$152+L$151+L84</f>
        <v>51.08</v>
      </c>
      <c r="M236" s="58">
        <f t="shared" ref="M236:O237" si="208">SUM(M$161:M$162)+M$159+M$158+M$156+M$155+M$153+M$152+M$151+M84</f>
        <v>56.65</v>
      </c>
      <c r="N236" s="100">
        <f t="shared" si="208"/>
        <v>11.134</v>
      </c>
      <c r="O236" s="100">
        <f t="shared" si="208"/>
        <v>10.67</v>
      </c>
    </row>
    <row r="237" spans="1:15" ht="15.75" thickBot="1" x14ac:dyDescent="0.3">
      <c r="A237" s="55" t="s">
        <v>326</v>
      </c>
      <c r="G237" s="58">
        <f t="shared" si="202"/>
        <v>38.775000000000006</v>
      </c>
      <c r="H237" s="58">
        <f t="shared" si="203"/>
        <v>39.271000000000001</v>
      </c>
      <c r="I237" s="58">
        <f t="shared" si="204"/>
        <v>40.164999999999999</v>
      </c>
      <c r="J237" s="58">
        <f t="shared" si="205"/>
        <v>41.488</v>
      </c>
      <c r="K237" s="58">
        <f t="shared" si="206"/>
        <v>43.116</v>
      </c>
      <c r="L237" s="58">
        <f t="shared" si="207"/>
        <v>47.09</v>
      </c>
      <c r="M237" s="58">
        <f t="shared" si="208"/>
        <v>50.475000000000001</v>
      </c>
      <c r="N237" s="100">
        <f t="shared" si="208"/>
        <v>8.3409999999999993</v>
      </c>
      <c r="O237" s="100">
        <f t="shared" si="208"/>
        <v>8.4849999999999994</v>
      </c>
    </row>
    <row r="238" spans="1:15" ht="15.75" thickBot="1" x14ac:dyDescent="0.3">
      <c r="A238" s="55" t="s">
        <v>327</v>
      </c>
      <c r="G238" s="58">
        <f t="shared" si="202"/>
        <v>39.804000000000002</v>
      </c>
      <c r="H238" s="58">
        <f t="shared" si="203"/>
        <v>40.636000000000003</v>
      </c>
      <c r="I238" s="58">
        <f t="shared" si="204"/>
        <v>42.16</v>
      </c>
      <c r="J238" s="58">
        <f t="shared" si="205"/>
        <v>44.427999999999997</v>
      </c>
      <c r="K238" s="58">
        <f t="shared" si="206"/>
        <v>47.232000000000006</v>
      </c>
      <c r="L238" s="58">
        <f t="shared" si="207"/>
        <v>51.5</v>
      </c>
      <c r="M238" s="58">
        <f t="shared" si="207"/>
        <v>57.3</v>
      </c>
      <c r="N238" s="100">
        <f t="shared" si="207"/>
        <v>11.427999999999999</v>
      </c>
      <c r="O238" s="100">
        <f t="shared" si="207"/>
        <v>10.9</v>
      </c>
    </row>
    <row r="239" spans="1:15" ht="15.75" thickBot="1" x14ac:dyDescent="0.3">
      <c r="A239" s="55" t="s">
        <v>151</v>
      </c>
      <c r="G239" s="58">
        <f t="shared" si="202"/>
        <v>38.775000000000006</v>
      </c>
      <c r="H239" s="58">
        <f t="shared" si="203"/>
        <v>39.271000000000001</v>
      </c>
      <c r="I239" s="58">
        <f t="shared" si="204"/>
        <v>40.164999999999999</v>
      </c>
      <c r="J239" s="58">
        <f t="shared" si="205"/>
        <v>41.488</v>
      </c>
      <c r="K239" s="58">
        <f t="shared" si="206"/>
        <v>43.116</v>
      </c>
      <c r="L239" s="58">
        <f t="shared" si="207"/>
        <v>47.09</v>
      </c>
      <c r="M239" s="58">
        <f t="shared" si="207"/>
        <v>50.475000000000001</v>
      </c>
      <c r="N239" s="100">
        <f t="shared" si="207"/>
        <v>8.3409999999999993</v>
      </c>
      <c r="O239" s="100">
        <f t="shared" si="207"/>
        <v>8.4849999999999994</v>
      </c>
    </row>
    <row r="240" spans="1:15" ht="15.75" thickBot="1" x14ac:dyDescent="0.3">
      <c r="A240" s="56" t="s">
        <v>94</v>
      </c>
      <c r="G240" s="63">
        <f t="shared" si="202"/>
        <v>38.334000000000003</v>
      </c>
      <c r="H240" s="63">
        <f t="shared" si="203"/>
        <v>38.686</v>
      </c>
      <c r="I240" s="63">
        <f t="shared" si="204"/>
        <v>39.31</v>
      </c>
      <c r="J240" s="63">
        <f t="shared" si="205"/>
        <v>40.228000000000002</v>
      </c>
      <c r="K240" s="63">
        <f t="shared" si="206"/>
        <v>41.352000000000004</v>
      </c>
      <c r="L240" s="63">
        <f t="shared" si="207"/>
        <v>45.2</v>
      </c>
      <c r="M240" s="63">
        <f t="shared" si="207"/>
        <v>47.55</v>
      </c>
      <c r="N240" s="100">
        <f t="shared" si="207"/>
        <v>7.0179999999999998</v>
      </c>
      <c r="O240" s="100">
        <f t="shared" si="207"/>
        <v>7.4499999999999993</v>
      </c>
    </row>
    <row r="241" spans="1:15" ht="15.75" thickBot="1" x14ac:dyDescent="0.3">
      <c r="A241" s="52"/>
    </row>
    <row r="242" spans="1:15" ht="15.75" thickBot="1" x14ac:dyDescent="0.3">
      <c r="A242" s="54" t="s">
        <v>93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9">SUM(N$161:N$162)+N$159+N$158+N$156+N$155+N$153+N$152+N$151+N90</f>
        <v>8.4879999999999995</v>
      </c>
      <c r="O242" s="100">
        <f t="shared" si="209"/>
        <v>8.6000000000000014</v>
      </c>
    </row>
    <row r="243" spans="1:15" ht="15.75" thickBot="1" x14ac:dyDescent="0.3">
      <c r="A243" s="55" t="s">
        <v>92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O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13"/>
        <v>11.134</v>
      </c>
      <c r="O243" s="100">
        <f t="shared" si="213"/>
        <v>10.67</v>
      </c>
    </row>
    <row r="244" spans="1:15" ht="15.75" thickBot="1" x14ac:dyDescent="0.3">
      <c r="A244" s="55" t="s">
        <v>328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13"/>
        <v>8.3409999999999993</v>
      </c>
      <c r="O244" s="100">
        <f t="shared" si="213"/>
        <v>8.4849999999999994</v>
      </c>
    </row>
    <row r="245" spans="1:15" ht="15.75" thickBot="1" x14ac:dyDescent="0.3">
      <c r="A245" s="55" t="s">
        <v>329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13"/>
        <v>11.134</v>
      </c>
      <c r="O245" s="100">
        <f t="shared" si="213"/>
        <v>10.67</v>
      </c>
    </row>
    <row r="246" spans="1:15" ht="15.75" thickBot="1" x14ac:dyDescent="0.3">
      <c r="A246" s="55" t="s">
        <v>151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13"/>
        <v>8.3409999999999993</v>
      </c>
      <c r="O246" s="100">
        <f t="shared" si="213"/>
        <v>8.4849999999999994</v>
      </c>
    </row>
    <row r="247" spans="1:15" ht="15.75" thickBot="1" x14ac:dyDescent="0.3">
      <c r="A247" s="56" t="s">
        <v>91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13"/>
        <v>7.0179999999999998</v>
      </c>
      <c r="O247" s="100">
        <f t="shared" si="213"/>
        <v>7.4499999999999993</v>
      </c>
    </row>
    <row r="248" spans="1:15" ht="15.75" thickBot="1" x14ac:dyDescent="0.3">
      <c r="A248" s="52"/>
    </row>
    <row r="249" spans="1:15" ht="15.75" thickBot="1" x14ac:dyDescent="0.3">
      <c r="A249" s="54" t="s">
        <v>121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5">SUM(N$161:N$162)+N$159+N$158+N$156+N$155+N$153+N$152+N$151+N97</f>
        <v>9.8109999999999999</v>
      </c>
      <c r="O249" s="100">
        <f t="shared" si="215"/>
        <v>9.6349999999999998</v>
      </c>
    </row>
    <row r="250" spans="1:15" ht="15.75" thickBot="1" x14ac:dyDescent="0.3">
      <c r="A250" s="55" t="s">
        <v>120</v>
      </c>
      <c r="G250" s="58">
        <f t="shared" ref="G250:G253" si="216">SUM(G$161:G$162)+G$159+G$158+G$156+G$155+G$153+G$152+G$150+G$149+G$148+G98</f>
        <v>35.332999999999998</v>
      </c>
      <c r="H250" s="58">
        <f t="shared" ref="H250:H253" si="217">SUM(H$161:H$162)+H$159+H$158+H$156+H$155+H$153+H$152+H$150+H$149+H$148+$H98</f>
        <v>35.924999999999997</v>
      </c>
      <c r="I250" s="58">
        <f t="shared" ref="I250:I253" si="218">SUM(I$161:I$162)+I$159+I$158+I$156+I$155+I$153+I$152+I$150+I$149+I$148+$I98</f>
        <v>36.989999999999995</v>
      </c>
      <c r="J250" s="58">
        <f t="shared" ref="J250:J253" si="219">SUM(J$161:J$162)+J$159+J$158+J$156+J$155+J$153+J$152+J$150+J$149+J$148+$J98</f>
        <v>38.564999999999998</v>
      </c>
      <c r="K250" s="58">
        <f t="shared" ref="K250:O253" si="220">SUM(K$161:K$162)+K$159+K$158+K$156+K$155+K$153+K$152+K$151+K98</f>
        <v>41.704000000000001</v>
      </c>
      <c r="L250" s="58">
        <f t="shared" si="220"/>
        <v>44.72</v>
      </c>
      <c r="M250" s="58">
        <f t="shared" si="220"/>
        <v>48.45</v>
      </c>
      <c r="N250" s="100">
        <f t="shared" si="220"/>
        <v>8.782</v>
      </c>
      <c r="O250" s="100">
        <f t="shared" si="220"/>
        <v>8.83</v>
      </c>
    </row>
    <row r="251" spans="1:15" ht="15.75" thickBot="1" x14ac:dyDescent="0.3">
      <c r="A251" s="55" t="s">
        <v>330</v>
      </c>
      <c r="G251" s="58">
        <f t="shared" si="216"/>
        <v>35.332999999999998</v>
      </c>
      <c r="H251" s="58">
        <f t="shared" si="217"/>
        <v>35.924999999999997</v>
      </c>
      <c r="I251" s="58">
        <f t="shared" si="218"/>
        <v>36.989999999999995</v>
      </c>
      <c r="J251" s="58">
        <f t="shared" si="219"/>
        <v>38.564999999999998</v>
      </c>
      <c r="K251" s="58">
        <f t="shared" si="220"/>
        <v>41.704000000000001</v>
      </c>
      <c r="L251" s="58">
        <f t="shared" si="220"/>
        <v>44.72</v>
      </c>
      <c r="M251" s="58">
        <f t="shared" si="220"/>
        <v>48.45</v>
      </c>
      <c r="N251" s="100">
        <f t="shared" si="220"/>
        <v>8.782</v>
      </c>
      <c r="O251" s="100">
        <f t="shared" si="220"/>
        <v>8.83</v>
      </c>
    </row>
    <row r="252" spans="1:15" ht="15.75" thickBot="1" x14ac:dyDescent="0.3">
      <c r="A252" s="55" t="s">
        <v>152</v>
      </c>
      <c r="G252" s="58">
        <f t="shared" si="216"/>
        <v>34.696000000000005</v>
      </c>
      <c r="H252" s="58">
        <f t="shared" si="217"/>
        <v>35.08</v>
      </c>
      <c r="I252" s="58">
        <f t="shared" si="218"/>
        <v>35.754999999999995</v>
      </c>
      <c r="J252" s="58">
        <f t="shared" si="219"/>
        <v>36.744999999999997</v>
      </c>
      <c r="K252" s="58">
        <f t="shared" si="220"/>
        <v>39.156000000000006</v>
      </c>
      <c r="L252" s="58">
        <f t="shared" si="220"/>
        <v>41.99</v>
      </c>
      <c r="M252" s="58">
        <f t="shared" si="220"/>
        <v>44.225000000000001</v>
      </c>
      <c r="N252" s="100">
        <f t="shared" si="220"/>
        <v>6.8710000000000004</v>
      </c>
      <c r="O252" s="100">
        <f t="shared" si="220"/>
        <v>7.335</v>
      </c>
    </row>
    <row r="253" spans="1:15" ht="15.75" thickBot="1" x14ac:dyDescent="0.3">
      <c r="A253" s="56" t="s">
        <v>119</v>
      </c>
      <c r="G253" s="63">
        <f t="shared" si="216"/>
        <v>35.431000000000004</v>
      </c>
      <c r="H253" s="63">
        <f t="shared" si="217"/>
        <v>36.055</v>
      </c>
      <c r="I253" s="63">
        <f t="shared" si="218"/>
        <v>37.18</v>
      </c>
      <c r="J253" s="63">
        <f t="shared" si="219"/>
        <v>38.844999999999999</v>
      </c>
      <c r="K253" s="63">
        <f t="shared" si="220"/>
        <v>42.096000000000004</v>
      </c>
      <c r="L253" s="63">
        <f t="shared" si="220"/>
        <v>45.14</v>
      </c>
      <c r="M253" s="63">
        <f t="shared" si="220"/>
        <v>49.099999999999994</v>
      </c>
      <c r="N253" s="100">
        <f t="shared" si="220"/>
        <v>9.0760000000000005</v>
      </c>
      <c r="O253" s="100">
        <f t="shared" si="220"/>
        <v>9.0599999999999987</v>
      </c>
    </row>
    <row r="254" spans="1:15" ht="15.75" thickBot="1" x14ac:dyDescent="0.3">
      <c r="A254" s="52"/>
    </row>
    <row r="255" spans="1:15" ht="15.75" thickBot="1" x14ac:dyDescent="0.3">
      <c r="A255" s="54" t="s">
        <v>118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21">SUM(N$161:N$162)+N$159+N$158+N$156+N$155+N$153+N$152+N$150+N$149+N$148+N103</f>
        <v>10.698</v>
      </c>
      <c r="O255" s="100">
        <f t="shared" si="221"/>
        <v>10.434999999999999</v>
      </c>
    </row>
    <row r="256" spans="1:15" ht="15.75" thickBot="1" x14ac:dyDescent="0.3">
      <c r="A256" s="55" t="s">
        <v>117</v>
      </c>
      <c r="G256" s="58">
        <f t="shared" ref="G256:G259" si="222">SUM(G$161:G$162)+G$159+G$158+G$156+G$155+G$153+G$152+G$150+G$149+G$148+G104</f>
        <v>35.332999999999998</v>
      </c>
      <c r="H256" s="58">
        <f t="shared" ref="H256:H259" si="223">SUM(H$161:H$162)+H$159+H$158+H$156+H$155+H$153+H$152+H$150+H$149+H$148+$H104</f>
        <v>35.924999999999997</v>
      </c>
      <c r="I256" s="58">
        <f t="shared" ref="I256:I259" si="224">SUM(I$161:I$162)+I$159+I$158+I$156+I$155+I$153+I$152+I$150+I$149+I$148+$I104</f>
        <v>36.989999999999995</v>
      </c>
      <c r="J256" s="58">
        <f t="shared" ref="J256:J259" si="225">SUM(J$161:J$162)+J$159+J$158+J$156+J$155+J$153+J$152+J$150+J$149+J$148+$J104</f>
        <v>38.564999999999998</v>
      </c>
      <c r="K256" s="58">
        <f t="shared" ref="K256:L259" si="226">SUM(K$161:K$162)+K$159+K$158+K$156+K$155+K$153+K$152+K$150+K$149+K$148+K104</f>
        <v>40.501999999999995</v>
      </c>
      <c r="L256" s="58">
        <f t="shared" si="226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7">SUM(N$161:N$162)+N$159+N$158+N$156+N$155+N$153+N$152+N$150+N$149+N$148+N104</f>
        <v>9.6690000000000005</v>
      </c>
      <c r="O256" s="100">
        <f t="shared" si="227"/>
        <v>9.629999999999999</v>
      </c>
    </row>
    <row r="257" spans="1:15" ht="15.75" thickBot="1" x14ac:dyDescent="0.3">
      <c r="A257" s="55" t="s">
        <v>331</v>
      </c>
      <c r="G257" s="58">
        <f t="shared" si="222"/>
        <v>35.332999999999998</v>
      </c>
      <c r="H257" s="58">
        <f t="shared" si="223"/>
        <v>35.924999999999997</v>
      </c>
      <c r="I257" s="58">
        <f t="shared" si="224"/>
        <v>36.989999999999995</v>
      </c>
      <c r="J257" s="58">
        <f t="shared" si="225"/>
        <v>38.564999999999998</v>
      </c>
      <c r="K257" s="58">
        <f t="shared" si="226"/>
        <v>40.501999999999995</v>
      </c>
      <c r="L257" s="58">
        <f t="shared" si="226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8">SUM(N$161:N$162)+N$159+N$158+N$156+N$155+N$153+N$152+N$150+N$149+N$148+N105</f>
        <v>9.6690000000000005</v>
      </c>
      <c r="O257" s="100">
        <f t="shared" si="228"/>
        <v>9.629999999999999</v>
      </c>
    </row>
    <row r="258" spans="1:15" ht="15.75" thickBot="1" x14ac:dyDescent="0.3">
      <c r="A258" s="55" t="s">
        <v>153</v>
      </c>
      <c r="G258" s="58">
        <f t="shared" si="222"/>
        <v>34.696000000000005</v>
      </c>
      <c r="H258" s="58">
        <f t="shared" si="223"/>
        <v>35.08</v>
      </c>
      <c r="I258" s="58">
        <f t="shared" si="224"/>
        <v>35.754999999999995</v>
      </c>
      <c r="J258" s="58">
        <f t="shared" si="225"/>
        <v>36.744999999999997</v>
      </c>
      <c r="K258" s="58">
        <f t="shared" si="226"/>
        <v>37.953999999999994</v>
      </c>
      <c r="L258" s="58">
        <f t="shared" si="226"/>
        <v>41.915000000000006</v>
      </c>
      <c r="M258" s="58">
        <f>SUM(M$161:M$162)+M$159+M$158+M$156+M$155+M$153+M$152+M$150+M$149+M$148+M106</f>
        <v>44.45</v>
      </c>
      <c r="N258" s="100">
        <f t="shared" ref="N258:O258" si="229">SUM(N$161:N$162)+N$159+N$158+N$156+N$155+N$153+N$152+N$150+N$149+N$148+N106</f>
        <v>7.7580000000000009</v>
      </c>
      <c r="O258" s="100">
        <f t="shared" si="229"/>
        <v>8.1349999999999998</v>
      </c>
    </row>
    <row r="259" spans="1:15" ht="15.75" thickBot="1" x14ac:dyDescent="0.3">
      <c r="A259" s="56" t="s">
        <v>90</v>
      </c>
      <c r="G259" s="63">
        <f t="shared" si="222"/>
        <v>35.431000000000004</v>
      </c>
      <c r="H259" s="63">
        <f t="shared" si="223"/>
        <v>36.055</v>
      </c>
      <c r="I259" s="63">
        <f t="shared" si="224"/>
        <v>37.18</v>
      </c>
      <c r="J259" s="63">
        <f t="shared" si="225"/>
        <v>38.844999999999999</v>
      </c>
      <c r="K259" s="63">
        <f t="shared" si="226"/>
        <v>40.893999999999998</v>
      </c>
      <c r="L259" s="63">
        <f t="shared" si="226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30">SUM(N$161:N$162)+N$159+N$158+N$156+N$155+N$153+N$152+N$150+N$149+N$148+N107</f>
        <v>9.963000000000001</v>
      </c>
      <c r="O259" s="100">
        <f t="shared" si="230"/>
        <v>9.86</v>
      </c>
    </row>
    <row r="260" spans="1:15" ht="15.75" thickBot="1" x14ac:dyDescent="0.3">
      <c r="A260" s="52"/>
    </row>
    <row r="261" spans="1:15" ht="15.75" thickBot="1" x14ac:dyDescent="0.3">
      <c r="A261" s="54" t="s">
        <v>89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2" si="231">SUM(N$161:N$162)+N$159+N$158+N$156+N$155+N$153+N$152+N$150+N$149+N$148+N109</f>
        <v>9.375</v>
      </c>
      <c r="O261" s="100">
        <f t="shared" si="231"/>
        <v>9.4</v>
      </c>
    </row>
    <row r="262" spans="1:15" ht="15.75" thickBot="1" x14ac:dyDescent="0.3">
      <c r="A262" s="55" t="s">
        <v>88</v>
      </c>
      <c r="G262" s="58">
        <f t="shared" ref="G262:G266" si="232">SUM(G$161:G$162)+G$159+G$158+G$156+G$155+G$153+G$152+G$150+G$149+G$148+G110</f>
        <v>38.117000000000004</v>
      </c>
      <c r="H262" s="58">
        <f t="shared" ref="H262:H266" si="233">SUM(H$161:H$162)+H$159+H$158+H$156+H$155+H$153+H$152+H$150+H$149+H$148+$H110</f>
        <v>38.964999999999996</v>
      </c>
      <c r="I262" s="58">
        <f t="shared" ref="I262:I266" si="234">SUM(I$161:I$162)+I$159+I$158+I$156+I$155+I$153+I$152+I$150+I$149+I$148+$I110</f>
        <v>40.51</v>
      </c>
      <c r="J262" s="58">
        <f t="shared" ref="J262:J266" si="235">SUM(J$161:J$162)+J$159+J$158+J$156+J$155+J$153+J$152+J$150+J$149+J$148+$J110</f>
        <v>42.805</v>
      </c>
      <c r="K262" s="58">
        <f t="shared" ref="K262:O266" si="236">SUM(K$161:K$162)+K$159+K$158+K$156+K$155+K$153+K$152+K$150+K$149+K$148+K110</f>
        <v>45.637999999999998</v>
      </c>
      <c r="L262" s="58">
        <f t="shared" si="236"/>
        <v>51.005000000000003</v>
      </c>
      <c r="M262" s="58">
        <f t="shared" si="236"/>
        <v>56.875</v>
      </c>
      <c r="N262" s="100">
        <f t="shared" si="231"/>
        <v>12.021000000000001</v>
      </c>
      <c r="O262" s="100">
        <f t="shared" si="231"/>
        <v>11.469999999999999</v>
      </c>
    </row>
    <row r="263" spans="1:15" ht="15.75" thickBot="1" x14ac:dyDescent="0.3">
      <c r="A263" s="55" t="s">
        <v>332</v>
      </c>
      <c r="G263" s="58">
        <f t="shared" si="232"/>
        <v>37.186000000000007</v>
      </c>
      <c r="H263" s="58">
        <f t="shared" si="233"/>
        <v>37.729999999999997</v>
      </c>
      <c r="I263" s="58">
        <f t="shared" si="234"/>
        <v>38.704999999999998</v>
      </c>
      <c r="J263" s="58">
        <f t="shared" si="235"/>
        <v>40.144999999999996</v>
      </c>
      <c r="K263" s="58">
        <f t="shared" si="236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7">SUM(N$161:N$162)+N$159+N$158+N$156+N$155+N$153+N$152+N$150+N$149+N$148+N111</f>
        <v>9.2279999999999998</v>
      </c>
      <c r="O263" s="100">
        <f t="shared" si="237"/>
        <v>9.2850000000000001</v>
      </c>
    </row>
    <row r="264" spans="1:15" ht="15.75" thickBot="1" x14ac:dyDescent="0.3">
      <c r="A264" s="55" t="s">
        <v>335</v>
      </c>
      <c r="G264" s="58">
        <f t="shared" si="232"/>
        <v>38.215000000000003</v>
      </c>
      <c r="H264" s="58">
        <f t="shared" si="233"/>
        <v>39.094999999999999</v>
      </c>
      <c r="I264" s="58">
        <f t="shared" si="234"/>
        <v>40.700000000000003</v>
      </c>
      <c r="J264" s="58">
        <f t="shared" si="235"/>
        <v>43.085000000000001</v>
      </c>
      <c r="K264" s="58">
        <f t="shared" si="236"/>
        <v>46.03</v>
      </c>
      <c r="L264" s="58">
        <f t="shared" si="236"/>
        <v>51.425000000000004</v>
      </c>
      <c r="M264" s="58">
        <f t="shared" si="236"/>
        <v>57.525000000000006</v>
      </c>
      <c r="N264" s="100">
        <f t="shared" si="236"/>
        <v>12.315</v>
      </c>
      <c r="O264" s="100">
        <f t="shared" si="236"/>
        <v>11.7</v>
      </c>
    </row>
    <row r="265" spans="1:15" ht="15.75" thickBot="1" x14ac:dyDescent="0.3">
      <c r="A265" s="55" t="s">
        <v>154</v>
      </c>
      <c r="G265" s="58">
        <f t="shared" si="232"/>
        <v>37.186000000000007</v>
      </c>
      <c r="H265" s="58">
        <f t="shared" si="233"/>
        <v>37.729999999999997</v>
      </c>
      <c r="I265" s="58">
        <f t="shared" si="234"/>
        <v>38.704999999999998</v>
      </c>
      <c r="J265" s="58">
        <f t="shared" si="235"/>
        <v>40.144999999999996</v>
      </c>
      <c r="K265" s="58">
        <f t="shared" si="236"/>
        <v>41.914000000000001</v>
      </c>
      <c r="L265" s="58">
        <f t="shared" si="236"/>
        <v>47.015000000000001</v>
      </c>
      <c r="M265" s="58">
        <f>SUM(M$161:M$162)+M$159+M$158+M$156+M$155+M$153+M$152+M$150+M$149+M$148+M113</f>
        <v>50.7</v>
      </c>
      <c r="N265" s="100">
        <f t="shared" ref="N265:O265" si="238">SUM(N$161:N$162)+N$159+N$158+N$156+N$155+N$153+N$152+N$150+N$149+N$148+N113</f>
        <v>9.2279999999999998</v>
      </c>
      <c r="O265" s="100">
        <f t="shared" si="238"/>
        <v>9.2850000000000001</v>
      </c>
    </row>
    <row r="266" spans="1:15" ht="15.75" thickBot="1" x14ac:dyDescent="0.3">
      <c r="A266" s="56" t="s">
        <v>87</v>
      </c>
      <c r="G266" s="63">
        <f t="shared" si="232"/>
        <v>36.745000000000005</v>
      </c>
      <c r="H266" s="63">
        <f t="shared" si="233"/>
        <v>37.144999999999996</v>
      </c>
      <c r="I266" s="63">
        <f t="shared" si="234"/>
        <v>37.85</v>
      </c>
      <c r="J266" s="63">
        <f t="shared" si="235"/>
        <v>38.884999999999998</v>
      </c>
      <c r="K266" s="63">
        <f t="shared" si="236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9">SUM(N$161:N$162)+N$159+N$158+N$156+N$155+N$153+N$152+N$150+N$149+N$148+N114</f>
        <v>7.9050000000000002</v>
      </c>
      <c r="O266" s="100">
        <f t="shared" si="239"/>
        <v>8.25</v>
      </c>
    </row>
    <row r="267" spans="1:15" ht="15.75" thickBot="1" x14ac:dyDescent="0.3">
      <c r="A267" s="52"/>
    </row>
    <row r="268" spans="1:15" ht="15.75" thickBot="1" x14ac:dyDescent="0.3">
      <c r="A268" s="54" t="s">
        <v>86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40">SUM(K$161:K$162)+K$159+K$158+K$156+K$155+K$153+K$152+K$150+K$149+K$148+K116</f>
        <v>42.11</v>
      </c>
      <c r="L268" s="58">
        <f t="shared" si="240"/>
        <v>47.225000000000009</v>
      </c>
      <c r="M268" s="58">
        <f t="shared" si="240"/>
        <v>51.025000000000006</v>
      </c>
      <c r="N268" s="100">
        <f t="shared" si="240"/>
        <v>9.375</v>
      </c>
      <c r="O268" s="100">
        <f t="shared" si="240"/>
        <v>9.4</v>
      </c>
    </row>
    <row r="269" spans="1:15" ht="15.75" thickBot="1" x14ac:dyDescent="0.3">
      <c r="A269" s="55" t="s">
        <v>85</v>
      </c>
      <c r="G269" s="58">
        <f t="shared" ref="G269:G273" si="241">SUM(G$161:G$162)+G$159+G$158+G$156+G$155+G$153+G$152+G$150+G$149+G$148+G117</f>
        <v>38.117000000000004</v>
      </c>
      <c r="H269" s="58">
        <f t="shared" ref="H269:H273" si="242">SUM(H$161:H$162)+H$159+H$158+H$156+H$155+H$153+H$152+H$150+H$149+H$148+$H117</f>
        <v>38.964999999999996</v>
      </c>
      <c r="I269" s="58">
        <f t="shared" ref="I269:I273" si="243">SUM(I$161:I$162)+I$159+I$158+I$156+I$155+I$153+I$152+I$150+I$149+I$148+$I117</f>
        <v>40.51</v>
      </c>
      <c r="J269" s="58">
        <f t="shared" ref="J269:J273" si="244">SUM(J$161:J$162)+J$159+J$158+J$156+J$155+J$153+J$152+J$150+J$149+J$148+$J117</f>
        <v>42.805</v>
      </c>
      <c r="K269" s="58">
        <f t="shared" si="240"/>
        <v>45.637999999999998</v>
      </c>
      <c r="L269" s="58">
        <f t="shared" si="240"/>
        <v>51.005000000000003</v>
      </c>
      <c r="M269" s="58">
        <f t="shared" si="240"/>
        <v>56.875</v>
      </c>
      <c r="N269" s="100">
        <f t="shared" si="240"/>
        <v>12.021000000000001</v>
      </c>
      <c r="O269" s="100">
        <f t="shared" si="240"/>
        <v>11.469999999999999</v>
      </c>
    </row>
    <row r="270" spans="1:15" ht="15.75" thickBot="1" x14ac:dyDescent="0.3">
      <c r="A270" s="55" t="s">
        <v>333</v>
      </c>
      <c r="G270" s="58">
        <f t="shared" si="241"/>
        <v>37.186000000000007</v>
      </c>
      <c r="H270" s="58">
        <f t="shared" si="242"/>
        <v>37.729999999999997</v>
      </c>
      <c r="I270" s="58">
        <f t="shared" si="243"/>
        <v>38.704999999999998</v>
      </c>
      <c r="J270" s="58">
        <f t="shared" si="244"/>
        <v>40.144999999999996</v>
      </c>
      <c r="K270" s="58">
        <f t="shared" si="240"/>
        <v>41.914000000000001</v>
      </c>
      <c r="L270" s="58">
        <f t="shared" si="240"/>
        <v>47.015000000000001</v>
      </c>
      <c r="M270" s="58">
        <f t="shared" si="240"/>
        <v>50.7</v>
      </c>
      <c r="N270" s="100">
        <f t="shared" si="240"/>
        <v>9.2279999999999998</v>
      </c>
      <c r="O270" s="100">
        <f t="shared" si="240"/>
        <v>9.2850000000000001</v>
      </c>
    </row>
    <row r="271" spans="1:15" ht="15.75" thickBot="1" x14ac:dyDescent="0.3">
      <c r="A271" s="55" t="s">
        <v>334</v>
      </c>
      <c r="G271" s="58">
        <f t="shared" si="241"/>
        <v>38.215000000000003</v>
      </c>
      <c r="H271" s="58">
        <f t="shared" si="242"/>
        <v>39.094999999999999</v>
      </c>
      <c r="I271" s="58">
        <f t="shared" si="243"/>
        <v>40.700000000000003</v>
      </c>
      <c r="J271" s="58">
        <f t="shared" si="244"/>
        <v>43.085000000000001</v>
      </c>
      <c r="K271" s="58">
        <f t="shared" si="240"/>
        <v>46.03</v>
      </c>
      <c r="L271" s="58">
        <f t="shared" si="240"/>
        <v>51.425000000000004</v>
      </c>
      <c r="M271" s="58">
        <f t="shared" si="240"/>
        <v>57.525000000000006</v>
      </c>
      <c r="N271" s="100">
        <f t="shared" si="240"/>
        <v>12.315</v>
      </c>
      <c r="O271" s="100">
        <f t="shared" si="240"/>
        <v>11.7</v>
      </c>
    </row>
    <row r="272" spans="1:15" ht="15.75" thickBot="1" x14ac:dyDescent="0.3">
      <c r="A272" s="55" t="s">
        <v>154</v>
      </c>
      <c r="G272" s="58">
        <f t="shared" si="241"/>
        <v>37.186000000000007</v>
      </c>
      <c r="H272" s="58">
        <f t="shared" si="242"/>
        <v>37.729999999999997</v>
      </c>
      <c r="I272" s="58">
        <f t="shared" si="243"/>
        <v>38.704999999999998</v>
      </c>
      <c r="J272" s="58">
        <f t="shared" si="244"/>
        <v>40.144999999999996</v>
      </c>
      <c r="K272" s="58">
        <f t="shared" si="240"/>
        <v>41.914000000000001</v>
      </c>
      <c r="L272" s="58">
        <f t="shared" si="240"/>
        <v>47.015000000000001</v>
      </c>
      <c r="M272" s="58">
        <f t="shared" si="240"/>
        <v>50.7</v>
      </c>
      <c r="N272" s="100">
        <f t="shared" si="240"/>
        <v>9.2279999999999998</v>
      </c>
      <c r="O272" s="100">
        <f t="shared" si="240"/>
        <v>9.2850000000000001</v>
      </c>
    </row>
    <row r="273" spans="1:15" ht="15.75" thickBot="1" x14ac:dyDescent="0.3">
      <c r="A273" s="56" t="s">
        <v>84</v>
      </c>
      <c r="G273" s="63">
        <f t="shared" si="241"/>
        <v>36.745000000000005</v>
      </c>
      <c r="H273" s="63">
        <f t="shared" si="242"/>
        <v>37.144999999999996</v>
      </c>
      <c r="I273" s="63">
        <f t="shared" si="243"/>
        <v>37.85</v>
      </c>
      <c r="J273" s="63">
        <f t="shared" si="244"/>
        <v>38.884999999999998</v>
      </c>
      <c r="K273" s="63">
        <f t="shared" si="240"/>
        <v>40.15</v>
      </c>
      <c r="L273" s="63">
        <f t="shared" si="240"/>
        <v>45.125</v>
      </c>
      <c r="M273" s="63">
        <f t="shared" si="240"/>
        <v>47.775000000000006</v>
      </c>
      <c r="N273" s="100">
        <f t="shared" si="240"/>
        <v>7.9050000000000002</v>
      </c>
      <c r="O273" s="100">
        <f t="shared" si="240"/>
        <v>8.25</v>
      </c>
    </row>
    <row r="274" spans="1:15" x14ac:dyDescent="0.25">
      <c r="A274" s="52"/>
    </row>
    <row r="275" spans="1:15" ht="15.75" thickBot="1" x14ac:dyDescent="0.3"/>
    <row r="276" spans="1:15" ht="15.75" thickBot="1" x14ac:dyDescent="0.3">
      <c r="A276" s="54" t="s">
        <v>74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5">MIN(I167:I273)</f>
        <v>34.674999999999997</v>
      </c>
      <c r="J276" s="78">
        <f t="shared" si="245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.75" thickBot="1" x14ac:dyDescent="0.3">
      <c r="A277" s="56" t="s">
        <v>75</v>
      </c>
      <c r="G277" s="78">
        <f>MAX(G167:G273)</f>
        <v>43.888999999999996</v>
      </c>
      <c r="H277" s="78">
        <f t="shared" ref="H277:J277" si="246">MAX(H167:H273)</f>
        <v>44.809000000000005</v>
      </c>
      <c r="I277" s="78">
        <f t="shared" si="246"/>
        <v>45.03</v>
      </c>
      <c r="J277" s="78">
        <f t="shared" si="246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.75" thickBot="1" x14ac:dyDescent="0.3"/>
    <row r="280" spans="1:15" ht="15.75" thickBot="1" x14ac:dyDescent="0.3">
      <c r="A280" s="80" t="s">
        <v>76</v>
      </c>
      <c r="C280" s="217" t="s">
        <v>171</v>
      </c>
      <c r="D280" s="218"/>
      <c r="E280" s="219"/>
      <c r="G280" s="217" t="s">
        <v>172</v>
      </c>
      <c r="H280" s="218"/>
      <c r="I280" s="219"/>
    </row>
    <row r="281" spans="1:15" ht="15.75" thickBot="1" x14ac:dyDescent="0.3">
      <c r="A281" s="81" t="s">
        <v>80</v>
      </c>
      <c r="C281" s="117">
        <v>47</v>
      </c>
      <c r="D281" s="104">
        <v>862</v>
      </c>
      <c r="E281" s="116" t="s">
        <v>79</v>
      </c>
      <c r="G281" s="103">
        <v>950</v>
      </c>
      <c r="H281" s="104">
        <v>2150</v>
      </c>
      <c r="I281" s="114" t="s">
        <v>79</v>
      </c>
    </row>
    <row r="282" spans="1:15" ht="15.75" thickBot="1" x14ac:dyDescent="0.3">
      <c r="A282" s="79" t="s">
        <v>77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H282-G282</f>
        <v>1.9350000000000023</v>
      </c>
    </row>
    <row r="283" spans="1:15" ht="15.75" thickBot="1" x14ac:dyDescent="0.3">
      <c r="A283" s="78" t="s">
        <v>78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.75" thickBot="1" x14ac:dyDescent="0.3">
      <c r="A284" s="78" t="s">
        <v>79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.75" thickBot="1" x14ac:dyDescent="0.3"/>
    <row r="287" spans="1:15" ht="15.75" thickBot="1" x14ac:dyDescent="0.3">
      <c r="C287" s="114" t="s">
        <v>197</v>
      </c>
      <c r="D287" s="114" t="s">
        <v>198</v>
      </c>
    </row>
    <row r="288" spans="1:15" ht="15.75" thickBot="1" x14ac:dyDescent="0.3">
      <c r="A288" s="114" t="s">
        <v>156</v>
      </c>
      <c r="C288" s="115">
        <f>N277</f>
        <v>12.315</v>
      </c>
      <c r="D288" s="115">
        <f>O277</f>
        <v>11.7</v>
      </c>
    </row>
    <row r="289" spans="1:6" x14ac:dyDescent="0.25">
      <c r="C289" s="83" t="s">
        <v>155</v>
      </c>
      <c r="D289" s="83" t="s">
        <v>155</v>
      </c>
    </row>
    <row r="290" spans="1:6" ht="15.75" thickBot="1" x14ac:dyDescent="0.3"/>
    <row r="291" spans="1:6" ht="15.75" thickBot="1" x14ac:dyDescent="0.3">
      <c r="A291" s="114" t="s">
        <v>199</v>
      </c>
    </row>
    <row r="292" spans="1:6" ht="15.75" thickBot="1" x14ac:dyDescent="0.3">
      <c r="A292" s="78" t="s">
        <v>214</v>
      </c>
    </row>
    <row r="293" spans="1:6" ht="15.75" thickBot="1" x14ac:dyDescent="0.3">
      <c r="C293" s="127" t="s">
        <v>49</v>
      </c>
      <c r="D293" s="128" t="s">
        <v>50</v>
      </c>
      <c r="E293" s="128" t="s">
        <v>200</v>
      </c>
      <c r="F293" s="129" t="s">
        <v>51</v>
      </c>
    </row>
    <row r="294" spans="1:6" x14ac:dyDescent="0.25">
      <c r="A294" s="124" t="s">
        <v>201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.75" thickBot="1" x14ac:dyDescent="0.3">
      <c r="A295" s="125" t="s">
        <v>202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.75" thickBot="1" x14ac:dyDescent="0.3"/>
    <row r="297" spans="1:6" ht="15.75" thickBot="1" x14ac:dyDescent="0.3">
      <c r="A297" s="126" t="s">
        <v>203</v>
      </c>
    </row>
    <row r="298" spans="1:6" x14ac:dyDescent="0.25">
      <c r="A298" s="124" t="s">
        <v>204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.75" thickBot="1" x14ac:dyDescent="0.3">
      <c r="A299" s="125" t="s">
        <v>205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.75" thickBot="1" x14ac:dyDescent="0.3"/>
    <row r="301" spans="1:6" ht="15.75" thickBot="1" x14ac:dyDescent="0.3">
      <c r="A301" s="78" t="s">
        <v>206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.75" thickBot="1" x14ac:dyDescent="0.3">
      <c r="A302" s="78" t="s">
        <v>207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.75" thickBot="1" x14ac:dyDescent="0.3">
      <c r="A303" s="78" t="s">
        <v>208</v>
      </c>
      <c r="C303" s="176" t="s">
        <v>210</v>
      </c>
      <c r="D303" s="177" t="s">
        <v>211</v>
      </c>
      <c r="E303" s="177" t="s">
        <v>212</v>
      </c>
      <c r="F303" s="178" t="s">
        <v>213</v>
      </c>
    </row>
    <row r="305" spans="1:4" ht="15.75" thickBot="1" x14ac:dyDescent="0.3"/>
    <row r="306" spans="1:4" ht="15.75" thickBot="1" x14ac:dyDescent="0.3">
      <c r="A306" s="126" t="s">
        <v>257</v>
      </c>
      <c r="C306" s="114" t="s">
        <v>200</v>
      </c>
      <c r="D306" s="104" t="s">
        <v>51</v>
      </c>
    </row>
    <row r="307" spans="1:4" ht="15.75" thickBot="1" x14ac:dyDescent="0.3">
      <c r="A307" s="124" t="s">
        <v>255</v>
      </c>
      <c r="C307" s="179">
        <f>E302-MAX(G277:K277)</f>
        <v>54.489999999999995</v>
      </c>
      <c r="D307" s="63">
        <f>F302-MAX(L277:M277)</f>
        <v>47.474999999999994</v>
      </c>
    </row>
    <row r="308" spans="1:4" ht="15.75" thickBot="1" x14ac:dyDescent="0.3">
      <c r="A308" s="125" t="s">
        <v>256</v>
      </c>
      <c r="C308" s="60">
        <f>E302-MIN(G276:K276)</f>
        <v>70.126000000000005</v>
      </c>
      <c r="D308" s="63">
        <f>F302-MIN(L277:M277)</f>
        <v>51.674999999999997</v>
      </c>
    </row>
    <row r="310" spans="1:4" ht="15.75" thickBot="1" x14ac:dyDescent="0.3"/>
    <row r="311" spans="1:4" x14ac:dyDescent="0.25">
      <c r="A311" s="126" t="s">
        <v>320</v>
      </c>
    </row>
    <row r="312" spans="1:4" x14ac:dyDescent="0.25">
      <c r="A312" s="82" t="s">
        <v>322</v>
      </c>
      <c r="B312" s="21">
        <f>N161+N158+N155+N152+N149+N146</f>
        <v>2.3220000000000001</v>
      </c>
    </row>
    <row r="313" spans="1:4" x14ac:dyDescent="0.25">
      <c r="A313" s="82" t="s">
        <v>321</v>
      </c>
      <c r="B313" s="21">
        <f>E116*N6+D119*N5</f>
        <v>5.879999999999999</v>
      </c>
    </row>
    <row r="314" spans="1:4" x14ac:dyDescent="0.25">
      <c r="A314" s="83" t="s">
        <v>323</v>
      </c>
      <c r="B314" s="90">
        <f>B312+B313</f>
        <v>8.2019999999999982</v>
      </c>
    </row>
    <row r="315" spans="1:4" ht="15.75" thickBot="1" x14ac:dyDescent="0.3"/>
    <row r="316" spans="1:4" x14ac:dyDescent="0.25">
      <c r="A316" s="126" t="s">
        <v>320</v>
      </c>
    </row>
    <row r="317" spans="1:4" x14ac:dyDescent="0.25">
      <c r="A317" s="82" t="s">
        <v>339</v>
      </c>
      <c r="B317" s="21">
        <f>N161+N158+N155</f>
        <v>1.161</v>
      </c>
    </row>
    <row r="318" spans="1:4" x14ac:dyDescent="0.25">
      <c r="A318" s="82" t="s">
        <v>340</v>
      </c>
      <c r="B318" s="21">
        <f>(E25*N6)+(D28*N5)</f>
        <v>1.323</v>
      </c>
    </row>
    <row r="319" spans="1:4" x14ac:dyDescent="0.25">
      <c r="A319" s="83" t="s">
        <v>323</v>
      </c>
      <c r="B319" s="90">
        <f>B317+B318</f>
        <v>2.484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zoomScale="69" zoomScaleNormal="69" workbookViewId="0">
      <selection activeCell="P6" sqref="P6"/>
    </sheetView>
  </sheetViews>
  <sheetFormatPr baseColWidth="10" defaultRowHeight="15" x14ac:dyDescent="0.25"/>
  <cols>
    <col min="1" max="1" width="55.28515625" customWidth="1"/>
    <col min="9" max="9" width="15.5703125" customWidth="1"/>
    <col min="10" max="15" width="11.7109375" bestFit="1" customWidth="1"/>
  </cols>
  <sheetData>
    <row r="1" spans="1:17" x14ac:dyDescent="0.25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258</v>
      </c>
      <c r="J1" s="42" t="s">
        <v>209</v>
      </c>
      <c r="K1" s="42" t="s">
        <v>63</v>
      </c>
      <c r="L1" s="42" t="s">
        <v>64</v>
      </c>
      <c r="M1" s="42" t="s">
        <v>65</v>
      </c>
      <c r="N1" s="122" t="s">
        <v>66</v>
      </c>
      <c r="O1" s="45" t="s">
        <v>51</v>
      </c>
    </row>
    <row r="2" spans="1:17" ht="15.75" thickBot="1" x14ac:dyDescent="0.3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.75" thickBot="1" x14ac:dyDescent="0.3">
      <c r="A3" s="72" t="s">
        <v>52</v>
      </c>
    </row>
    <row r="4" spans="1:17" ht="15.75" thickBot="1" x14ac:dyDescent="0.3">
      <c r="A4" s="73" t="s">
        <v>2</v>
      </c>
    </row>
    <row r="5" spans="1:17" x14ac:dyDescent="0.25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.75" thickBot="1" x14ac:dyDescent="0.3">
      <c r="A6" s="32"/>
    </row>
    <row r="7" spans="1:17" ht="15.75" thickBot="1" x14ac:dyDescent="0.3">
      <c r="A7" s="73" t="s">
        <v>67</v>
      </c>
    </row>
    <row r="8" spans="1:17" x14ac:dyDescent="0.25">
      <c r="A8" s="70" t="s">
        <v>68</v>
      </c>
      <c r="F8" s="2">
        <v>1</v>
      </c>
    </row>
    <row r="9" spans="1:17" x14ac:dyDescent="0.25">
      <c r="A9" s="9" t="s">
        <v>69</v>
      </c>
      <c r="G9" s="2">
        <v>8</v>
      </c>
    </row>
    <row r="10" spans="1:17" x14ac:dyDescent="0.25">
      <c r="A10" s="9" t="s">
        <v>70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25">
      <c r="A11" s="9" t="s">
        <v>176</v>
      </c>
      <c r="O11" s="2">
        <v>42</v>
      </c>
    </row>
    <row r="12" spans="1:17" x14ac:dyDescent="0.25">
      <c r="A12" s="9" t="s">
        <v>177</v>
      </c>
      <c r="O12" s="2">
        <v>37</v>
      </c>
    </row>
    <row r="13" spans="1:17" x14ac:dyDescent="0.25">
      <c r="H13" s="1"/>
    </row>
    <row r="14" spans="1:17" ht="15.75" thickBot="1" x14ac:dyDescent="0.3"/>
    <row r="15" spans="1:17" x14ac:dyDescent="0.25">
      <c r="A15" s="101" t="s">
        <v>157</v>
      </c>
    </row>
    <row r="16" spans="1:17" x14ac:dyDescent="0.25">
      <c r="A16" s="9" t="s">
        <v>158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195</v>
      </c>
    </row>
    <row r="17" spans="1:15" x14ac:dyDescent="0.25">
      <c r="A17" s="9" t="s">
        <v>159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25">
      <c r="A18" s="9" t="s">
        <v>160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25">
      <c r="A19" s="9" t="s">
        <v>161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25">
      <c r="A20" s="9" t="s">
        <v>162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.75" thickBot="1" x14ac:dyDescent="0.3"/>
    <row r="23" spans="1:15" x14ac:dyDescent="0.25">
      <c r="A23" s="101" t="s">
        <v>163</v>
      </c>
    </row>
    <row r="24" spans="1:15" x14ac:dyDescent="0.25">
      <c r="A24" s="9" t="s">
        <v>158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25">
      <c r="A25" s="9" t="s">
        <v>159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25">
      <c r="A26" s="9" t="s">
        <v>160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25">
      <c r="A27" s="9" t="s">
        <v>164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25">
      <c r="A28" s="9" t="s">
        <v>162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.75" thickBot="1" x14ac:dyDescent="0.3"/>
    <row r="31" spans="1:15" x14ac:dyDescent="0.25">
      <c r="A31" s="105" t="s">
        <v>165</v>
      </c>
    </row>
    <row r="32" spans="1:15" x14ac:dyDescent="0.25">
      <c r="A32" s="107" t="s">
        <v>166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25">
      <c r="A33" s="107" t="s">
        <v>167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25">
      <c r="A34" s="107" t="s">
        <v>168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25">
      <c r="A35" s="107" t="s">
        <v>169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25">
      <c r="A36" s="109" t="s">
        <v>170</v>
      </c>
      <c r="F36" s="109" t="s">
        <v>155</v>
      </c>
      <c r="G36" s="109" t="s">
        <v>155</v>
      </c>
      <c r="H36" s="109" t="s">
        <v>155</v>
      </c>
      <c r="I36" s="109" t="s">
        <v>155</v>
      </c>
      <c r="J36" s="109" t="s">
        <v>155</v>
      </c>
      <c r="K36" s="109" t="s">
        <v>155</v>
      </c>
      <c r="L36" s="109" t="s">
        <v>155</v>
      </c>
      <c r="M36" s="109" t="s">
        <v>155</v>
      </c>
      <c r="N36" s="109" t="s">
        <v>155</v>
      </c>
    </row>
    <row r="38" spans="1:16" ht="15.75" thickBot="1" x14ac:dyDescent="0.3"/>
    <row r="39" spans="1:16" ht="15.75" thickBot="1" x14ac:dyDescent="0.3">
      <c r="C39" s="127" t="s">
        <v>218</v>
      </c>
      <c r="D39" s="129" t="s">
        <v>219</v>
      </c>
    </row>
    <row r="40" spans="1:16" ht="15.75" thickBot="1" x14ac:dyDescent="0.3">
      <c r="A40" s="126" t="s">
        <v>196</v>
      </c>
    </row>
    <row r="41" spans="1:16" x14ac:dyDescent="0.25">
      <c r="A41" s="124" t="s">
        <v>215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.75" thickBot="1" x14ac:dyDescent="0.3">
      <c r="A42" s="149" t="s">
        <v>216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.75" thickBot="1" x14ac:dyDescent="0.3">
      <c r="A43" s="149" t="s">
        <v>217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25">
      <c r="A44" s="155" t="s">
        <v>220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25">
      <c r="A45" s="149" t="s">
        <v>221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.75" thickBot="1" x14ac:dyDescent="0.3">
      <c r="A46" s="125" t="s">
        <v>222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.75" thickBot="1" x14ac:dyDescent="0.3"/>
    <row r="48" spans="1:16" ht="15.75" thickBot="1" x14ac:dyDescent="0.3">
      <c r="A48" s="126" t="s">
        <v>227</v>
      </c>
      <c r="F48" s="1"/>
    </row>
    <row r="49" spans="1:15" x14ac:dyDescent="0.25">
      <c r="A49" s="148" t="s">
        <v>228</v>
      </c>
      <c r="F49" s="135">
        <f>18+'Mast + Tower'!B22</f>
        <v>20</v>
      </c>
      <c r="G49" s="136">
        <f>18+'Mast + Tower'!B20</f>
        <v>22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25">
      <c r="A50" s="149" t="s">
        <v>229</v>
      </c>
      <c r="F50" s="146">
        <f>F5*F49</f>
        <v>1</v>
      </c>
      <c r="G50" s="21">
        <f>G5*G49</f>
        <v>1.3199999999999998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.75" thickBot="1" x14ac:dyDescent="0.3">
      <c r="A51" s="149" t="s">
        <v>216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.75" thickBot="1" x14ac:dyDescent="0.3">
      <c r="A52" s="149" t="s">
        <v>217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25">
      <c r="A53" s="149" t="s">
        <v>230</v>
      </c>
      <c r="F53" s="146">
        <f t="shared" ref="F53:N53" si="5">F52+F50</f>
        <v>3.4</v>
      </c>
      <c r="G53" s="21">
        <f t="shared" si="5"/>
        <v>3.42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.75" thickBot="1" x14ac:dyDescent="0.3">
      <c r="A54" s="150" t="s">
        <v>231</v>
      </c>
      <c r="F54" s="138">
        <f t="shared" ref="F54:N54" si="6">F32-F53</f>
        <v>66.599999999999994</v>
      </c>
      <c r="G54" s="139">
        <f t="shared" si="6"/>
        <v>54.58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.75" thickBot="1" x14ac:dyDescent="0.3"/>
    <row r="56" spans="1:15" ht="15.75" thickBot="1" x14ac:dyDescent="0.3">
      <c r="A56" s="8" t="s">
        <v>232</v>
      </c>
    </row>
    <row r="57" spans="1:15" ht="15.75" thickBot="1" x14ac:dyDescent="0.3">
      <c r="A57" s="126" t="s">
        <v>233</v>
      </c>
    </row>
    <row r="58" spans="1:15" x14ac:dyDescent="0.25">
      <c r="A58" s="148" t="s">
        <v>234</v>
      </c>
      <c r="F58" s="135">
        <f>F44-(F32-F53)</f>
        <v>35.800000000000011</v>
      </c>
      <c r="G58" s="136">
        <f>G44-(G32-G53)</f>
        <v>45.519999999999996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.75" thickBot="1" x14ac:dyDescent="0.3">
      <c r="A59" s="150" t="s">
        <v>235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.75" thickBot="1" x14ac:dyDescent="0.3"/>
    <row r="61" spans="1:15" ht="15.75" thickBot="1" x14ac:dyDescent="0.3">
      <c r="A61" s="126" t="s">
        <v>236</v>
      </c>
    </row>
    <row r="62" spans="1:15" x14ac:dyDescent="0.25">
      <c r="A62" s="148" t="s">
        <v>237</v>
      </c>
      <c r="F62" s="135">
        <f>IF(F58-F24&gt;F16-F17,F58-F24,F16-F17)</f>
        <v>35.800000000000011</v>
      </c>
      <c r="G62" s="136">
        <f t="shared" ref="G62:N62" si="9">IF(G58-G24&gt;G16-G17,G58-G24,G16-G17)</f>
        <v>45.519999999999996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25">
      <c r="A63" s="149" t="s">
        <v>238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.75" thickBot="1" x14ac:dyDescent="0.3">
      <c r="A64" s="150" t="s">
        <v>239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.75" thickBot="1" x14ac:dyDescent="0.3"/>
    <row r="66" spans="1:15" ht="15.75" thickBot="1" x14ac:dyDescent="0.3">
      <c r="A66" s="170" t="s">
        <v>240</v>
      </c>
    </row>
    <row r="67" spans="1:15" x14ac:dyDescent="0.25">
      <c r="A67" s="149" t="s">
        <v>241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25">
      <c r="A68" s="149" t="s">
        <v>242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25">
      <c r="A69" s="149" t="s">
        <v>243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.75" thickBot="1" x14ac:dyDescent="0.3">
      <c r="A70" s="150" t="s">
        <v>244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.75" thickBot="1" x14ac:dyDescent="0.3"/>
    <row r="72" spans="1:15" x14ac:dyDescent="0.25">
      <c r="A72" s="171" t="s">
        <v>245</v>
      </c>
    </row>
    <row r="73" spans="1:15" ht="15.75" thickBot="1" x14ac:dyDescent="0.3">
      <c r="A73" s="172" t="s">
        <v>233</v>
      </c>
    </row>
    <row r="74" spans="1:15" x14ac:dyDescent="0.25">
      <c r="A74" s="149" t="s">
        <v>246</v>
      </c>
      <c r="B74" s="1"/>
      <c r="F74" s="135">
        <f>10*LOG10(10^((F18+F53)/10)+10^((F53-F58)/10)*(10^((F43+Network!H277)/10)-1))</f>
        <v>16.779680899642923</v>
      </c>
      <c r="G74" s="136">
        <f>10*LOG10(10^((G18+G53)/10)+10^((G53-G58)/10)*(10^((G43+Network!I277)/10)-1))</f>
        <v>13.147592929371502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25">
      <c r="A75" s="149" t="s">
        <v>247</v>
      </c>
      <c r="F75" s="166">
        <f>F32-F69-10*LOG10(10^((F18+F53)/10)+10^((F53-F58)/10)*(10^((F43+Network!H277)/10)-1))</f>
        <v>66.220319100357074</v>
      </c>
      <c r="G75" s="90">
        <f>G32-G69-10*LOG10(10^((G18+G53)/10)+10^((G53-G58)/10)*(10^((G43+Network!I277)/10)-1))</f>
        <v>47.852407070628502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.75" thickBot="1" x14ac:dyDescent="0.3">
      <c r="A76" s="150" t="s">
        <v>248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.75" thickBot="1" x14ac:dyDescent="0.3"/>
    <row r="78" spans="1:15" ht="15.75" thickBot="1" x14ac:dyDescent="0.3">
      <c r="A78" s="170" t="s">
        <v>236</v>
      </c>
    </row>
    <row r="79" spans="1:15" x14ac:dyDescent="0.25">
      <c r="A79" s="149" t="s">
        <v>246</v>
      </c>
      <c r="F79" s="135">
        <f>10*LOG10(10^(F26/10)+(10^(F53/10)-1)/10^(F63/10)+(10^(F18/10)-1)*10^(F53/10)/10^(F63/10)+10^((F53-F62-F63)/10)*(10^((F43+Network!H277)/10)-1))</f>
        <v>16.779680899642923</v>
      </c>
      <c r="G79" s="136">
        <f>10*LOG10(10^(G26/10)+(10^(G53/10)-1)/10^(G63/10)+(10^(G18/10)-1)*10^(G53/10)/10^(G63/10)+10^((G53-G62-G63)/10)*(10^((G43+Network!I277)/10)-1))</f>
        <v>13.147592929371502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25">
      <c r="A80" s="149" t="s">
        <v>247</v>
      </c>
      <c r="F80" s="166">
        <f>F32-F69-10*LOG10(10^(F26/10)+(10^(F53/10)-1)/10^(F63/10)+(10^(F18/10)-1)*10^(F53/10)/10^(F63/10)+10^((F53-F62-F63)/10)*(10^((F43+Network!H277)/10)-1))</f>
        <v>66.220319100357074</v>
      </c>
      <c r="G80" s="90">
        <f>G32-G69-10*LOG10(10^(G26/10)+(10^(G53/10)-1)/10^(G63/10)+(10^(G18/10)-1)*10^(G53/10)/10^(G63/10)+10^((G53-G62-G63)/10)*(10^((G43+Network!I277)/10)-1))</f>
        <v>47.852407070628502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.75" thickBot="1" x14ac:dyDescent="0.3">
      <c r="A81" s="150" t="s">
        <v>249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.75" thickBot="1" x14ac:dyDescent="0.3"/>
    <row r="85" spans="1:15" ht="15.75" thickBot="1" x14ac:dyDescent="0.3">
      <c r="A85" s="126" t="s">
        <v>223</v>
      </c>
    </row>
    <row r="86" spans="1:15" x14ac:dyDescent="0.25">
      <c r="A86" s="148" t="s">
        <v>224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.75" thickBot="1" x14ac:dyDescent="0.3">
      <c r="A87" s="149" t="s">
        <v>225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.75" thickBot="1" x14ac:dyDescent="0.3">
      <c r="A88" s="150" t="s">
        <v>226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.75" thickBot="1" x14ac:dyDescent="0.3"/>
    <row r="90" spans="1:15" ht="15.75" thickBot="1" x14ac:dyDescent="0.3">
      <c r="A90" s="170" t="s">
        <v>233</v>
      </c>
    </row>
    <row r="91" spans="1:15" x14ac:dyDescent="0.25">
      <c r="A91" s="155" t="s">
        <v>250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.75" thickBot="1" x14ac:dyDescent="0.3">
      <c r="A92" s="125" t="s">
        <v>251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.75" thickBot="1" x14ac:dyDescent="0.3"/>
    <row r="94" spans="1:15" ht="15.75" thickBot="1" x14ac:dyDescent="0.3">
      <c r="A94" s="170" t="s">
        <v>236</v>
      </c>
    </row>
    <row r="95" spans="1:15" x14ac:dyDescent="0.25">
      <c r="A95" s="149" t="s">
        <v>252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25">
      <c r="A96" s="155" t="s">
        <v>253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-20*LOG10(10^(-J91/20)+10^(-(J28+2*(J27-7.5*LOG10(SUM(I86:O86)-1)-J32-J63))/20))</f>
        <v>34.799999274861314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.75" thickBot="1" x14ac:dyDescent="0.3">
      <c r="A97" s="125" t="s">
        <v>254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8"/>
  <sheetViews>
    <sheetView topLeftCell="A26" zoomScale="97" zoomScaleNormal="70" workbookViewId="0">
      <selection activeCell="A44" sqref="A44:A47"/>
    </sheetView>
  </sheetViews>
  <sheetFormatPr baseColWidth="10" defaultRowHeight="15" x14ac:dyDescent="0.25"/>
  <cols>
    <col min="1" max="1" width="20" customWidth="1"/>
    <col min="2" max="2" width="16.7109375" customWidth="1"/>
    <col min="3" max="3" width="16.28515625" customWidth="1"/>
  </cols>
  <sheetData>
    <row r="2" spans="1:7" x14ac:dyDescent="0.25">
      <c r="A2" s="32"/>
      <c r="B2" s="220" t="s">
        <v>178</v>
      </c>
      <c r="C2" s="221"/>
    </row>
    <row r="3" spans="1:7" x14ac:dyDescent="0.25">
      <c r="A3" s="118"/>
      <c r="B3" s="189" t="s">
        <v>179</v>
      </c>
      <c r="C3" s="189" t="s">
        <v>180</v>
      </c>
    </row>
    <row r="4" spans="1:7" x14ac:dyDescent="0.25">
      <c r="A4" s="119" t="s">
        <v>181</v>
      </c>
      <c r="B4" s="190">
        <v>39.49</v>
      </c>
      <c r="C4" s="190">
        <v>39.49</v>
      </c>
    </row>
    <row r="5" spans="1:7" x14ac:dyDescent="0.25">
      <c r="A5" s="119" t="s">
        <v>182</v>
      </c>
      <c r="B5" s="190">
        <v>30</v>
      </c>
      <c r="C5" s="190">
        <v>19.2</v>
      </c>
    </row>
    <row r="6" spans="1:7" x14ac:dyDescent="0.25">
      <c r="A6" s="119" t="s">
        <v>265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25">
      <c r="A7" s="119" t="s">
        <v>259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25">
      <c r="A8" s="119" t="s">
        <v>260</v>
      </c>
      <c r="B8" s="190">
        <v>6378.16</v>
      </c>
      <c r="C8" s="190">
        <v>6378.16</v>
      </c>
    </row>
    <row r="9" spans="1:7" x14ac:dyDescent="0.25">
      <c r="A9" s="119" t="s">
        <v>261</v>
      </c>
      <c r="B9" s="190">
        <v>35786.300000000003</v>
      </c>
      <c r="C9" s="190">
        <v>35786.300000000003</v>
      </c>
      <c r="F9" s="188"/>
      <c r="G9" s="188"/>
    </row>
    <row r="10" spans="1:7" x14ac:dyDescent="0.25">
      <c r="A10" s="119" t="s">
        <v>262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25">
      <c r="A11" s="119" t="s">
        <v>263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25">
      <c r="A12" s="119" t="s">
        <v>264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25">
      <c r="A13" s="118"/>
      <c r="B13" s="118"/>
      <c r="C13" s="118"/>
    </row>
    <row r="15" spans="1:7" x14ac:dyDescent="0.25">
      <c r="A15" s="119" t="s">
        <v>309</v>
      </c>
      <c r="B15" s="120">
        <v>54</v>
      </c>
      <c r="C15" s="120">
        <v>51</v>
      </c>
    </row>
    <row r="16" spans="1:7" x14ac:dyDescent="0.25">
      <c r="A16" s="119" t="s">
        <v>183</v>
      </c>
      <c r="B16" s="120">
        <v>0.7</v>
      </c>
      <c r="C16" s="120">
        <v>0.7</v>
      </c>
    </row>
    <row r="17" spans="1:3" x14ac:dyDescent="0.25">
      <c r="A17" s="119" t="s">
        <v>307</v>
      </c>
      <c r="B17" s="120">
        <v>50</v>
      </c>
      <c r="C17" s="120">
        <v>50</v>
      </c>
    </row>
    <row r="18" spans="1:3" x14ac:dyDescent="0.25">
      <c r="A18" s="119" t="s">
        <v>308</v>
      </c>
      <c r="B18" s="120">
        <v>3</v>
      </c>
      <c r="C18" s="120">
        <v>3</v>
      </c>
    </row>
    <row r="19" spans="1:3" x14ac:dyDescent="0.25">
      <c r="A19" s="119" t="s">
        <v>184</v>
      </c>
      <c r="B19" s="120">
        <v>27</v>
      </c>
      <c r="C19" s="120">
        <v>27</v>
      </c>
    </row>
    <row r="20" spans="1:3" x14ac:dyDescent="0.25">
      <c r="A20" s="119" t="s">
        <v>185</v>
      </c>
      <c r="B20" s="120">
        <v>0.7</v>
      </c>
      <c r="C20" s="120">
        <v>0.7</v>
      </c>
    </row>
    <row r="21" spans="1:3" x14ac:dyDescent="0.25">
      <c r="A21" s="119" t="s">
        <v>186</v>
      </c>
      <c r="B21" s="120">
        <v>12.75</v>
      </c>
      <c r="C21" s="120">
        <v>12.75</v>
      </c>
    </row>
    <row r="22" spans="1:3" x14ac:dyDescent="0.25">
      <c r="A22" s="119" t="s">
        <v>188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25">
      <c r="A23" s="119" t="s">
        <v>189</v>
      </c>
      <c r="B23" s="120">
        <v>5.0999999999999996</v>
      </c>
      <c r="C23" s="120">
        <v>5.0999999999999996</v>
      </c>
    </row>
    <row r="24" spans="1:3" x14ac:dyDescent="0.25">
      <c r="A24" s="119" t="s">
        <v>194</v>
      </c>
      <c r="B24" s="121">
        <v>1.3800000000000001E-23</v>
      </c>
      <c r="C24" s="121">
        <v>1.3800000000000001E-23</v>
      </c>
    </row>
    <row r="25" spans="1:3" x14ac:dyDescent="0.25">
      <c r="A25" s="119" t="s">
        <v>190</v>
      </c>
      <c r="B25" s="196">
        <f>B17+290*(POWER(10,B20/10)-1)</f>
        <v>100.72029093246357</v>
      </c>
      <c r="C25" s="196">
        <f>C17+290*(POWER(10,C20/10)-1)</f>
        <v>100.72029093246357</v>
      </c>
    </row>
    <row r="26" spans="1:3" x14ac:dyDescent="0.25">
      <c r="A26" s="119" t="s">
        <v>191</v>
      </c>
      <c r="B26" s="120">
        <f>11+B18</f>
        <v>14</v>
      </c>
      <c r="C26" s="120">
        <f>11+C18</f>
        <v>14</v>
      </c>
    </row>
    <row r="27" spans="1:3" x14ac:dyDescent="0.25">
      <c r="A27" s="119" t="s">
        <v>187</v>
      </c>
      <c r="B27" s="196">
        <f>10*LOG10(B24*B25*B19*1000000)</f>
        <v>-134.25640177870341</v>
      </c>
      <c r="C27" s="196">
        <f>10*LOG10(C24*C25*C19*1000000)</f>
        <v>-134.25640177870341</v>
      </c>
    </row>
    <row r="28" spans="1:3" x14ac:dyDescent="0.25">
      <c r="A28" s="119" t="s">
        <v>306</v>
      </c>
      <c r="B28" s="196">
        <f>B26-B15+B22+B23+B27</f>
        <v>37.030628481966119</v>
      </c>
      <c r="C28" s="196">
        <f>C26-C15+C22+C23+C27</f>
        <v>39.939223809276825</v>
      </c>
    </row>
    <row r="29" spans="1:3" x14ac:dyDescent="0.25">
      <c r="A29" s="119" t="s">
        <v>192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25">
      <c r="A31" s="119" t="s">
        <v>297</v>
      </c>
      <c r="B31" s="196">
        <f>B29*POWER(10,(B28/20))/(PI()*SQRT(B16))</f>
        <v>0.63598020936830035</v>
      </c>
      <c r="C31" s="196">
        <f>C29*POWER(10,(C28/20))/(PI()*SQRT(C16))</f>
        <v>0.88894188095344961</v>
      </c>
    </row>
    <row r="32" spans="1:3" x14ac:dyDescent="0.25">
      <c r="A32" s="119" t="s">
        <v>193</v>
      </c>
      <c r="B32" s="196">
        <f>B28-10*LOG10(B25)</f>
        <v>16.999458766271765</v>
      </c>
      <c r="C32" s="196">
        <f>C28-10*LOG10(C25)</f>
        <v>19.908054093582471</v>
      </c>
    </row>
    <row r="33" spans="1:7" x14ac:dyDescent="0.25">
      <c r="A33" s="119" t="s">
        <v>298</v>
      </c>
      <c r="B33" s="196">
        <f>B15-B23-B22+B28</f>
        <v>-120.25640177870341</v>
      </c>
      <c r="C33" s="196">
        <f>C15-C23-C22+C28</f>
        <v>-120.25640177870341</v>
      </c>
      <c r="D33" s="194"/>
      <c r="E33" s="194"/>
      <c r="F33" s="194"/>
      <c r="G33" s="194"/>
    </row>
    <row r="34" spans="1:7" x14ac:dyDescent="0.25">
      <c r="A34" s="119" t="s">
        <v>299</v>
      </c>
      <c r="B34" s="196">
        <f>(B15-B23-B22+B28)-B27</f>
        <v>14</v>
      </c>
      <c r="C34" s="196">
        <f>(C15-C23-C22+C28)-C27</f>
        <v>14</v>
      </c>
    </row>
    <row r="35" spans="1:7" x14ac:dyDescent="0.25">
      <c r="A35" s="119" t="s">
        <v>294</v>
      </c>
      <c r="B35" s="196">
        <f>B33+60-(29.6*0.2)</f>
        <v>-66.176401778703408</v>
      </c>
      <c r="C35" s="196">
        <f>C33+60-(29.6*0.2)</f>
        <v>-66.176401778703408</v>
      </c>
    </row>
    <row r="36" spans="1:7" x14ac:dyDescent="0.25">
      <c r="A36" s="119" t="s">
        <v>295</v>
      </c>
      <c r="B36" s="196">
        <f>SQRT(POWER(10,(B35/10))*75)*1000000</f>
        <v>4253.1484633272221</v>
      </c>
      <c r="C36" s="196">
        <f>SQRT(POWER(10,(C35/10))*75)*1000000</f>
        <v>4253.1484633272221</v>
      </c>
    </row>
    <row r="37" spans="1:7" x14ac:dyDescent="0.25">
      <c r="A37" s="119" t="s">
        <v>296</v>
      </c>
      <c r="B37" s="196">
        <f>20*LOG10(B36)</f>
        <v>72.574210855213593</v>
      </c>
      <c r="C37" s="196">
        <f>20*LOG10(C36)</f>
        <v>72.574210855213593</v>
      </c>
    </row>
    <row r="38" spans="1:7" x14ac:dyDescent="0.25">
      <c r="A38" s="119" t="s">
        <v>300</v>
      </c>
      <c r="B38" s="196">
        <f>123-B37</f>
        <v>50.425789144786407</v>
      </c>
      <c r="C38" s="196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1" zoomScaleNormal="100" workbookViewId="0">
      <selection activeCell="K16" sqref="K16"/>
    </sheetView>
  </sheetViews>
  <sheetFormatPr baseColWidth="10" defaultRowHeight="15" x14ac:dyDescent="0.25"/>
  <cols>
    <col min="1" max="1" width="26.28515625" customWidth="1"/>
    <col min="2" max="2" width="17.7109375" customWidth="1"/>
    <col min="3" max="3" width="25.7109375" customWidth="1"/>
    <col min="5" max="5" width="34.85546875" customWidth="1"/>
    <col min="6" max="6" width="21.7109375" customWidth="1"/>
    <col min="7" max="7" width="17.7109375" customWidth="1"/>
    <col min="8" max="8" width="18.7109375" customWidth="1"/>
    <col min="9" max="9" width="5.7109375" customWidth="1"/>
    <col min="10" max="10" width="18.85546875" customWidth="1"/>
    <col min="12" max="12" width="12.85546875" customWidth="1"/>
  </cols>
  <sheetData>
    <row r="1" spans="1:10" x14ac:dyDescent="0.25">
      <c r="A1" s="211"/>
      <c r="B1" s="119" t="s">
        <v>286</v>
      </c>
      <c r="C1" s="119" t="s">
        <v>283</v>
      </c>
      <c r="D1" s="198"/>
      <c r="E1" s="32"/>
      <c r="F1" s="32"/>
      <c r="G1" s="32"/>
      <c r="H1" s="32"/>
    </row>
    <row r="2" spans="1:10" x14ac:dyDescent="0.25">
      <c r="A2" s="119" t="s">
        <v>270</v>
      </c>
      <c r="B2" s="198">
        <f>B3*B6</f>
        <v>523.20000000000005</v>
      </c>
      <c r="C2" s="119" t="s">
        <v>284</v>
      </c>
      <c r="D2" s="198">
        <v>3</v>
      </c>
      <c r="E2" s="32"/>
      <c r="F2" s="32"/>
      <c r="G2" s="32"/>
      <c r="H2" s="32"/>
    </row>
    <row r="3" spans="1:10" x14ac:dyDescent="0.25">
      <c r="A3" s="119" t="s">
        <v>269</v>
      </c>
      <c r="B3" s="198">
        <f>((B4)^2/16)*B5</f>
        <v>799.52256944444457</v>
      </c>
      <c r="C3" s="119" t="s">
        <v>285</v>
      </c>
      <c r="D3" s="198">
        <v>3</v>
      </c>
      <c r="E3" s="32"/>
      <c r="F3" s="32"/>
      <c r="G3" s="32"/>
      <c r="H3" s="32"/>
    </row>
    <row r="4" spans="1:10" x14ac:dyDescent="0.25">
      <c r="A4" s="119" t="s">
        <v>266</v>
      </c>
      <c r="B4" s="200">
        <f>130*(1000/3600)</f>
        <v>36.111111111111114</v>
      </c>
      <c r="C4" s="119" t="s">
        <v>288</v>
      </c>
      <c r="D4" s="198">
        <v>0.27200000000000002</v>
      </c>
      <c r="E4" s="32"/>
      <c r="F4" s="32"/>
      <c r="G4" s="32"/>
      <c r="H4" s="32"/>
    </row>
    <row r="5" spans="1:10" x14ac:dyDescent="0.25">
      <c r="A5" s="210" t="s">
        <v>267</v>
      </c>
      <c r="B5" s="198">
        <v>9.81</v>
      </c>
      <c r="C5" s="32"/>
      <c r="D5" s="32"/>
      <c r="E5" s="32"/>
      <c r="F5" s="32"/>
      <c r="G5" s="32"/>
      <c r="H5" s="32"/>
    </row>
    <row r="6" spans="1:10" x14ac:dyDescent="0.25">
      <c r="A6" s="210" t="s">
        <v>268</v>
      </c>
      <c r="B6" s="198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25">
      <c r="A7" s="32"/>
      <c r="B7" s="32"/>
      <c r="C7" s="32"/>
      <c r="D7" s="32"/>
      <c r="E7" s="32"/>
      <c r="F7" s="32"/>
      <c r="G7" s="32"/>
      <c r="H7" s="32"/>
    </row>
    <row r="8" spans="1:10" x14ac:dyDescent="0.25">
      <c r="A8" s="222" t="s">
        <v>274</v>
      </c>
      <c r="B8" s="223"/>
      <c r="C8" s="222" t="s">
        <v>305</v>
      </c>
      <c r="D8" s="223"/>
      <c r="E8" s="32"/>
      <c r="F8" s="32"/>
      <c r="G8" s="32"/>
      <c r="H8" s="32"/>
    </row>
    <row r="9" spans="1:10" x14ac:dyDescent="0.25">
      <c r="A9" s="119" t="s">
        <v>287</v>
      </c>
      <c r="B9" s="198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25">
      <c r="A10" s="119" t="s">
        <v>271</v>
      </c>
      <c r="B10" s="198">
        <v>6</v>
      </c>
      <c r="C10" s="224">
        <v>3</v>
      </c>
      <c r="D10" s="225"/>
      <c r="E10" s="32"/>
      <c r="F10" s="32"/>
      <c r="G10" s="32"/>
      <c r="H10" s="32"/>
    </row>
    <row r="11" spans="1:10" x14ac:dyDescent="0.25">
      <c r="A11" s="119" t="s">
        <v>272</v>
      </c>
      <c r="B11" s="198">
        <v>0.7</v>
      </c>
      <c r="C11" s="224">
        <v>0.7</v>
      </c>
      <c r="D11" s="225"/>
      <c r="E11" s="32"/>
      <c r="F11" s="32"/>
      <c r="G11" s="32"/>
      <c r="H11" s="32"/>
    </row>
    <row r="12" spans="1:10" x14ac:dyDescent="0.25">
      <c r="A12" s="119" t="s">
        <v>273</v>
      </c>
      <c r="B12" s="198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25">
      <c r="A13" s="119" t="s">
        <v>290</v>
      </c>
      <c r="B13" s="198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</row>
    <row r="16" spans="1:10" x14ac:dyDescent="0.25">
      <c r="A16" s="222" t="s">
        <v>304</v>
      </c>
      <c r="B16" s="223"/>
      <c r="C16" s="119" t="s">
        <v>301</v>
      </c>
      <c r="D16" s="32"/>
      <c r="E16" s="119" t="s">
        <v>310</v>
      </c>
      <c r="F16" s="119" t="s">
        <v>289</v>
      </c>
      <c r="G16" s="32"/>
      <c r="H16" s="119" t="s">
        <v>318</v>
      </c>
      <c r="I16" s="215"/>
      <c r="J16" s="119" t="s">
        <v>319</v>
      </c>
    </row>
    <row r="17" spans="1:13" x14ac:dyDescent="0.25">
      <c r="A17" s="119" t="s">
        <v>275</v>
      </c>
      <c r="B17" s="198">
        <v>93</v>
      </c>
      <c r="C17" s="198">
        <f>B17*B18</f>
        <v>558</v>
      </c>
      <c r="D17" s="32"/>
      <c r="E17" s="198">
        <v>93</v>
      </c>
      <c r="F17" s="198">
        <f>E17*E18</f>
        <v>558</v>
      </c>
      <c r="G17" s="32"/>
      <c r="H17" s="198">
        <v>93</v>
      </c>
      <c r="J17" s="198">
        <f>2*B5</f>
        <v>19.62</v>
      </c>
      <c r="L17" s="119" t="s">
        <v>311</v>
      </c>
      <c r="M17" s="198">
        <f>-SUM(H17,H19,H21,H23,H24)</f>
        <v>-755.30000000000007</v>
      </c>
    </row>
    <row r="18" spans="1:13" x14ac:dyDescent="0.25">
      <c r="A18" s="119" t="s">
        <v>276</v>
      </c>
      <c r="B18" s="198">
        <v>6</v>
      </c>
      <c r="C18" s="198"/>
      <c r="D18" s="32"/>
      <c r="E18" s="198">
        <v>6</v>
      </c>
      <c r="F18" s="198"/>
      <c r="G18" s="32"/>
      <c r="H18" s="198"/>
      <c r="J18" s="198"/>
      <c r="L18" s="119" t="s">
        <v>312</v>
      </c>
      <c r="M18" s="198">
        <f>-SUM(J24,J25,J23,J21,J19,J17)</f>
        <v>-139.30200000000002</v>
      </c>
    </row>
    <row r="19" spans="1:13" x14ac:dyDescent="0.25">
      <c r="A19" s="119" t="s">
        <v>277</v>
      </c>
      <c r="B19" s="198">
        <v>36.5</v>
      </c>
      <c r="C19" s="198">
        <f t="shared" ref="C19" si="0">B19*B20</f>
        <v>146</v>
      </c>
      <c r="D19" s="32"/>
      <c r="E19" s="198">
        <v>36.5</v>
      </c>
      <c r="F19" s="198">
        <f>E19*E20</f>
        <v>146</v>
      </c>
      <c r="G19" s="32"/>
      <c r="H19" s="198">
        <v>36.5</v>
      </c>
      <c r="J19" s="198">
        <f>1.5*B5</f>
        <v>14.715</v>
      </c>
    </row>
    <row r="20" spans="1:13" x14ac:dyDescent="0.25">
      <c r="A20" s="119" t="s">
        <v>278</v>
      </c>
      <c r="B20" s="198">
        <v>4</v>
      </c>
      <c r="C20" s="198"/>
      <c r="D20" s="32"/>
      <c r="E20" s="198">
        <v>4</v>
      </c>
      <c r="F20" s="198"/>
      <c r="G20" s="32"/>
      <c r="H20" s="198"/>
      <c r="J20" s="198"/>
    </row>
    <row r="21" spans="1:13" x14ac:dyDescent="0.25">
      <c r="A21" s="119" t="s">
        <v>282</v>
      </c>
      <c r="B21" s="198">
        <v>27</v>
      </c>
      <c r="C21" s="198">
        <f>B21*B22</f>
        <v>54</v>
      </c>
      <c r="D21" s="32"/>
      <c r="E21" s="198">
        <v>27</v>
      </c>
      <c r="F21" s="198">
        <f>E21*E22</f>
        <v>54</v>
      </c>
      <c r="G21" s="32"/>
      <c r="H21" s="198">
        <v>27</v>
      </c>
      <c r="J21" s="198">
        <f>1.2*B5</f>
        <v>11.772</v>
      </c>
    </row>
    <row r="22" spans="1:13" x14ac:dyDescent="0.25">
      <c r="A22" s="119" t="s">
        <v>279</v>
      </c>
      <c r="B22" s="198">
        <v>2</v>
      </c>
      <c r="C22" s="198"/>
      <c r="D22" s="32"/>
      <c r="E22" s="198">
        <v>2</v>
      </c>
      <c r="F22" s="198"/>
      <c r="G22" s="32"/>
      <c r="H22" s="198"/>
      <c r="J22" s="198"/>
    </row>
    <row r="23" spans="1:13" x14ac:dyDescent="0.25">
      <c r="A23" s="119" t="s">
        <v>280</v>
      </c>
      <c r="B23" s="198">
        <v>523.20000000000005</v>
      </c>
      <c r="C23" s="198">
        <f>B23*B24</f>
        <v>261.60000000000002</v>
      </c>
      <c r="D23" s="32"/>
      <c r="E23" s="198">
        <v>523.20000000000005</v>
      </c>
      <c r="F23" s="198">
        <f>E23*E24</f>
        <v>261.60000000000002</v>
      </c>
      <c r="G23" s="32"/>
      <c r="H23" s="198">
        <v>523.20000000000005</v>
      </c>
      <c r="J23" s="198">
        <f>5*9.81</f>
        <v>49.050000000000004</v>
      </c>
    </row>
    <row r="24" spans="1:13" x14ac:dyDescent="0.25">
      <c r="A24" s="213" t="s">
        <v>281</v>
      </c>
      <c r="B24" s="200">
        <v>0.5</v>
      </c>
      <c r="C24" s="200"/>
      <c r="D24" s="32"/>
      <c r="E24" s="200">
        <v>0.5</v>
      </c>
      <c r="F24" s="200"/>
      <c r="G24" s="32"/>
      <c r="H24" s="200">
        <f>C13</f>
        <v>75.599999999999994</v>
      </c>
      <c r="J24" s="198">
        <f>2*B5</f>
        <v>19.62</v>
      </c>
    </row>
    <row r="25" spans="1:13" x14ac:dyDescent="0.25">
      <c r="A25" s="201"/>
      <c r="B25" s="201"/>
      <c r="C25" s="201"/>
      <c r="D25" s="32"/>
      <c r="E25" s="201"/>
      <c r="F25" s="201"/>
      <c r="G25" s="32"/>
      <c r="H25" s="201"/>
      <c r="J25" s="198">
        <f>2.5*B5</f>
        <v>24.525000000000002</v>
      </c>
    </row>
    <row r="26" spans="1:13" x14ac:dyDescent="0.25">
      <c r="A26" s="212" t="s">
        <v>313</v>
      </c>
      <c r="E26" s="198">
        <v>2.9</v>
      </c>
      <c r="G26" s="32"/>
    </row>
    <row r="27" spans="1:13" x14ac:dyDescent="0.25">
      <c r="A27" s="214" t="s">
        <v>314</v>
      </c>
      <c r="B27" s="198">
        <f>SUM(C17,C19,C21,C23)</f>
        <v>1019.6</v>
      </c>
      <c r="C27" s="203"/>
      <c r="D27" s="207"/>
      <c r="E27" s="216">
        <f>SUM(F17*(E26-E24),F19*(E26-E22),F21*(E20-E26),F23*(E18-E26))</f>
        <v>2340.96</v>
      </c>
      <c r="F27" s="203"/>
      <c r="G27" s="32"/>
      <c r="H27" s="32"/>
    </row>
    <row r="28" spans="1:13" x14ac:dyDescent="0.25">
      <c r="A28" s="119" t="s">
        <v>315</v>
      </c>
      <c r="B28" s="199">
        <f>0.045*280*((B10)^2-(3)^2)</f>
        <v>340.2</v>
      </c>
      <c r="C28" s="203"/>
      <c r="D28" s="32"/>
      <c r="E28" s="199">
        <f>(0.045*280*((C10)^2))*6</f>
        <v>680.4</v>
      </c>
      <c r="F28" s="203"/>
      <c r="G28" s="32"/>
      <c r="H28" s="32"/>
    </row>
    <row r="29" spans="1:13" x14ac:dyDescent="0.25">
      <c r="A29" s="119" t="s">
        <v>316</v>
      </c>
      <c r="B29" s="199">
        <f>B27+B28</f>
        <v>1359.8</v>
      </c>
      <c r="C29" s="202"/>
      <c r="D29" s="32"/>
      <c r="E29" s="199">
        <f>E27+E28</f>
        <v>3021.36</v>
      </c>
      <c r="F29" s="202"/>
      <c r="G29" s="32"/>
      <c r="H29" s="32"/>
    </row>
    <row r="30" spans="1:13" x14ac:dyDescent="0.25">
      <c r="A30" s="213" t="s">
        <v>317</v>
      </c>
      <c r="B30" s="204">
        <f>B29-355</f>
        <v>1004.8</v>
      </c>
      <c r="C30" s="209" t="s">
        <v>302</v>
      </c>
      <c r="D30" s="205"/>
      <c r="E30" s="206">
        <f>E29-355</f>
        <v>2666.36</v>
      </c>
      <c r="F30" s="208" t="s">
        <v>303</v>
      </c>
    </row>
    <row r="31" spans="1:13" x14ac:dyDescent="0.25">
      <c r="A31" s="197"/>
      <c r="B31" s="197"/>
      <c r="C31" s="197"/>
      <c r="E31" s="197"/>
      <c r="F31" s="197"/>
    </row>
    <row r="33" spans="1:4" x14ac:dyDescent="0.25">
      <c r="A33" t="s">
        <v>293</v>
      </c>
      <c r="D33" t="s">
        <v>291</v>
      </c>
    </row>
    <row r="34" spans="1:4" x14ac:dyDescent="0.25">
      <c r="D34" t="s">
        <v>292</v>
      </c>
    </row>
    <row r="42" spans="1:4" x14ac:dyDescent="0.25">
      <c r="B42">
        <v>523.20000000000005</v>
      </c>
      <c r="C42">
        <f>B42*B43</f>
        <v>261.60000000000002</v>
      </c>
    </row>
    <row r="43" spans="1:4" x14ac:dyDescent="0.25">
      <c r="B43">
        <v>0.5</v>
      </c>
    </row>
    <row r="45" spans="1:4" x14ac:dyDescent="0.25">
      <c r="B45">
        <f>SUM(C42)</f>
        <v>261.60000000000002</v>
      </c>
    </row>
    <row r="46" spans="1:4" x14ac:dyDescent="0.25">
      <c r="B46">
        <f>0.045*280*((B10)^2-(3)^2)</f>
        <v>340.2</v>
      </c>
    </row>
    <row r="47" spans="1:4" x14ac:dyDescent="0.25">
      <c r="B47">
        <f>B45+B46</f>
        <v>601.79999999999995</v>
      </c>
    </row>
    <row r="48" spans="1:4" x14ac:dyDescent="0.25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2023-01-18T11:30:10Z</dcterms:modified>
</cp:coreProperties>
</file>