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39" documentId="14_{9F4157DC-F50C-4A01-87BD-49BE01D9B9B2}" xr6:coauthVersionLast="47" xr6:coauthVersionMax="47" xr10:uidLastSave="{B5A21A05-D4ED-4A22-A868-FD9A65EB3215}"/>
  <bookViews>
    <workbookView xWindow="1920" yWindow="1920" windowWidth="17280" windowHeight="8928" xr2:uid="{00000000-000D-0000-FFFF-FFFF00000000}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3" i="1" l="1"/>
  <c r="B312" i="1"/>
  <c r="N49" i="2"/>
  <c r="M49" i="2"/>
  <c r="L49" i="2"/>
  <c r="K49" i="2"/>
  <c r="J49" i="2"/>
  <c r="I49" i="2"/>
  <c r="H49" i="2"/>
  <c r="G49" i="2"/>
  <c r="F49" i="2"/>
  <c r="J25" i="4"/>
  <c r="B26" i="3"/>
  <c r="C42" i="4"/>
  <c r="B45" i="4" s="1"/>
  <c r="B46" i="4"/>
  <c r="B314" i="1" l="1"/>
  <c r="B47" i="4"/>
  <c r="B48" i="4" s="1"/>
  <c r="B6" i="3"/>
  <c r="B7" i="3" s="1"/>
  <c r="C6" i="3"/>
  <c r="C7" i="3" s="1"/>
  <c r="B25" i="3"/>
  <c r="B27" i="3" s="1"/>
  <c r="C25" i="3"/>
  <c r="C27" i="3" s="1"/>
  <c r="C26" i="3"/>
  <c r="B29" i="3"/>
  <c r="C29" i="3"/>
  <c r="M18" i="4"/>
  <c r="J24" i="4"/>
  <c r="J23" i="4"/>
  <c r="J21" i="4"/>
  <c r="J19" i="4"/>
  <c r="J17" i="4"/>
  <c r="E28" i="4"/>
  <c r="C17" i="4"/>
  <c r="B27" i="4" s="1"/>
  <c r="B29" i="4" s="1"/>
  <c r="B30" i="4" s="1"/>
  <c r="C12" i="4"/>
  <c r="C13" i="4" s="1"/>
  <c r="H24" i="4" s="1"/>
  <c r="M17" i="4" s="1"/>
  <c r="B12" i="4"/>
  <c r="B13" i="4" s="1"/>
  <c r="B28" i="4"/>
  <c r="F23" i="4"/>
  <c r="F21" i="4"/>
  <c r="F19" i="4"/>
  <c r="F17" i="4"/>
  <c r="C21" i="4"/>
  <c r="C23" i="4"/>
  <c r="C19" i="4"/>
  <c r="B4" i="4"/>
  <c r="B3" i="4" s="1"/>
  <c r="E27" i="4" l="1"/>
  <c r="C11" i="3"/>
  <c r="B11" i="3"/>
  <c r="B12" i="3"/>
  <c r="B22" i="3" s="1"/>
  <c r="B10" i="3"/>
  <c r="C12" i="3"/>
  <c r="C22" i="3" s="1"/>
  <c r="C10" i="3"/>
  <c r="B6" i="4"/>
  <c r="B2" i="4" s="1"/>
  <c r="C28" i="3" l="1"/>
  <c r="C31" i="3" s="1"/>
  <c r="B28" i="3"/>
  <c r="B34" i="3" s="1"/>
  <c r="C33" i="3" l="1"/>
  <c r="C35" i="3" s="1"/>
  <c r="C36" i="3" s="1"/>
  <c r="C37" i="3" s="1"/>
  <c r="C38" i="3" s="1"/>
  <c r="B33" i="3"/>
  <c r="B35" i="3" s="1"/>
  <c r="B36" i="3" s="1"/>
  <c r="B37" i="3" s="1"/>
  <c r="B38" i="3" s="1"/>
  <c r="B31" i="3"/>
  <c r="C34" i="3"/>
  <c r="C32" i="3"/>
  <c r="B32" i="3"/>
  <c r="F87" i="2" l="1"/>
  <c r="O87" i="2" l="1"/>
  <c r="F41" i="2"/>
  <c r="N52" i="2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N53" i="2" l="1"/>
  <c r="N54" i="2" s="1"/>
  <c r="F53" i="2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L54" i="2" l="1"/>
  <c r="J54" i="2"/>
  <c r="H54" i="2"/>
  <c r="K54" i="2"/>
  <c r="M44" i="2"/>
  <c r="M91" i="2" s="1"/>
  <c r="I45" i="2"/>
  <c r="G54" i="2"/>
  <c r="I54" i="2"/>
  <c r="M54" i="2"/>
  <c r="L44" i="2"/>
  <c r="L91" i="2" s="1"/>
  <c r="N44" i="2"/>
  <c r="N91" i="2" s="1"/>
  <c r="F44" i="2"/>
  <c r="F58" i="2" s="1"/>
  <c r="J44" i="2"/>
  <c r="K44" i="2"/>
  <c r="K91" i="2" s="1"/>
  <c r="G44" i="2"/>
  <c r="G58" i="2" s="1"/>
  <c r="H44" i="2"/>
  <c r="H91" i="2" s="1"/>
  <c r="O44" i="2"/>
  <c r="I44" i="2"/>
  <c r="I91" i="2" s="1"/>
  <c r="J46" i="2" l="1"/>
  <c r="J91" i="2"/>
  <c r="O46" i="2"/>
  <c r="O91" i="2"/>
  <c r="O92" i="2" s="1"/>
  <c r="H58" i="2"/>
  <c r="H46" i="2"/>
  <c r="H92" i="2"/>
  <c r="N92" i="2"/>
  <c r="L92" i="2"/>
  <c r="I92" i="2"/>
  <c r="M92" i="2"/>
  <c r="M46" i="2"/>
  <c r="I46" i="2"/>
  <c r="I58" i="2"/>
  <c r="I59" i="2" s="1"/>
  <c r="L58" i="2"/>
  <c r="L62" i="2" s="1"/>
  <c r="L64" i="2" s="1"/>
  <c r="L46" i="2"/>
  <c r="G46" i="2"/>
  <c r="N46" i="2"/>
  <c r="K58" i="2"/>
  <c r="K59" i="2" s="1"/>
  <c r="F46" i="2"/>
  <c r="N58" i="2"/>
  <c r="N62" i="2" s="1"/>
  <c r="N64" i="2" s="1"/>
  <c r="M58" i="2"/>
  <c r="M59" i="2" s="1"/>
  <c r="K46" i="2"/>
  <c r="J58" i="2"/>
  <c r="F59" i="2"/>
  <c r="F62" i="2"/>
  <c r="F64" i="2" s="1"/>
  <c r="G62" i="2"/>
  <c r="G64" i="2" s="1"/>
  <c r="G59" i="2"/>
  <c r="H59" i="2"/>
  <c r="H62" i="2"/>
  <c r="H64" i="2" s="1"/>
  <c r="I62" i="2" l="1"/>
  <c r="I64" i="2" s="1"/>
  <c r="L59" i="2"/>
  <c r="N59" i="2"/>
  <c r="K62" i="2"/>
  <c r="K64" i="2" s="1"/>
  <c r="M62" i="2"/>
  <c r="M64" i="2" s="1"/>
  <c r="K92" i="2"/>
  <c r="J92" i="2"/>
  <c r="J59" i="2"/>
  <c r="I63" i="2"/>
  <c r="I96" i="2" s="1"/>
  <c r="J62" i="2"/>
  <c r="J64" i="2" s="1"/>
  <c r="M75" i="2"/>
  <c r="M76" i="2" s="1"/>
  <c r="N75" i="2"/>
  <c r="N76" i="2" s="1"/>
  <c r="L63" i="2"/>
  <c r="H63" i="2"/>
  <c r="H96" i="2" s="1"/>
  <c r="N63" i="2"/>
  <c r="N95" i="2" s="1"/>
  <c r="F63" i="2"/>
  <c r="G63" i="2"/>
  <c r="M63" i="2" l="1"/>
  <c r="M95" i="2" s="1"/>
  <c r="K63" i="2"/>
  <c r="K95" i="2" s="1"/>
  <c r="I95" i="2"/>
  <c r="I97" i="2"/>
  <c r="N96" i="2"/>
  <c r="N97" i="2" s="1"/>
  <c r="L95" i="2"/>
  <c r="L96" i="2"/>
  <c r="L97" i="2" s="1"/>
  <c r="K96" i="2"/>
  <c r="K97" i="2" s="1"/>
  <c r="M96" i="2"/>
  <c r="M97" i="2" s="1"/>
  <c r="H95" i="2"/>
  <c r="H97" i="2"/>
  <c r="J63" i="2"/>
  <c r="J96" i="2" s="1"/>
  <c r="J95" i="2" l="1"/>
  <c r="J97" i="2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N172" i="1" l="1"/>
  <c r="J38" i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l="1"/>
  <c r="L75" i="2"/>
  <c r="L76" i="2" s="1"/>
  <c r="F299" i="1"/>
  <c r="F298" i="1"/>
  <c r="F301" i="1" s="1"/>
  <c r="C299" i="1"/>
  <c r="C298" i="1"/>
  <c r="E299" i="1"/>
  <c r="E298" i="1"/>
  <c r="E301" i="1" s="1"/>
  <c r="D299" i="1"/>
  <c r="D298" i="1"/>
  <c r="D301" i="1" s="1"/>
  <c r="I277" i="1"/>
  <c r="J276" i="1"/>
  <c r="I276" i="1"/>
  <c r="H277" i="1"/>
  <c r="H276" i="1"/>
  <c r="J277" i="1"/>
  <c r="G276" i="1"/>
  <c r="K276" i="1"/>
  <c r="D282" i="1" s="1"/>
  <c r="K277" i="1"/>
  <c r="G277" i="1"/>
  <c r="L276" i="1"/>
  <c r="G282" i="1" s="1"/>
  <c r="L277" i="1"/>
  <c r="M277" i="1"/>
  <c r="H283" i="1" s="1"/>
  <c r="M276" i="1"/>
  <c r="H282" i="1" s="1"/>
  <c r="H74" i="2" l="1"/>
  <c r="H75" i="2"/>
  <c r="H76" i="2" s="1"/>
  <c r="I74" i="2"/>
  <c r="K74" i="2"/>
  <c r="K75" i="2"/>
  <c r="K76" i="2" s="1"/>
  <c r="I75" i="2"/>
  <c r="I76" i="2" s="1"/>
  <c r="J75" i="2"/>
  <c r="J76" i="2" s="1"/>
  <c r="J74" i="2"/>
  <c r="K80" i="2"/>
  <c r="K81" i="2" s="1"/>
  <c r="H80" i="2"/>
  <c r="H81" i="2" s="1"/>
  <c r="H79" i="2"/>
  <c r="I79" i="2"/>
  <c r="I80" i="2"/>
  <c r="I81" i="2" s="1"/>
  <c r="K79" i="2"/>
  <c r="J79" i="2"/>
  <c r="J80" i="2"/>
  <c r="J81" i="2" s="1"/>
  <c r="G283" i="1"/>
  <c r="D308" i="1"/>
  <c r="D307" i="1"/>
  <c r="G74" i="2"/>
  <c r="G75" i="2"/>
  <c r="G76" i="2" s="1"/>
  <c r="G80" i="2"/>
  <c r="G81" i="2" s="1"/>
  <c r="G79" i="2"/>
  <c r="C301" i="1"/>
  <c r="F74" i="2"/>
  <c r="F75" i="2"/>
  <c r="F76" i="2" s="1"/>
  <c r="F79" i="2"/>
  <c r="F80" i="2"/>
  <c r="F81" i="2" s="1"/>
  <c r="C283" i="1"/>
  <c r="C307" i="1"/>
  <c r="D283" i="1"/>
  <c r="E283" i="1" s="1"/>
  <c r="M74" i="2"/>
  <c r="L74" i="2"/>
  <c r="N74" i="2"/>
  <c r="N80" i="2"/>
  <c r="N81" i="2" s="1"/>
  <c r="N79" i="2"/>
  <c r="M79" i="2"/>
  <c r="L80" i="2"/>
  <c r="L81" i="2" s="1"/>
  <c r="L79" i="2"/>
  <c r="M80" i="2"/>
  <c r="M81" i="2" s="1"/>
  <c r="C282" i="1"/>
  <c r="C308" i="1"/>
  <c r="I282" i="1"/>
  <c r="G284" i="1"/>
  <c r="E282" i="1"/>
  <c r="C284" i="1"/>
  <c r="I284" i="1"/>
  <c r="I283" i="1"/>
  <c r="H284" i="1"/>
  <c r="E29" i="4"/>
  <c r="E30" i="4" s="1"/>
  <c r="D284" i="1" l="1"/>
  <c r="E284" i="1"/>
</calcChain>
</file>

<file path=xl/sharedStrings.xml><?xml version="1.0" encoding="utf-8"?>
<sst xmlns="http://schemas.openxmlformats.org/spreadsheetml/2006/main" count="493" uniqueCount="351">
  <si>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</si>
  <si>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</si>
  <si>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</si>
  <si>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</si>
  <si>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</si>
  <si>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</si>
  <si>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</si>
  <si>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</si>
  <si>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</si>
  <si>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</si>
  <si>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</si>
  <si>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</si>
  <si>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</si>
  <si>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</si>
  <si>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</si>
  <si>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</si>
  <si>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</si>
  <si>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</si>
  <si>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</si>
  <si>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</si>
  <si>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</si>
  <si>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</si>
  <si>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</si>
  <si>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</si>
  <si>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</si>
  <si>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</si>
  <si>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</si>
  <si>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</si>
  <si>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</si>
  <si>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</si>
  <si>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</si>
  <si>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</si>
  <si>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</si>
  <si>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</si>
  <si>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</si>
  <si>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</si>
  <si>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</si>
  <si>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</si>
  <si>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</si>
  <si>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</si>
  <si>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</si>
  <si>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</si>
  <si>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</si>
  <si>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</si>
  <si>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</si>
  <si>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</si>
  <si>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</si>
  <si>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</si>
  <si>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</si>
  <si>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</si>
  <si>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</si>
  <si>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</si>
  <si>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</si>
  <si>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</si>
  <si>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</si>
  <si>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</si>
  <si>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</si>
  <si>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</si>
  <si>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</si>
  <si>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</si>
  <si>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</si>
  <si>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</si>
  <si>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</si>
  <si>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</si>
  <si>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</si>
  <si>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</si>
  <si>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</si>
  <si>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</si>
  <si>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</si>
  <si>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</si>
  <si>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</si>
  <si>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</si>
  <si>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</si>
  <si>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</si>
  <si>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</si>
  <si>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</si>
  <si>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</si>
  <si>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</si>
  <si>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</si>
  <si>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</si>
  <si>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</si>
  <si>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</si>
  <si>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</si>
  <si>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</si>
  <si>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</si>
  <si>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</si>
  <si>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</si>
  <si>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</si>
  <si>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</si>
  <si>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</si>
  <si>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</si>
  <si>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</si>
  <si>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</si>
  <si>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</si>
  <si>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</si>
  <si>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</si>
  <si>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</si>
  <si>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</si>
  <si>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</si>
  <si>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</si>
  <si>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</si>
  <si>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</si>
  <si>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</si>
  <si>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</si>
  <si>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</si>
  <si>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</si>
  <si>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</si>
  <si>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</si>
  <si>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</si>
  <si>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</si>
  <si>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</si>
  <si>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</si>
  <si>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</si>
  <si>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</si>
  <si>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</si>
  <si>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</si>
  <si>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</si>
  <si>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</si>
  <si>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</si>
  <si>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</si>
  <si>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</si>
  <si>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</si>
  <si>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</si>
  <si>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</si>
  <si>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</si>
  <si>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</si>
  <si>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</si>
  <si>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</si>
  <si>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</si>
  <si>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</si>
  <si>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</si>
  <si>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</si>
  <si>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</si>
  <si>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</si>
  <si>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</si>
  <si>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</si>
  <si>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</si>
  <si>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</si>
  <si>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</si>
  <si>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</si>
  <si>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</si>
  <si>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</si>
  <si>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</si>
  <si>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</si>
  <si>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</si>
  <si>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</si>
  <si>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</si>
  <si>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</si>
  <si>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</si>
  <si>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</si>
  <si>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</si>
  <si>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</si>
  <si>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</si>
  <si>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</si>
  <si>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</si>
  <si>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</si>
  <si>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</si>
  <si>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</si>
  <si>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</si>
  <si>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</si>
  <si>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</si>
  <si>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</si>
  <si>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</si>
  <si>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</si>
  <si>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</si>
  <si>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</si>
  <si>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</si>
  <si>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</si>
  <si>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</si>
  <si>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</si>
  <si>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</si>
  <si>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</si>
  <si>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</si>
  <si>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</si>
  <si>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</si>
  <si>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</si>
  <si>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</si>
  <si>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</si>
  <si>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</si>
  <si>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</si>
  <si>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</si>
  <si>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</si>
  <si>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</si>
  <si>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</si>
  <si>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</si>
  <si>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</si>
  <si>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</si>
  <si>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</si>
  <si>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</si>
  <si>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</si>
  <si>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</si>
  <si>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</si>
  <si>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</si>
  <si>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</si>
  <si>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</si>
  <si>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</si>
  <si>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</si>
  <si>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</si>
  <si>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</si>
  <si>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</si>
  <si>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</si>
  <si>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</si>
  <si>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</si>
  <si>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</si>
  <si>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</si>
  <si>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</si>
  <si>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</si>
  <si>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</si>
  <si>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</si>
  <si>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</si>
  <si>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</si>
  <si>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</si>
  <si>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</si>
  <si>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</si>
  <si>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</si>
  <si>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L_fs (dB)</t>
  </si>
  <si>
    <t>L_atmos (dB)</t>
  </si>
  <si>
    <t>T (K)</t>
  </si>
  <si>
    <t>C/N (dB) DVB-S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</si>
  <si>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</si>
  <si>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</si>
  <si>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</si>
  <si>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</si>
  <si>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</si>
  <si>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</si>
  <si>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</si>
  <si>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</si>
  <si>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</si>
  <si>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</si>
  <si>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</si>
  <si>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</si>
  <si>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</si>
  <si>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</si>
  <si>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</si>
  <si>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</si>
  <si>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</si>
  <si>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</si>
  <si>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</si>
  <si>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</si>
  <si>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</si>
  <si>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</si>
  <si>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</si>
  <si>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</si>
  <si>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</si>
  <si>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</si>
  <si>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</si>
  <si>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</si>
  <si>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</si>
  <si>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</si>
  <si>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</si>
  <si>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</si>
  <si>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</si>
  <si>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</si>
  <si>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</si>
  <si>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</si>
  <si>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</si>
  <si>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</si>
  <si>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</si>
  <si>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</si>
  <si>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</si>
  <si>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</si>
  <si>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</si>
  <si>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</si>
  <si>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</si>
  <si>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</si>
  <si>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</si>
  <si>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</si>
  <si>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</si>
  <si>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</si>
  <si>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</si>
  <si>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</si>
  <si>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</si>
  <si>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</si>
  <si>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</si>
  <si>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</si>
  <si>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</si>
  <si>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</si>
  <si>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</si>
  <si>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</si>
  <si>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</si>
  <si>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</si>
  <si>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</si>
  <si>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</si>
  <si>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</si>
  <si>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</si>
  <si>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</si>
  <si>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</si>
  <si>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</si>
  <si>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</si>
  <si>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</si>
  <si>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</si>
  <si>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</si>
  <si>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</si>
  <si>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</si>
  <si>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</si>
  <si>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</si>
  <si>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</si>
  <si>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</si>
  <si>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</si>
  <si>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</si>
  <si>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</si>
  <si>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</si>
  <si>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</si>
  <si>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</si>
  <si>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</si>
  <si>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</si>
  <si>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</si>
  <si>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</si>
  <si>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</si>
  <si>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</si>
  <si>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Torre Serie 180</t>
  </si>
  <si>
    <t>Tramo superior</t>
  </si>
  <si>
    <t>Mástil</t>
  </si>
  <si>
    <t>EJEMPLO PDF</t>
  </si>
  <si>
    <t>grosor_mastil (m)</t>
  </si>
  <si>
    <t>Area efectiva viento(m2)</t>
  </si>
  <si>
    <t>Momento antena (Nm)</t>
  </si>
  <si>
    <t>carga_viento (N)</t>
  </si>
  <si>
    <t>https://www.televes.com/es/g-041-base-fija-de-atornillar-empotrar.html</t>
  </si>
  <si>
    <t>https://www.televes.com/es/3032-tramo-superior-zinc-rpr.html</t>
  </si>
  <si>
    <t>https://www.televes.com/es/3010-mastil-3m-x-o-45mm-x-espesor-2mm.html</t>
  </si>
  <si>
    <t>Pin (dBW)</t>
  </si>
  <si>
    <t>Vin (uV)</t>
  </si>
  <si>
    <t>Vin_log (dBuV)</t>
  </si>
  <si>
    <t>D (m)</t>
  </si>
  <si>
    <t>Prx (dBW)</t>
  </si>
  <si>
    <t>C/N (dB)</t>
  </si>
  <si>
    <t>G_IF (dB)</t>
  </si>
  <si>
    <t>Momentos antenas (Nm)</t>
  </si>
  <si>
    <t>Ma&gt;Mtotal-Mmastil</t>
  </si>
  <si>
    <t>Ma&lt;Mtotal-Mmastil</t>
  </si>
  <si>
    <t>MOMENTO FLECTOR  MASTIL</t>
  </si>
  <si>
    <t>AREA EFECTIVA EN TORRE-MASTIL</t>
  </si>
  <si>
    <t>Gain dish antenna(dB)</t>
  </si>
  <si>
    <t>Temp (K)</t>
  </si>
  <si>
    <t>Margin (dB)</t>
  </si>
  <si>
    <t>EIRP (dBW)</t>
  </si>
  <si>
    <t>MOMENTO FLECTOR TORRETA-MASTIL*</t>
  </si>
  <si>
    <t>F_horizontal</t>
  </si>
  <si>
    <t>F_vertical</t>
  </si>
  <si>
    <t>Distancia_suelo_cargas (m)</t>
  </si>
  <si>
    <t>Momento_antenas (Nm)</t>
  </si>
  <si>
    <t>Momento_mastil (Nm)</t>
  </si>
  <si>
    <t>Momento_total (Nm)</t>
  </si>
  <si>
    <t>Inecuacion (Nm)</t>
  </si>
  <si>
    <t>Fuerzas laterales (N)</t>
  </si>
  <si>
    <t>Fuerzas verticales (N)</t>
  </si>
  <si>
    <t>CALCULATION OF AMPLITUDE-FREQUENCY RESPONSE AND RIPPLE</t>
  </si>
  <si>
    <t>Planicity of the dispersion + interior network (worst outlet)</t>
  </si>
  <si>
    <t>Planicity of the distribution network (worst outlet)</t>
  </si>
  <si>
    <t>Total cable ripple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</si>
</sst>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4" fontId="0" fillId="9" borderId="31" xfId="0" applyNumberFormat="1" applyFill="1" applyBorder="1"/>
    <xf numFmtId="164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Border="1"/>
    <xf numFmtId="0" fontId="0" fillId="9" borderId="51" xfId="0" applyFill="1" applyBorder="1"/>
    <xf numFmtId="2" fontId="1" fillId="9" borderId="8" xfId="0" applyNumberFormat="1" applyFont="1" applyFill="1" applyBorder="1"/>
    <xf numFmtId="2" fontId="1" fillId="0" borderId="0" xfId="0" applyNumberFormat="1" applyFont="1"/>
    <xf numFmtId="0" fontId="0" fillId="0" borderId="53" xfId="0" applyBorder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1" fontId="0" fillId="0" borderId="0" xfId="0" applyNumberFormat="1"/>
    <xf numFmtId="164" fontId="0" fillId="12" borderId="4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0" fillId="0" borderId="55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21" borderId="56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0" fillId="22" borderId="0" xfId="0" applyFont="1" applyFill="1"/>
    <xf numFmtId="0" fontId="0" fillId="0" borderId="54" xfId="0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4"/>
  <sheetViews>
    <sheetView tabSelected="1" topLeftCell="A291" zoomScale="90" zoomScaleNormal="90" workbookViewId="0">
      <selection activeCell="A315" sqref="A315"/>
    </sheetView>
  </sheetViews>
  <sheetFormatPr baseColWidth="10" defaultRowHeight="14.4" x14ac:dyDescent="0.3"/>
  <cols>
    <col min="1" max="1" width="59.77734375" customWidth="1"/>
    <col min="2" max="2" width="16.109375" customWidth="1"/>
    <col min="3" max="3" width="21.33203125" customWidth="1"/>
    <col min="4" max="4" width="16.5546875" customWidth="1"/>
    <col min="5" max="5" width="14.5546875" customWidth="1"/>
    <col min="7" max="7" width="12.6640625" customWidth="1"/>
    <col min="14" max="14" width="15.33203125" customWidth="1"/>
  </cols>
  <sheetData>
    <row r="1" spans="1:15" ht="15" thickBot="1" x14ac:dyDescent="0.35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">
      <c r="A2" s="1" t="s">
        <v>0</v>
      </c>
      <c r="B2" s="1"/>
      <c r="C2" s="1"/>
      <c r="D2" s="1"/>
      <c r="E2" s="1"/>
    </row>
    <row r="3" spans="1:15" ht="15" thickBot="1" x14ac:dyDescent="0.35"/>
    <row r="4" spans="1:15" ht="15" thickBot="1" x14ac:dyDescent="0.35">
      <c r="A4" s="15" t="s">
        <v>2</v>
      </c>
    </row>
    <row r="5" spans="1:15" x14ac:dyDescent="0.3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35"/>
    <row r="10" spans="1:15" ht="15" thickBot="1" x14ac:dyDescent="0.35">
      <c r="A10" s="17" t="s">
        <v>7</v>
      </c>
      <c r="C10" s="18" t="s">
        <v>8</v>
      </c>
      <c r="D10" s="18" t="s">
        <v>9</v>
      </c>
    </row>
    <row r="11" spans="1:15" x14ac:dyDescent="0.3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">
      <c r="A12" s="9" t="s">
        <v>74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">
      <c r="A14" s="9" t="s">
        <v>65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35"/>
    <row r="16" spans="1:15" ht="15" thickBot="1" x14ac:dyDescent="0.35">
      <c r="A16" s="28" t="s">
        <v>28</v>
      </c>
      <c r="B16" s="29"/>
      <c r="C16" s="30"/>
    </row>
    <row r="17" spans="1:15" ht="15" thickBot="1" x14ac:dyDescent="0.35"/>
    <row r="18" spans="1:15" ht="16.2" thickBot="1" x14ac:dyDescent="0.35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200</v>
      </c>
      <c r="I18" s="8" t="s">
        <v>201</v>
      </c>
      <c r="J18" s="8" t="s">
        <v>202</v>
      </c>
      <c r="K18" s="84" t="s">
        <v>60</v>
      </c>
      <c r="L18" s="86" t="s">
        <v>75</v>
      </c>
      <c r="M18" s="87" t="s">
        <v>76</v>
      </c>
    </row>
    <row r="19" spans="1:15" ht="15" thickBot="1" x14ac:dyDescent="0.35">
      <c r="A19" s="54" t="s">
        <v>159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35">
      <c r="A20" s="55" t="s">
        <v>158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35">
      <c r="A21" s="55" t="s">
        <v>157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35">
      <c r="A22" s="55" t="s">
        <v>187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35">
      <c r="A23" s="56" t="s">
        <v>156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35">
      <c r="A24" s="52"/>
      <c r="N24" s="91"/>
      <c r="O24" s="91"/>
    </row>
    <row r="25" spans="1:15" ht="15" thickBot="1" x14ac:dyDescent="0.35">
      <c r="A25" s="54" t="s">
        <v>155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35">
      <c r="A26" s="55" t="s">
        <v>154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35">
      <c r="A27" s="55" t="s">
        <v>153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35">
      <c r="A28" s="55" t="s">
        <v>188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35">
      <c r="A29" s="56" t="s">
        <v>152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35">
      <c r="A30" s="52"/>
      <c r="N30" s="91"/>
      <c r="O30" s="91"/>
    </row>
    <row r="31" spans="1:15" ht="15" thickBot="1" x14ac:dyDescent="0.35">
      <c r="A31" s="54" t="s">
        <v>127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35">
      <c r="A32" s="55" t="s">
        <v>126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35">
      <c r="A33" s="55" t="s">
        <v>125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35">
      <c r="A34" s="55" t="s">
        <v>124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35">
      <c r="A35" s="55" t="s">
        <v>194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35">
      <c r="A36" s="56" t="s">
        <v>123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35">
      <c r="A37" s="52"/>
      <c r="N37" s="91"/>
      <c r="O37" s="91"/>
    </row>
    <row r="38" spans="1:15" ht="15" thickBot="1" x14ac:dyDescent="0.35">
      <c r="A38" s="54" t="s">
        <v>122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35">
      <c r="A39" s="55" t="s">
        <v>121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35">
      <c r="A40" s="55" t="s">
        <v>120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35">
      <c r="A41" s="55" t="s">
        <v>119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35">
      <c r="A42" s="55" t="s">
        <v>194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35">
      <c r="A43" s="56" t="s">
        <v>118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35">
      <c r="A44" s="52"/>
      <c r="N44" s="91"/>
      <c r="O44" s="91"/>
    </row>
    <row r="45" spans="1:15" ht="15" thickBot="1" x14ac:dyDescent="0.35">
      <c r="A45" s="54" t="s">
        <v>151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35">
      <c r="A46" s="55" t="s">
        <v>150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35">
      <c r="A47" s="55" t="s">
        <v>149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35">
      <c r="A48" s="55" t="s">
        <v>189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35">
      <c r="A49" s="56" t="s">
        <v>148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35">
      <c r="A50" s="52"/>
      <c r="N50" s="91"/>
      <c r="O50" s="91"/>
    </row>
    <row r="51" spans="1:15" ht="15" thickBot="1" x14ac:dyDescent="0.35">
      <c r="A51" s="54" t="s">
        <v>147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35">
      <c r="A52" s="55" t="s">
        <v>146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35">
      <c r="A53" s="55" t="s">
        <v>145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35">
      <c r="A54" s="55" t="s">
        <v>190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35">
      <c r="A55" s="56" t="s">
        <v>144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35">
      <c r="A56" s="52"/>
      <c r="N56" s="91"/>
      <c r="O56" s="91"/>
    </row>
    <row r="57" spans="1:15" ht="15" thickBot="1" x14ac:dyDescent="0.35">
      <c r="A57" s="54" t="s">
        <v>117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35">
      <c r="A58" s="55" t="s">
        <v>116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35">
      <c r="A59" s="55" t="s">
        <v>115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35">
      <c r="A60" s="55" t="s">
        <v>114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35">
      <c r="A61" s="55" t="s">
        <v>195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35">
      <c r="A62" s="56" t="s">
        <v>113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35">
      <c r="A63" s="52"/>
      <c r="N63" s="91"/>
      <c r="O63" s="91"/>
    </row>
    <row r="64" spans="1:15" ht="15" thickBot="1" x14ac:dyDescent="0.35">
      <c r="A64" s="54" t="s">
        <v>112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35">
      <c r="A65" s="55" t="s">
        <v>111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35">
      <c r="A66" s="55" t="s">
        <v>110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35">
      <c r="A67" s="55" t="s">
        <v>109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35">
      <c r="A68" s="55" t="s">
        <v>194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35">
      <c r="A69" s="56" t="s">
        <v>108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35">
      <c r="A70" s="52"/>
      <c r="N70" s="91"/>
      <c r="O70" s="91"/>
    </row>
    <row r="71" spans="1:15" ht="15" thickBot="1" x14ac:dyDescent="0.35">
      <c r="A71" s="54" t="s">
        <v>143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35">
      <c r="A72" s="55" t="s">
        <v>142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35">
      <c r="A73" s="55" t="s">
        <v>141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35">
      <c r="A74" s="55" t="s">
        <v>140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35">
      <c r="A75" s="56" t="s">
        <v>139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35">
      <c r="A76" s="52"/>
      <c r="N76" s="91"/>
      <c r="O76" s="91"/>
    </row>
    <row r="77" spans="1:15" ht="15" thickBot="1" x14ac:dyDescent="0.35">
      <c r="A77" s="54" t="s">
        <v>138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35">
      <c r="A78" s="55" t="s">
        <v>137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35">
      <c r="A79" s="55" t="s">
        <v>136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35">
      <c r="A80" s="55" t="s">
        <v>191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35">
      <c r="A81" s="56" t="s">
        <v>135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35">
      <c r="A82" s="52"/>
      <c r="N82" s="91"/>
      <c r="O82" s="91"/>
    </row>
    <row r="83" spans="1:15" ht="15" thickBot="1" x14ac:dyDescent="0.35">
      <c r="A83" s="54" t="s">
        <v>107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35">
      <c r="A84" s="55" t="s">
        <v>106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35">
      <c r="A85" s="55" t="s">
        <v>105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35">
      <c r="A86" s="55" t="s">
        <v>104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35">
      <c r="A87" s="55" t="s">
        <v>196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35">
      <c r="A88" s="56" t="s">
        <v>103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35">
      <c r="A90" s="54" t="s">
        <v>102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35">
      <c r="A91" s="55" t="s">
        <v>101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35">
      <c r="A92" s="55" t="s">
        <v>100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35">
      <c r="A93" s="55" t="s">
        <v>99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35">
      <c r="A94" s="55" t="s">
        <v>196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35">
      <c r="A95" s="56" t="s">
        <v>98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35">
      <c r="N96" s="92"/>
      <c r="O96" s="92"/>
    </row>
    <row r="97" spans="1:15" s="52" customFormat="1" ht="15" thickBot="1" x14ac:dyDescent="0.35">
      <c r="A97" s="54" t="s">
        <v>134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35">
      <c r="A98" s="55" t="s">
        <v>133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35">
      <c r="A99" s="55" t="s">
        <v>132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35">
      <c r="A100" s="55" t="s">
        <v>192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35">
      <c r="A101" s="56" t="s">
        <v>131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35">
      <c r="N102" s="92"/>
      <c r="O102" s="92"/>
    </row>
    <row r="103" spans="1:15" s="52" customFormat="1" ht="15" thickBot="1" x14ac:dyDescent="0.35">
      <c r="A103" s="54" t="s">
        <v>130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35">
      <c r="A104" s="55" t="s">
        <v>129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35">
      <c r="A105" s="55" t="s">
        <v>128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35">
      <c r="A106" s="55" t="s">
        <v>193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35">
      <c r="A107" s="56" t="s">
        <v>97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35">
      <c r="N108" s="92"/>
      <c r="O108" s="92"/>
    </row>
    <row r="109" spans="1:15" s="52" customFormat="1" ht="15" thickBot="1" x14ac:dyDescent="0.35">
      <c r="A109" s="54" t="s">
        <v>96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35">
      <c r="A110" s="55" t="s">
        <v>95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35">
      <c r="A111" s="55" t="s">
        <v>94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35">
      <c r="A112" s="55" t="s">
        <v>93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35">
      <c r="A113" s="55" t="s">
        <v>197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35">
      <c r="A114" s="56" t="s">
        <v>92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35">
      <c r="N115" s="92"/>
      <c r="O115" s="92"/>
    </row>
    <row r="116" spans="1:15" s="52" customFormat="1" ht="15" thickBot="1" x14ac:dyDescent="0.35">
      <c r="A116" s="54" t="s">
        <v>91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35">
      <c r="A117" s="55" t="s">
        <v>90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35">
      <c r="A118" s="55" t="s">
        <v>89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35">
      <c r="A119" s="55" t="s">
        <v>88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35">
      <c r="A120" s="55" t="s">
        <v>197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35">
      <c r="A121" s="56" t="s">
        <v>87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35">
      <c r="N122" s="92"/>
      <c r="O122" s="92"/>
    </row>
    <row r="123" spans="1:15" s="52" customFormat="1" ht="15" thickBot="1" x14ac:dyDescent="0.35">
      <c r="A123" s="54" t="s">
        <v>62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35">
      <c r="A124" s="55" t="s">
        <v>63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35">
      <c r="A125" s="56" t="s">
        <v>64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35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35"/>
    <row r="145" spans="1:15" ht="15" thickBot="1" x14ac:dyDescent="0.35">
      <c r="A145" s="12" t="s">
        <v>15</v>
      </c>
      <c r="C145" s="11" t="s">
        <v>18</v>
      </c>
    </row>
    <row r="146" spans="1:15" ht="15" thickBot="1" x14ac:dyDescent="0.35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35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35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35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35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35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35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35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35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35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35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35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35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35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35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35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35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35"/>
    <row r="166" spans="1:15" ht="15" thickBot="1" x14ac:dyDescent="0.35">
      <c r="A166" s="13" t="s">
        <v>19</v>
      </c>
      <c r="G166" s="77" t="s">
        <v>59</v>
      </c>
      <c r="H166" s="77" t="s">
        <v>200</v>
      </c>
      <c r="I166" s="77" t="s">
        <v>201</v>
      </c>
      <c r="J166" s="77" t="s">
        <v>202</v>
      </c>
      <c r="K166" s="8" t="s">
        <v>60</v>
      </c>
      <c r="L166" s="8" t="s">
        <v>75</v>
      </c>
      <c r="M166" s="85" t="s">
        <v>76</v>
      </c>
      <c r="N166" s="18" t="s">
        <v>8</v>
      </c>
      <c r="O166" s="18" t="s">
        <v>9</v>
      </c>
    </row>
    <row r="167" spans="1:15" ht="15" thickBot="1" x14ac:dyDescent="0.35">
      <c r="A167" s="54" t="s">
        <v>86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35">
      <c r="A168" s="55" t="s">
        <v>85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M169" si="132">SUM(K$161:K$162)+K$160+K124</f>
        <v>48.921999999999997</v>
      </c>
      <c r="L168" s="111">
        <f t="shared" si="132"/>
        <v>52.695</v>
      </c>
      <c r="M168" s="113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35">
      <c r="A169" s="56" t="s">
        <v>84</v>
      </c>
      <c r="G169" s="112">
        <f>SUM(G161:G162)+G160+G125</f>
        <v>43.888999999999996</v>
      </c>
      <c r="H169" s="112">
        <f t="shared" ref="H169" si="133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2"/>
        <v>49.510000000000005</v>
      </c>
      <c r="L169" s="112">
        <f t="shared" si="132"/>
        <v>53.325000000000003</v>
      </c>
      <c r="M169" s="110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35"/>
    <row r="171" spans="1:15" ht="15" thickBot="1" x14ac:dyDescent="0.35">
      <c r="A171" s="54" t="s">
        <v>159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35">
      <c r="A172" s="55" t="s">
        <v>158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35">
      <c r="A173" s="55" t="s">
        <v>157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35">
      <c r="A174" s="55" t="s">
        <v>160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35">
      <c r="A175" s="56" t="s">
        <v>156</v>
      </c>
      <c r="G175" s="63">
        <f t="shared" ref="G175" si="138">SUM(G$161:G$162)+G$159+G$158+G$157+$G23</f>
        <v>35.997999999999998</v>
      </c>
      <c r="H175" s="63">
        <f t="shared" si="136"/>
        <v>36.094000000000001</v>
      </c>
      <c r="I175" s="63">
        <f>SUM(I$161:I$162)+I$159+I$158+I$157+$I23</f>
        <v>37.36</v>
      </c>
      <c r="J175" s="63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35">
      <c r="A176" s="52"/>
    </row>
    <row r="177" spans="1:15" ht="15" thickBot="1" x14ac:dyDescent="0.35">
      <c r="A177" s="54" t="s">
        <v>155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35">
      <c r="A178" s="55" t="s">
        <v>154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35">
      <c r="A179" s="55" t="s">
        <v>153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35">
      <c r="A180" s="55" t="s">
        <v>161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35">
      <c r="A181" s="56" t="s">
        <v>152</v>
      </c>
      <c r="G181" s="63">
        <f t="shared" si="144"/>
        <v>35.997999999999998</v>
      </c>
      <c r="H181" s="63">
        <f t="shared" si="145"/>
        <v>36.478000000000002</v>
      </c>
      <c r="I181" s="63">
        <f t="shared" si="139"/>
        <v>37.36</v>
      </c>
      <c r="J181" s="63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35">
      <c r="A182" s="52"/>
    </row>
    <row r="183" spans="1:15" ht="15" thickBot="1" x14ac:dyDescent="0.35">
      <c r="A183" s="54" t="s">
        <v>127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" thickBot="1" x14ac:dyDescent="0.35">
      <c r="A184" s="55" t="s">
        <v>126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" thickBot="1" x14ac:dyDescent="0.35">
      <c r="A185" s="55" t="s">
        <v>125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" thickBot="1" x14ac:dyDescent="0.35">
      <c r="A186" s="55" t="s">
        <v>124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" thickBot="1" x14ac:dyDescent="0.35">
      <c r="A187" s="55" t="s">
        <v>162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" thickBot="1" x14ac:dyDescent="0.35">
      <c r="A188" s="56" t="s">
        <v>123</v>
      </c>
      <c r="G188" s="63">
        <f t="shared" si="148"/>
        <v>37.311999999999998</v>
      </c>
      <c r="H188" s="63">
        <f t="shared" si="149"/>
        <v>37.567999999999998</v>
      </c>
      <c r="I188" s="63">
        <f t="shared" si="150"/>
        <v>38.03</v>
      </c>
      <c r="J188" s="63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" thickBot="1" x14ac:dyDescent="0.35">
      <c r="A189" s="52"/>
    </row>
    <row r="190" spans="1:15" ht="15" thickBot="1" x14ac:dyDescent="0.35">
      <c r="A190" s="54" t="s">
        <v>122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" thickBot="1" x14ac:dyDescent="0.35">
      <c r="A191" s="55" t="s">
        <v>121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" thickBot="1" x14ac:dyDescent="0.35">
      <c r="A192" s="55" t="s">
        <v>120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" thickBot="1" x14ac:dyDescent="0.35">
      <c r="A193" s="55" t="s">
        <v>119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" thickBot="1" x14ac:dyDescent="0.35">
      <c r="A194" s="55" t="s">
        <v>162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" thickBot="1" x14ac:dyDescent="0.35">
      <c r="A195" s="56" t="s">
        <v>118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" thickBot="1" x14ac:dyDescent="0.35">
      <c r="A196" s="52"/>
    </row>
    <row r="197" spans="1:15" ht="15" thickBot="1" x14ac:dyDescent="0.35">
      <c r="A197" s="54" t="s">
        <v>151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35">
      <c r="A198" s="55" t="s">
        <v>150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35">
      <c r="A199" s="55" t="s">
        <v>149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35">
      <c r="A200" s="55" t="s">
        <v>163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35">
      <c r="A201" s="56" t="s">
        <v>148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35">
      <c r="A202" s="52"/>
    </row>
    <row r="203" spans="1:15" ht="15" thickBot="1" x14ac:dyDescent="0.35">
      <c r="A203" s="54" t="s">
        <v>147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35">
      <c r="A204" s="55" t="s">
        <v>146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35">
      <c r="A205" s="55" t="s">
        <v>145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35">
      <c r="A206" s="55" t="s">
        <v>164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35">
      <c r="A207" s="56" t="s">
        <v>144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35">
      <c r="A208" s="52"/>
    </row>
    <row r="209" spans="1:15" ht="15" thickBot="1" x14ac:dyDescent="0.35">
      <c r="A209" s="54" t="s">
        <v>117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" thickBot="1" x14ac:dyDescent="0.35">
      <c r="A210" s="55" t="s">
        <v>116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" thickBot="1" x14ac:dyDescent="0.35">
      <c r="A211" s="55" t="s">
        <v>115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" thickBot="1" x14ac:dyDescent="0.35">
      <c r="A212" s="55" t="s">
        <v>114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" thickBot="1" x14ac:dyDescent="0.35">
      <c r="A213" s="55" t="s">
        <v>165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" thickBot="1" x14ac:dyDescent="0.35">
      <c r="A214" s="56" t="s">
        <v>113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" thickBot="1" x14ac:dyDescent="0.35">
      <c r="A215" s="52"/>
    </row>
    <row r="216" spans="1:15" ht="15" thickBot="1" x14ac:dyDescent="0.35">
      <c r="A216" s="54" t="s">
        <v>112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" thickBot="1" x14ac:dyDescent="0.35">
      <c r="A217" s="55" t="s">
        <v>111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" thickBot="1" x14ac:dyDescent="0.35">
      <c r="A218" s="55" t="s">
        <v>110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" thickBot="1" x14ac:dyDescent="0.35">
      <c r="A219" s="55" t="s">
        <v>109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" thickBot="1" x14ac:dyDescent="0.35">
      <c r="A220" s="55" t="s">
        <v>165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" thickBot="1" x14ac:dyDescent="0.35">
      <c r="A221" s="56" t="s">
        <v>108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" thickBot="1" x14ac:dyDescent="0.35">
      <c r="A222" s="52"/>
    </row>
    <row r="223" spans="1:15" ht="15" thickBot="1" x14ac:dyDescent="0.35">
      <c r="A223" s="54" t="s">
        <v>143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35">
      <c r="A224" s="55" t="s">
        <v>142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35">
      <c r="A225" s="55" t="s">
        <v>141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35">
      <c r="A226" s="55" t="s">
        <v>140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35">
      <c r="A227" s="56" t="s">
        <v>139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35">
      <c r="A228" s="52"/>
    </row>
    <row r="229" spans="1:15" ht="15" thickBot="1" x14ac:dyDescent="0.35">
      <c r="A229" s="54" t="s">
        <v>138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35">
      <c r="A230" s="55" t="s">
        <v>137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35">
      <c r="A231" s="55" t="s">
        <v>136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35">
      <c r="A232" s="55" t="s">
        <v>166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35">
      <c r="A233" s="56" t="s">
        <v>135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35">
      <c r="A234" s="52"/>
    </row>
    <row r="235" spans="1:15" ht="15" thickBot="1" x14ac:dyDescent="0.35">
      <c r="A235" s="54" t="s">
        <v>107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" thickBot="1" x14ac:dyDescent="0.35">
      <c r="A236" s="55" t="s">
        <v>106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" thickBot="1" x14ac:dyDescent="0.35">
      <c r="A237" s="55" t="s">
        <v>105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" thickBot="1" x14ac:dyDescent="0.35">
      <c r="A238" s="55" t="s">
        <v>104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" thickBot="1" x14ac:dyDescent="0.35">
      <c r="A239" s="55" t="s">
        <v>167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" thickBot="1" x14ac:dyDescent="0.35">
      <c r="A240" s="56" t="s">
        <v>103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" thickBot="1" x14ac:dyDescent="0.35">
      <c r="A241" s="52"/>
    </row>
    <row r="242" spans="1:15" ht="15" thickBot="1" x14ac:dyDescent="0.35">
      <c r="A242" s="54" t="s">
        <v>102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" thickBot="1" x14ac:dyDescent="0.35">
      <c r="A243" s="55" t="s">
        <v>101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" thickBot="1" x14ac:dyDescent="0.35">
      <c r="A244" s="55" t="s">
        <v>100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" thickBot="1" x14ac:dyDescent="0.35">
      <c r="A245" s="55" t="s">
        <v>99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" thickBot="1" x14ac:dyDescent="0.35">
      <c r="A246" s="55" t="s">
        <v>167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" thickBot="1" x14ac:dyDescent="0.35">
      <c r="A247" s="56" t="s">
        <v>98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" thickBot="1" x14ac:dyDescent="0.35">
      <c r="A248" s="52"/>
    </row>
    <row r="249" spans="1:15" ht="15" thickBot="1" x14ac:dyDescent="0.35">
      <c r="A249" s="54" t="s">
        <v>134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35">
      <c r="A250" s="55" t="s">
        <v>133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35">
      <c r="A251" s="55" t="s">
        <v>132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35">
      <c r="A252" s="55" t="s">
        <v>168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35">
      <c r="A253" s="56" t="s">
        <v>131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35">
      <c r="A254" s="52"/>
    </row>
    <row r="255" spans="1:15" ht="15" thickBot="1" x14ac:dyDescent="0.35">
      <c r="A255" s="54" t="s">
        <v>130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35">
      <c r="A256" s="55" t="s">
        <v>129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35">
      <c r="A257" s="55" t="s">
        <v>128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35">
      <c r="A258" s="55" t="s">
        <v>169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35">
      <c r="A259" s="56" t="s">
        <v>97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35">
      <c r="A260" s="52"/>
    </row>
    <row r="261" spans="1:15" ht="15" thickBot="1" x14ac:dyDescent="0.35">
      <c r="A261" s="54" t="s">
        <v>96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" thickBot="1" x14ac:dyDescent="0.35">
      <c r="A262" s="55" t="s">
        <v>95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" thickBot="1" x14ac:dyDescent="0.35">
      <c r="A263" s="55" t="s">
        <v>94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" thickBot="1" x14ac:dyDescent="0.35">
      <c r="A264" s="55" t="s">
        <v>93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" thickBot="1" x14ac:dyDescent="0.35">
      <c r="A265" s="55" t="s">
        <v>170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" thickBot="1" x14ac:dyDescent="0.35">
      <c r="A266" s="56" t="s">
        <v>92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" thickBot="1" x14ac:dyDescent="0.35">
      <c r="A267" s="52"/>
    </row>
    <row r="268" spans="1:15" ht="15" thickBot="1" x14ac:dyDescent="0.35">
      <c r="A268" s="54" t="s">
        <v>91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" thickBot="1" x14ac:dyDescent="0.35">
      <c r="A269" s="55" t="s">
        <v>90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" thickBot="1" x14ac:dyDescent="0.35">
      <c r="A270" s="55" t="s">
        <v>89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" thickBot="1" x14ac:dyDescent="0.35">
      <c r="A271" s="55" t="s">
        <v>88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" thickBot="1" x14ac:dyDescent="0.35">
      <c r="A272" s="55" t="s">
        <v>170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" thickBot="1" x14ac:dyDescent="0.35">
      <c r="A273" s="56" t="s">
        <v>87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3">
      <c r="A274" s="52"/>
    </row>
    <row r="275" spans="1:15" ht="15" thickBot="1" x14ac:dyDescent="0.35"/>
    <row r="276" spans="1:15" ht="15" thickBot="1" x14ac:dyDescent="0.35">
      <c r="A276" s="54" t="s">
        <v>77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35">
      <c r="A277" s="56" t="s">
        <v>78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35"/>
    <row r="280" spans="1:15" ht="15" thickBot="1" x14ac:dyDescent="0.35">
      <c r="A280" s="80" t="s">
        <v>79</v>
      </c>
      <c r="C280" s="217" t="s">
        <v>198</v>
      </c>
      <c r="D280" s="218"/>
      <c r="E280" s="219"/>
      <c r="G280" s="217" t="s">
        <v>199</v>
      </c>
      <c r="H280" s="218"/>
      <c r="I280" s="219"/>
    </row>
    <row r="281" spans="1:15" ht="15" thickBot="1" x14ac:dyDescent="0.35">
      <c r="A281" s="81" t="s">
        <v>83</v>
      </c>
      <c r="C281" s="117">
        <v>47</v>
      </c>
      <c r="D281" s="104">
        <v>862</v>
      </c>
      <c r="E281" s="116" t="s">
        <v>82</v>
      </c>
      <c r="G281" s="103">
        <v>950</v>
      </c>
      <c r="H281" s="104">
        <v>2150</v>
      </c>
      <c r="I281" s="114" t="s">
        <v>82</v>
      </c>
    </row>
    <row r="282" spans="1:15" ht="15" thickBot="1" x14ac:dyDescent="0.35">
      <c r="A282" s="79" t="s">
        <v>80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35">
      <c r="A283" s="78" t="s">
        <v>81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35">
      <c r="A284" s="78" t="s">
        <v>82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35"/>
    <row r="287" spans="1:15" ht="15" thickBot="1" x14ac:dyDescent="0.35">
      <c r="C287" s="114" t="s">
        <v>224</v>
      </c>
      <c r="D287" s="114" t="s">
        <v>225</v>
      </c>
    </row>
    <row r="288" spans="1:15" ht="15" thickBot="1" x14ac:dyDescent="0.35">
      <c r="A288" s="114" t="s">
        <v>172</v>
      </c>
      <c r="C288" s="115">
        <f>N277</f>
        <v>11.527999999999999</v>
      </c>
      <c r="D288" s="115">
        <f>O277</f>
        <v>10.8</v>
      </c>
    </row>
    <row r="289" spans="1:6" x14ac:dyDescent="0.3">
      <c r="C289" s="83" t="s">
        <v>171</v>
      </c>
      <c r="D289" s="83" t="s">
        <v>171</v>
      </c>
    </row>
    <row r="290" spans="1:6" ht="15" thickBot="1" x14ac:dyDescent="0.35"/>
    <row r="291" spans="1:6" ht="15" thickBot="1" x14ac:dyDescent="0.35">
      <c r="A291" s="114" t="s">
        <v>226</v>
      </c>
    </row>
    <row r="292" spans="1:6" ht="15" thickBot="1" x14ac:dyDescent="0.35">
      <c r="A292" s="78" t="s">
        <v>241</v>
      </c>
    </row>
    <row r="293" spans="1:6" ht="15" thickBot="1" x14ac:dyDescent="0.35">
      <c r="C293" s="127" t="s">
        <v>49</v>
      </c>
      <c r="D293" s="128" t="s">
        <v>50</v>
      </c>
      <c r="E293" s="128" t="s">
        <v>227</v>
      </c>
      <c r="F293" s="129" t="s">
        <v>51</v>
      </c>
    </row>
    <row r="294" spans="1:6" x14ac:dyDescent="0.3">
      <c r="A294" s="124" t="s">
        <v>228</v>
      </c>
      <c r="C294" s="130">
        <v>40</v>
      </c>
      <c r="D294" s="115">
        <v>30</v>
      </c>
      <c r="E294" s="115">
        <v>47</v>
      </c>
      <c r="F294" s="131">
        <v>47</v>
      </c>
    </row>
    <row r="295" spans="1:6" ht="15" thickBot="1" x14ac:dyDescent="0.35">
      <c r="A295" s="125" t="s">
        <v>229</v>
      </c>
      <c r="C295" s="132">
        <v>70</v>
      </c>
      <c r="D295" s="133">
        <v>70</v>
      </c>
      <c r="E295" s="133">
        <v>70</v>
      </c>
      <c r="F295" s="134">
        <v>70</v>
      </c>
    </row>
    <row r="296" spans="1:6" ht="15" thickBot="1" x14ac:dyDescent="0.35"/>
    <row r="297" spans="1:6" ht="15" thickBot="1" x14ac:dyDescent="0.35">
      <c r="A297" s="126" t="s">
        <v>230</v>
      </c>
    </row>
    <row r="298" spans="1:6" x14ac:dyDescent="0.3">
      <c r="A298" s="124" t="s">
        <v>231</v>
      </c>
      <c r="C298" s="135">
        <f>MAX(H167:H273)+C294</f>
        <v>84.808999999999997</v>
      </c>
      <c r="D298" s="136">
        <f>MAX(I167:I273)+D294</f>
        <v>75.03</v>
      </c>
      <c r="E298" s="136">
        <f>MAX(K167:K273)+E294</f>
        <v>96.51</v>
      </c>
      <c r="F298" s="137">
        <f>MAX(M167:M273)+F294</f>
        <v>104.52500000000001</v>
      </c>
    </row>
    <row r="299" spans="1:6" ht="15" thickBot="1" x14ac:dyDescent="0.35">
      <c r="A299" s="125" t="s">
        <v>232</v>
      </c>
      <c r="C299" s="138">
        <f>MIN(H167:H273)+C295</f>
        <v>104.16200000000001</v>
      </c>
      <c r="D299" s="139">
        <f>MIN(I167:I273)+D295</f>
        <v>104.675</v>
      </c>
      <c r="E299" s="139">
        <f>MIN(K167:K273)+E295</f>
        <v>106.358</v>
      </c>
      <c r="F299" s="140">
        <f>MIN(M167:M273)+F295</f>
        <v>105.26300000000001</v>
      </c>
    </row>
    <row r="300" spans="1:6" ht="15" thickBot="1" x14ac:dyDescent="0.35"/>
    <row r="301" spans="1:6" ht="15" thickBot="1" x14ac:dyDescent="0.35">
      <c r="A301" s="78" t="s">
        <v>233</v>
      </c>
      <c r="C301" s="141">
        <f>0.25*C298+0.75*C299</f>
        <v>99.32374999999999</v>
      </c>
      <c r="D301" s="142">
        <f>0.25*D298+0.75*D299</f>
        <v>97.263749999999987</v>
      </c>
      <c r="E301" s="136">
        <f>0.25*E298+0.75*E299</f>
        <v>103.896</v>
      </c>
      <c r="F301" s="137">
        <f>0.25*F298+0.75*F299</f>
        <v>105.07849999999999</v>
      </c>
    </row>
    <row r="302" spans="1:6" ht="15" thickBot="1" x14ac:dyDescent="0.35">
      <c r="A302" s="78" t="s">
        <v>234</v>
      </c>
      <c r="C302" s="146">
        <v>100</v>
      </c>
      <c r="D302" s="21">
        <v>98</v>
      </c>
      <c r="E302" s="21">
        <v>104</v>
      </c>
      <c r="F302" s="147">
        <v>105</v>
      </c>
    </row>
    <row r="303" spans="1:6" ht="15" thickBot="1" x14ac:dyDescent="0.35">
      <c r="A303" s="78" t="s">
        <v>235</v>
      </c>
      <c r="C303" s="176" t="s">
        <v>237</v>
      </c>
      <c r="D303" s="177" t="s">
        <v>238</v>
      </c>
      <c r="E303" s="177" t="s">
        <v>239</v>
      </c>
      <c r="F303" s="178" t="s">
        <v>240</v>
      </c>
    </row>
    <row r="305" spans="1:4" ht="15" thickBot="1" x14ac:dyDescent="0.35"/>
    <row r="306" spans="1:4" ht="15" thickBot="1" x14ac:dyDescent="0.35">
      <c r="A306" s="126" t="s">
        <v>284</v>
      </c>
      <c r="C306" s="114" t="s">
        <v>227</v>
      </c>
      <c r="D306" s="104" t="s">
        <v>51</v>
      </c>
    </row>
    <row r="307" spans="1:4" ht="15" thickBot="1" x14ac:dyDescent="0.35">
      <c r="A307" s="124" t="s">
        <v>282</v>
      </c>
      <c r="C307" s="179">
        <f>E302-MAX(G277:K277)</f>
        <v>54.489999999999995</v>
      </c>
      <c r="D307" s="63">
        <f>F302-MAX(L277:M277)</f>
        <v>47.474999999999994</v>
      </c>
    </row>
    <row r="308" spans="1:4" ht="15" thickBot="1" x14ac:dyDescent="0.35">
      <c r="A308" s="125" t="s">
        <v>283</v>
      </c>
      <c r="C308" s="60">
        <f>E302-MIN(G276:K276)</f>
        <v>70.126000000000005</v>
      </c>
      <c r="D308" s="63">
        <f>F302-MIN(L277:M277)</f>
        <v>51.674999999999997</v>
      </c>
    </row>
    <row r="310" spans="1:4" ht="15" thickBot="1" x14ac:dyDescent="0.35"/>
    <row r="311" spans="1:4" x14ac:dyDescent="0.3">
      <c r="A311" s="126" t="s">
        <v>347</v>
      </c>
    </row>
    <row r="312" spans="1:4" x14ac:dyDescent="0.3">
      <c r="A312" s="82" t="s">
        <v>349</v>
      </c>
      <c r="B312" s="21">
        <f>N161+N158+N155</f>
        <v>1.161</v>
      </c>
    </row>
    <row r="313" spans="1:4" x14ac:dyDescent="0.3">
      <c r="A313" s="82" t="s">
        <v>348</v>
      </c>
      <c r="B313" s="21">
        <f>E31*N6+D34*N5</f>
        <v>5.879999999999999</v>
      </c>
    </row>
    <row r="314" spans="1:4" x14ac:dyDescent="0.3">
      <c r="A314" s="83" t="s">
        <v>350</v>
      </c>
      <c r="B314" s="90">
        <f>B312+B313</f>
        <v>7.0409999999999986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topLeftCell="A68" zoomScale="69" zoomScaleNormal="69" workbookViewId="0">
      <selection activeCell="P6" sqref="P6"/>
    </sheetView>
  </sheetViews>
  <sheetFormatPr baseColWidth="10" defaultRowHeight="14.4" x14ac:dyDescent="0.3"/>
  <cols>
    <col min="1" max="1" width="55.33203125" customWidth="1"/>
    <col min="9" max="9" width="15.5546875" customWidth="1"/>
    <col min="10" max="15" width="11.6640625" bestFit="1" customWidth="1"/>
  </cols>
  <sheetData>
    <row r="1" spans="1:17" x14ac:dyDescent="0.3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285</v>
      </c>
      <c r="J1" s="42" t="s">
        <v>236</v>
      </c>
      <c r="K1" s="42" t="s">
        <v>66</v>
      </c>
      <c r="L1" s="42" t="s">
        <v>67</v>
      </c>
      <c r="M1" s="42" t="s">
        <v>68</v>
      </c>
      <c r="N1" s="122" t="s">
        <v>69</v>
      </c>
      <c r="O1" s="45" t="s">
        <v>51</v>
      </c>
    </row>
    <row r="2" spans="1:17" ht="15" thickBot="1" x14ac:dyDescent="0.35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3">
        <v>674</v>
      </c>
      <c r="O2" s="46">
        <v>2150</v>
      </c>
    </row>
    <row r="3" spans="1:17" ht="15" thickBot="1" x14ac:dyDescent="0.35">
      <c r="A3" s="72" t="s">
        <v>52</v>
      </c>
    </row>
    <row r="4" spans="1:17" ht="15" thickBot="1" x14ac:dyDescent="0.35">
      <c r="A4" s="73" t="s">
        <v>2</v>
      </c>
    </row>
    <row r="5" spans="1:17" x14ac:dyDescent="0.3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/>
    </row>
    <row r="6" spans="1:17" ht="15" thickBot="1" x14ac:dyDescent="0.35">
      <c r="A6" s="32"/>
    </row>
    <row r="7" spans="1:17" ht="15" thickBot="1" x14ac:dyDescent="0.35">
      <c r="A7" s="73" t="s">
        <v>70</v>
      </c>
    </row>
    <row r="8" spans="1:17" x14ac:dyDescent="0.3">
      <c r="A8" s="70" t="s">
        <v>71</v>
      </c>
      <c r="F8" s="2">
        <v>1</v>
      </c>
    </row>
    <row r="9" spans="1:17" x14ac:dyDescent="0.3">
      <c r="A9" s="9" t="s">
        <v>72</v>
      </c>
      <c r="G9" s="2">
        <v>8</v>
      </c>
    </row>
    <row r="10" spans="1:17" x14ac:dyDescent="0.3">
      <c r="A10" s="9" t="s">
        <v>73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3">
      <c r="A11" s="9" t="s">
        <v>203</v>
      </c>
      <c r="O11" s="2">
        <v>42</v>
      </c>
    </row>
    <row r="12" spans="1:17" x14ac:dyDescent="0.3">
      <c r="A12" s="9" t="s">
        <v>204</v>
      </c>
      <c r="O12" s="2">
        <v>37</v>
      </c>
    </row>
    <row r="13" spans="1:17" x14ac:dyDescent="0.3">
      <c r="H13" s="1"/>
    </row>
    <row r="14" spans="1:17" ht="15" thickBot="1" x14ac:dyDescent="0.35"/>
    <row r="15" spans="1:17" x14ac:dyDescent="0.3">
      <c r="A15" s="101" t="s">
        <v>173</v>
      </c>
    </row>
    <row r="16" spans="1:17" x14ac:dyDescent="0.3">
      <c r="A16" s="9" t="s">
        <v>174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222</v>
      </c>
    </row>
    <row r="17" spans="1:15" x14ac:dyDescent="0.3">
      <c r="A17" s="9" t="s">
        <v>175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">
      <c r="A18" s="9" t="s">
        <v>176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">
      <c r="A19" s="9" t="s">
        <v>177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">
      <c r="A20" s="9" t="s">
        <v>178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35"/>
    <row r="23" spans="1:15" x14ac:dyDescent="0.3">
      <c r="A23" s="101" t="s">
        <v>179</v>
      </c>
    </row>
    <row r="24" spans="1:15" x14ac:dyDescent="0.3">
      <c r="A24" s="9" t="s">
        <v>174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">
      <c r="A25" s="9" t="s">
        <v>175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">
      <c r="A26" s="9" t="s">
        <v>176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">
      <c r="A27" s="9" t="s">
        <v>180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">
      <c r="A28" s="9" t="s">
        <v>178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35"/>
    <row r="31" spans="1:15" x14ac:dyDescent="0.3">
      <c r="A31" s="105" t="s">
        <v>181</v>
      </c>
    </row>
    <row r="32" spans="1:15" x14ac:dyDescent="0.3">
      <c r="A32" s="107" t="s">
        <v>182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">
      <c r="A33" s="107" t="s">
        <v>183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1"/>
      <c r="P33" s="185"/>
    </row>
    <row r="34" spans="1:16" x14ac:dyDescent="0.3">
      <c r="A34" s="107" t="s">
        <v>184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">
      <c r="A35" s="107" t="s">
        <v>185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">
      <c r="A36" s="109" t="s">
        <v>186</v>
      </c>
      <c r="F36" s="109" t="s">
        <v>171</v>
      </c>
      <c r="G36" s="109" t="s">
        <v>171</v>
      </c>
      <c r="H36" s="109" t="s">
        <v>171</v>
      </c>
      <c r="I36" s="109" t="s">
        <v>171</v>
      </c>
      <c r="J36" s="109" t="s">
        <v>171</v>
      </c>
      <c r="K36" s="109" t="s">
        <v>171</v>
      </c>
      <c r="L36" s="109" t="s">
        <v>171</v>
      </c>
      <c r="M36" s="109" t="s">
        <v>171</v>
      </c>
      <c r="N36" s="109" t="s">
        <v>171</v>
      </c>
    </row>
    <row r="38" spans="1:16" ht="15" thickBot="1" x14ac:dyDescent="0.35"/>
    <row r="39" spans="1:16" ht="15" thickBot="1" x14ac:dyDescent="0.35">
      <c r="C39" s="127" t="s">
        <v>245</v>
      </c>
      <c r="D39" s="129" t="s">
        <v>246</v>
      </c>
    </row>
    <row r="40" spans="1:16" ht="15" thickBot="1" x14ac:dyDescent="0.35">
      <c r="A40" s="126" t="s">
        <v>223</v>
      </c>
    </row>
    <row r="41" spans="1:16" x14ac:dyDescent="0.3">
      <c r="A41" s="124" t="s">
        <v>242</v>
      </c>
      <c r="F41" s="159">
        <f>Network!C302</f>
        <v>100</v>
      </c>
      <c r="G41" s="160">
        <f>Network!D302</f>
        <v>98</v>
      </c>
      <c r="H41" s="161">
        <f>Network!E302</f>
        <v>104</v>
      </c>
      <c r="I41" s="161">
        <f>Network!E302</f>
        <v>104</v>
      </c>
      <c r="J41" s="161">
        <f>Network!E302</f>
        <v>104</v>
      </c>
      <c r="K41" s="161">
        <f>Network!E302</f>
        <v>104</v>
      </c>
      <c r="L41" s="161">
        <f>Network!E302</f>
        <v>104</v>
      </c>
      <c r="M41" s="161">
        <f>Network!E302</f>
        <v>104</v>
      </c>
      <c r="N41" s="161">
        <f>Network!E302</f>
        <v>104</v>
      </c>
      <c r="O41" s="162">
        <f>Network!F302</f>
        <v>105</v>
      </c>
    </row>
    <row r="42" spans="1:16" ht="15" thickBot="1" x14ac:dyDescent="0.35">
      <c r="A42" s="149" t="s">
        <v>243</v>
      </c>
      <c r="F42" s="146">
        <v>8</v>
      </c>
      <c r="G42" s="157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7">
        <v>0</v>
      </c>
    </row>
    <row r="43" spans="1:16" ht="15" thickBot="1" x14ac:dyDescent="0.35">
      <c r="A43" s="149" t="s">
        <v>244</v>
      </c>
      <c r="C43" s="144">
        <v>0.3</v>
      </c>
      <c r="D43" s="145">
        <v>0.5</v>
      </c>
      <c r="F43" s="146">
        <f>F42*C43</f>
        <v>2.4</v>
      </c>
      <c r="G43" s="157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7">
        <f>O42*D43</f>
        <v>0</v>
      </c>
    </row>
    <row r="44" spans="1:16" x14ac:dyDescent="0.3">
      <c r="A44" s="155" t="s">
        <v>247</v>
      </c>
      <c r="F44" s="166">
        <f t="shared" ref="F44:O44" si="1">F41+F43</f>
        <v>102.4</v>
      </c>
      <c r="G44" s="167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8">
        <f t="shared" si="1"/>
        <v>105</v>
      </c>
    </row>
    <row r="45" spans="1:16" x14ac:dyDescent="0.3">
      <c r="A45" s="149" t="s">
        <v>248</v>
      </c>
      <c r="F45" s="156">
        <f>F19-F87</f>
        <v>99.032015015757835</v>
      </c>
      <c r="G45" s="158">
        <f t="shared" ref="G45:O45" si="2">G19-G87</f>
        <v>101.17931555708239</v>
      </c>
      <c r="H45" s="151">
        <f t="shared" si="2"/>
        <v>110</v>
      </c>
      <c r="I45" s="151">
        <f t="shared" si="2"/>
        <v>110</v>
      </c>
      <c r="J45" s="151">
        <f t="shared" si="2"/>
        <v>110</v>
      </c>
      <c r="K45" s="151">
        <f t="shared" si="2"/>
        <v>110</v>
      </c>
      <c r="L45" s="151">
        <f t="shared" si="2"/>
        <v>110</v>
      </c>
      <c r="M45" s="151">
        <f t="shared" si="2"/>
        <v>110</v>
      </c>
      <c r="N45" s="151">
        <f t="shared" si="2"/>
        <v>110</v>
      </c>
      <c r="O45" s="154">
        <f t="shared" si="2"/>
        <v>113.03201501575784</v>
      </c>
    </row>
    <row r="46" spans="1:16" ht="15" thickBot="1" x14ac:dyDescent="0.35">
      <c r="A46" s="125" t="s">
        <v>249</v>
      </c>
      <c r="F46" s="163" t="str">
        <f t="shared" ref="F46:O46" si="3">IF(F44&lt;=(F19-F87),"OK","NO")</f>
        <v>NO</v>
      </c>
      <c r="G46" s="164" t="str">
        <f t="shared" si="3"/>
        <v>OK</v>
      </c>
      <c r="H46" s="164" t="str">
        <f t="shared" si="3"/>
        <v>OK</v>
      </c>
      <c r="I46" s="164" t="str">
        <f t="shared" si="3"/>
        <v>OK</v>
      </c>
      <c r="J46" s="164" t="str">
        <f t="shared" si="3"/>
        <v>OK</v>
      </c>
      <c r="K46" s="164" t="str">
        <f t="shared" si="3"/>
        <v>OK</v>
      </c>
      <c r="L46" s="164" t="str">
        <f t="shared" si="3"/>
        <v>OK</v>
      </c>
      <c r="M46" s="164" t="str">
        <f t="shared" si="3"/>
        <v>OK</v>
      </c>
      <c r="N46" s="169" t="str">
        <f t="shared" si="3"/>
        <v>OK</v>
      </c>
      <c r="O46" s="165" t="str">
        <f t="shared" si="3"/>
        <v>OK</v>
      </c>
    </row>
    <row r="47" spans="1:16" ht="15" thickBot="1" x14ac:dyDescent="0.35"/>
    <row r="48" spans="1:16" ht="15" thickBot="1" x14ac:dyDescent="0.35">
      <c r="A48" s="126" t="s">
        <v>254</v>
      </c>
      <c r="F48" s="1"/>
    </row>
    <row r="49" spans="1:15" x14ac:dyDescent="0.3">
      <c r="A49" s="148" t="s">
        <v>255</v>
      </c>
      <c r="F49" s="135">
        <f>18+'Mast + Tower'!B22</f>
        <v>20</v>
      </c>
      <c r="G49" s="136">
        <f>18+'Mast + Tower'!B20</f>
        <v>22</v>
      </c>
      <c r="H49" s="136">
        <f>18+'Mast + Tower'!B18</f>
        <v>24</v>
      </c>
      <c r="I49" s="136">
        <f>18+'Mast + Tower'!B18</f>
        <v>24</v>
      </c>
      <c r="J49" s="136">
        <f>18+'Mast + Tower'!B18</f>
        <v>24</v>
      </c>
      <c r="K49" s="136">
        <f>18+'Mast + Tower'!B18</f>
        <v>24</v>
      </c>
      <c r="L49" s="136">
        <f>18+'Mast + Tower'!B18</f>
        <v>24</v>
      </c>
      <c r="M49" s="136">
        <f>18+'Mast + Tower'!B18</f>
        <v>24</v>
      </c>
      <c r="N49" s="137">
        <f>18+'Mast + Tower'!B18</f>
        <v>24</v>
      </c>
    </row>
    <row r="50" spans="1:15" x14ac:dyDescent="0.3">
      <c r="A50" s="149" t="s">
        <v>256</v>
      </c>
      <c r="F50" s="146">
        <f>F5*F49</f>
        <v>1</v>
      </c>
      <c r="G50" s="21">
        <f>G5*G49</f>
        <v>1.3199999999999998</v>
      </c>
      <c r="H50" s="21">
        <f>H5*H49</f>
        <v>2.4000000000000004</v>
      </c>
      <c r="I50" s="21">
        <f t="shared" ref="I50:M50" si="4">I5*I49</f>
        <v>2.4000000000000004</v>
      </c>
      <c r="J50" s="21">
        <f t="shared" si="4"/>
        <v>2.4000000000000004</v>
      </c>
      <c r="K50" s="21">
        <f t="shared" si="4"/>
        <v>2.64</v>
      </c>
      <c r="L50" s="21">
        <f t="shared" si="4"/>
        <v>2.64</v>
      </c>
      <c r="M50" s="21">
        <f t="shared" si="4"/>
        <v>2.64</v>
      </c>
      <c r="N50" s="147">
        <f>N5*N49</f>
        <v>2.64</v>
      </c>
    </row>
    <row r="51" spans="1:15" ht="15" thickBot="1" x14ac:dyDescent="0.35">
      <c r="A51" s="149" t="s">
        <v>243</v>
      </c>
      <c r="F51" s="146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7">
        <v>0</v>
      </c>
    </row>
    <row r="52" spans="1:15" ht="15" thickBot="1" x14ac:dyDescent="0.35">
      <c r="A52" s="149" t="s">
        <v>244</v>
      </c>
      <c r="C52" s="144">
        <v>0.3</v>
      </c>
      <c r="D52" s="145">
        <v>0.5</v>
      </c>
      <c r="F52" s="146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7">
        <f>D52*N51</f>
        <v>0</v>
      </c>
    </row>
    <row r="53" spans="1:15" x14ac:dyDescent="0.3">
      <c r="A53" s="149" t="s">
        <v>257</v>
      </c>
      <c r="F53" s="146">
        <f t="shared" ref="F53:N53" si="5">F52+F50</f>
        <v>3.4</v>
      </c>
      <c r="G53" s="21">
        <f t="shared" si="5"/>
        <v>3.42</v>
      </c>
      <c r="H53" s="21">
        <f t="shared" si="5"/>
        <v>5.4</v>
      </c>
      <c r="I53" s="21">
        <f t="shared" si="5"/>
        <v>4.9000000000000004</v>
      </c>
      <c r="J53" s="21">
        <f t="shared" si="5"/>
        <v>4.4000000000000004</v>
      </c>
      <c r="K53" s="21">
        <f t="shared" si="5"/>
        <v>4.1400000000000006</v>
      </c>
      <c r="L53" s="21">
        <f t="shared" si="5"/>
        <v>3.64</v>
      </c>
      <c r="M53" s="21">
        <f t="shared" si="5"/>
        <v>3.14</v>
      </c>
      <c r="N53" s="147">
        <f t="shared" si="5"/>
        <v>2.64</v>
      </c>
    </row>
    <row r="54" spans="1:15" ht="15" thickBot="1" x14ac:dyDescent="0.35">
      <c r="A54" s="150" t="s">
        <v>258</v>
      </c>
      <c r="F54" s="138">
        <f t="shared" ref="F54:N54" si="6">F32-F53</f>
        <v>66.599999999999994</v>
      </c>
      <c r="G54" s="139">
        <f t="shared" si="6"/>
        <v>54.58</v>
      </c>
      <c r="H54" s="139">
        <f t="shared" si="6"/>
        <v>44.6</v>
      </c>
      <c r="I54" s="139">
        <f t="shared" si="6"/>
        <v>45.1</v>
      </c>
      <c r="J54" s="139">
        <f t="shared" si="6"/>
        <v>45.6</v>
      </c>
      <c r="K54" s="139">
        <f t="shared" si="6"/>
        <v>45.86</v>
      </c>
      <c r="L54" s="139">
        <f t="shared" si="6"/>
        <v>46.36</v>
      </c>
      <c r="M54" s="139">
        <f t="shared" si="6"/>
        <v>46.86</v>
      </c>
      <c r="N54" s="140">
        <f t="shared" si="6"/>
        <v>47.36</v>
      </c>
    </row>
    <row r="55" spans="1:15" ht="15" thickBot="1" x14ac:dyDescent="0.35"/>
    <row r="56" spans="1:15" ht="15" thickBot="1" x14ac:dyDescent="0.35">
      <c r="A56" s="8" t="s">
        <v>259</v>
      </c>
    </row>
    <row r="57" spans="1:15" ht="15" thickBot="1" x14ac:dyDescent="0.35">
      <c r="A57" s="126" t="s">
        <v>260</v>
      </c>
    </row>
    <row r="58" spans="1:15" x14ac:dyDescent="0.3">
      <c r="A58" s="148" t="s">
        <v>261</v>
      </c>
      <c r="F58" s="135">
        <f>F44-(F32-F53)</f>
        <v>35.800000000000011</v>
      </c>
      <c r="G58" s="136">
        <f>G44-(G32-G53)</f>
        <v>45.519999999999996</v>
      </c>
      <c r="H58" s="136">
        <f>H44-(H32-H53)</f>
        <v>62.4</v>
      </c>
      <c r="I58" s="136">
        <f>I44-(I32-I53)</f>
        <v>61.4</v>
      </c>
      <c r="J58" s="136">
        <f t="shared" ref="J58:N58" si="7">J44-(J32-J53)</f>
        <v>60.4</v>
      </c>
      <c r="K58" s="136">
        <f t="shared" si="7"/>
        <v>59.64</v>
      </c>
      <c r="L58" s="136">
        <f t="shared" si="7"/>
        <v>58.64</v>
      </c>
      <c r="M58" s="136">
        <f t="shared" si="7"/>
        <v>57.64</v>
      </c>
      <c r="N58" s="137">
        <f t="shared" si="7"/>
        <v>56.64</v>
      </c>
    </row>
    <row r="59" spans="1:15" ht="15" thickBot="1" x14ac:dyDescent="0.35">
      <c r="A59" s="150" t="s">
        <v>262</v>
      </c>
      <c r="F59" s="163" t="str">
        <f>IF(AND(F16&gt;F58,(F16-F17)&lt;F58),"OK","NO")</f>
        <v>OK</v>
      </c>
      <c r="G59" s="164" t="str">
        <f t="shared" ref="G59:N59" si="8">IF(AND(G16&gt;G58,(G16-G17)&lt;G58),"OK","NO")</f>
        <v>OK</v>
      </c>
      <c r="H59" s="164" t="str">
        <f t="shared" si="8"/>
        <v>NO</v>
      </c>
      <c r="I59" s="164" t="str">
        <f t="shared" si="8"/>
        <v>NO</v>
      </c>
      <c r="J59" s="164" t="str">
        <f t="shared" si="8"/>
        <v>NO</v>
      </c>
      <c r="K59" s="164" t="str">
        <f t="shared" si="8"/>
        <v>NO</v>
      </c>
      <c r="L59" s="164" t="str">
        <f t="shared" si="8"/>
        <v>NO</v>
      </c>
      <c r="M59" s="164" t="str">
        <f t="shared" si="8"/>
        <v>NO</v>
      </c>
      <c r="N59" s="165" t="str">
        <f t="shared" si="8"/>
        <v>NO</v>
      </c>
    </row>
    <row r="60" spans="1:15" ht="15" thickBot="1" x14ac:dyDescent="0.35"/>
    <row r="61" spans="1:15" ht="15" thickBot="1" x14ac:dyDescent="0.35">
      <c r="A61" s="126" t="s">
        <v>263</v>
      </c>
    </row>
    <row r="62" spans="1:15" x14ac:dyDescent="0.3">
      <c r="A62" s="148" t="s">
        <v>264</v>
      </c>
      <c r="F62" s="135">
        <f>IF(F58-F24&gt;F16-F17,F58-F24,F16-F17)</f>
        <v>35.800000000000011</v>
      </c>
      <c r="G62" s="136">
        <f t="shared" ref="G62:N62" si="9">IF(G58-G24&gt;G16-G17,G58-G24,G16-G17)</f>
        <v>45.519999999999996</v>
      </c>
      <c r="H62" s="136">
        <f t="shared" si="9"/>
        <v>34.4</v>
      </c>
      <c r="I62" s="136">
        <f>IF(I58-I24&gt;I16-I17,I58-I24,I16-I17)</f>
        <v>33.4</v>
      </c>
      <c r="J62" s="136">
        <f t="shared" si="9"/>
        <v>32.4</v>
      </c>
      <c r="K62" s="136">
        <f t="shared" si="9"/>
        <v>31.64</v>
      </c>
      <c r="L62" s="136">
        <f t="shared" si="9"/>
        <v>30.64</v>
      </c>
      <c r="M62" s="136">
        <f t="shared" si="9"/>
        <v>29.64</v>
      </c>
      <c r="N62" s="137">
        <f t="shared" si="9"/>
        <v>28.64</v>
      </c>
    </row>
    <row r="63" spans="1:15" x14ac:dyDescent="0.3">
      <c r="A63" s="149" t="s">
        <v>265</v>
      </c>
      <c r="F63" s="146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7">
        <f t="shared" si="10"/>
        <v>28</v>
      </c>
      <c r="O63" s="1"/>
    </row>
    <row r="64" spans="1:15" ht="15" thickBot="1" x14ac:dyDescent="0.35">
      <c r="A64" s="150" t="s">
        <v>266</v>
      </c>
      <c r="F64" s="163" t="str">
        <f>IF(AND(F16&gt;F62,(F16-F17)&lt;F62),"OK","NO")</f>
        <v>OK</v>
      </c>
      <c r="G64" s="164" t="str">
        <f t="shared" ref="G64:N64" si="11">IF(AND(G16&gt;G62,(G16-G17)&lt;G62),"OK","NO")</f>
        <v>OK</v>
      </c>
      <c r="H64" s="164" t="str">
        <f t="shared" si="11"/>
        <v>OK</v>
      </c>
      <c r="I64" s="164" t="str">
        <f t="shared" si="11"/>
        <v>OK</v>
      </c>
      <c r="J64" s="164" t="str">
        <f t="shared" si="11"/>
        <v>OK</v>
      </c>
      <c r="K64" s="164" t="str">
        <f t="shared" si="11"/>
        <v>OK</v>
      </c>
      <c r="L64" s="164" t="str">
        <f t="shared" si="11"/>
        <v>OK</v>
      </c>
      <c r="M64" s="164" t="str">
        <f t="shared" si="11"/>
        <v>OK</v>
      </c>
      <c r="N64" s="165" t="str">
        <f t="shared" si="11"/>
        <v>OK</v>
      </c>
    </row>
    <row r="65" spans="1:15" ht="15" thickBot="1" x14ac:dyDescent="0.35"/>
    <row r="66" spans="1:15" ht="15" thickBot="1" x14ac:dyDescent="0.35">
      <c r="A66" s="170" t="s">
        <v>267</v>
      </c>
    </row>
    <row r="67" spans="1:15" x14ac:dyDescent="0.3">
      <c r="A67" s="149" t="s">
        <v>268</v>
      </c>
      <c r="F67" s="135">
        <v>0.15</v>
      </c>
      <c r="G67" s="136">
        <v>1.536</v>
      </c>
      <c r="H67" s="136">
        <v>8</v>
      </c>
      <c r="I67" s="136">
        <v>8</v>
      </c>
      <c r="J67" s="136">
        <v>8</v>
      </c>
      <c r="K67" s="136">
        <v>8</v>
      </c>
      <c r="L67" s="136">
        <v>8</v>
      </c>
      <c r="M67" s="136">
        <v>8</v>
      </c>
      <c r="N67" s="137">
        <v>8</v>
      </c>
    </row>
    <row r="68" spans="1:15" x14ac:dyDescent="0.3">
      <c r="A68" s="149" t="s">
        <v>269</v>
      </c>
      <c r="F68" s="146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7">
        <v>290</v>
      </c>
    </row>
    <row r="69" spans="1:15" x14ac:dyDescent="0.3">
      <c r="A69" s="149" t="s">
        <v>270</v>
      </c>
      <c r="F69" s="146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7">
        <v>4</v>
      </c>
    </row>
    <row r="70" spans="1:15" ht="15" thickBot="1" x14ac:dyDescent="0.35">
      <c r="A70" s="150" t="s">
        <v>271</v>
      </c>
      <c r="F70" s="138">
        <v>38</v>
      </c>
      <c r="G70" s="139">
        <v>18</v>
      </c>
      <c r="H70" s="139">
        <v>25</v>
      </c>
      <c r="I70" s="139">
        <v>25</v>
      </c>
      <c r="J70" s="139">
        <v>25</v>
      </c>
      <c r="K70" s="139">
        <v>25</v>
      </c>
      <c r="L70" s="139">
        <v>25</v>
      </c>
      <c r="M70" s="139">
        <v>25</v>
      </c>
      <c r="N70" s="140">
        <v>25</v>
      </c>
    </row>
    <row r="71" spans="1:15" ht="15" thickBot="1" x14ac:dyDescent="0.35"/>
    <row r="72" spans="1:15" x14ac:dyDescent="0.3">
      <c r="A72" s="171" t="s">
        <v>272</v>
      </c>
    </row>
    <row r="73" spans="1:15" ht="15" thickBot="1" x14ac:dyDescent="0.35">
      <c r="A73" s="172" t="s">
        <v>260</v>
      </c>
    </row>
    <row r="74" spans="1:15" x14ac:dyDescent="0.3">
      <c r="A74" s="149" t="s">
        <v>273</v>
      </c>
      <c r="B74" s="1"/>
      <c r="F74" s="135">
        <f>10*LOG10(10^((F18+F53)/10)+10^((F53-F58)/10)*(10^((F43+Network!H277)/10)-1))</f>
        <v>16.779680899642923</v>
      </c>
      <c r="G74" s="136">
        <f>10*LOG10(10^((G18+G53)/10)+10^((G53-G58)/10)*(10^((G43+Network!I277)/10)-1))</f>
        <v>13.147592929371502</v>
      </c>
      <c r="H74" s="136">
        <f>10*LOG10(10^((H18+H53)/10)+10^((H53-H58)/10)*(10^((H43+Network!J277)/10)-1))</f>
        <v>14.425715360153408</v>
      </c>
      <c r="I74" s="136">
        <f>10*LOG10(10^((I18+I53)/10)+10^((I53-I58)/10)*(10^((I43+Network!J277)/10)-1))</f>
        <v>13.928842668311461</v>
      </c>
      <c r="J74" s="136">
        <f>10*LOG10(10^((J18+J53)/10)+10^((J53-J58)/10)*(10^((J43+Network!J277)/10)-1))</f>
        <v>13.432348875919986</v>
      </c>
      <c r="K74" s="136">
        <f>10*LOG10(10^((K18+K53)/10)+10^((K53-K58)/10)*(10^((K43+Network!J277)/10)-1))</f>
        <v>13.174336724245999</v>
      </c>
      <c r="L74" s="136">
        <f>10*LOG10(10^((L18+L53)/10)+10^((L53-L58)/10)*(10^((L43+Network!K277)/10)-1))</f>
        <v>12.723293121364554</v>
      </c>
      <c r="M74" s="136">
        <f>10*LOG10(10^((M18+M53)/10)+10^((M53-M58)/10)*(10^((M43+Network!K277)/10)-1))</f>
        <v>12.233347830022003</v>
      </c>
      <c r="N74" s="137">
        <f>10*LOG10(10^((N18+N53)/10)+10^((N53-N58)/10)*(10^((N43+Network!K277)/10)-1))</f>
        <v>11.744601729619896</v>
      </c>
    </row>
    <row r="75" spans="1:15" x14ac:dyDescent="0.3">
      <c r="A75" s="149" t="s">
        <v>274</v>
      </c>
      <c r="F75" s="166">
        <f>F32-F69-10*LOG10(10^((F18+F53)/10)+10^((F53-F58)/10)*(10^((F43+Network!H277)/10)-1))</f>
        <v>66.220319100357074</v>
      </c>
      <c r="G75" s="90">
        <f>G32-G69-10*LOG10(10^((G18+G53)/10)+10^((G53-G58)/10)*(10^((G43+Network!I277)/10)-1))</f>
        <v>47.852407070628502</v>
      </c>
      <c r="H75" s="90">
        <f>H32-H69-10*LOG10(10^((H18+H53)/10)+10^((H53-H58)/10)*(10^((H43+Network!J277)/10)-1))</f>
        <v>31.574284639846592</v>
      </c>
      <c r="I75" s="90">
        <f>I32-I69-10*LOG10(10^((I18+I53)/10)+10^((I53-I58)/10)*(10^((I43+Network!J277)/10)-1))</f>
        <v>32.071157331688539</v>
      </c>
      <c r="J75" s="90">
        <f>J32-J69-10*LOG10(10^((J18+J53)/10)+10^((J53-J58)/10)*(10^((J43+Network!J277)/10)-1))</f>
        <v>32.567651124080015</v>
      </c>
      <c r="K75" s="90">
        <f>K32-K69-10*LOG10(10^((K18+K53)/10)+10^((K53-K58)/10)*(10^((K43+Network!J277)/10)-1))</f>
        <v>32.825663275754003</v>
      </c>
      <c r="L75" s="90">
        <f>L32-L69-10*LOG10(10^((L18+L53)/10)+10^((L53-L58)/10)*(10^((J43+Network!O277)/10)-1))</f>
        <v>33.35998649882147</v>
      </c>
      <c r="M75" s="90">
        <f>M32-M69-10*LOG10(10^((M18+M53)/10)+10^((M53-M58)/10)*(10^((J43+Network!P277)/10)-1))</f>
        <v>33.859999449368757</v>
      </c>
      <c r="N75" s="168">
        <f>N32-N69-10*LOG10(10^((N18+N53)/10)+10^((N53-N58)/10)*(10^((J43+Network!Q277)/10)-1))</f>
        <v>34.35999930679634</v>
      </c>
    </row>
    <row r="76" spans="1:15" ht="15" thickBot="1" x14ac:dyDescent="0.35">
      <c r="A76" s="150" t="s">
        <v>275</v>
      </c>
      <c r="F76" s="163" t="str">
        <f>IF(F75&gt;=F70,"OK","NO")</f>
        <v>OK</v>
      </c>
      <c r="G76" s="164" t="str">
        <f t="shared" ref="G76:N76" si="12">IF(G75&gt;=G70,"OK","NO")</f>
        <v>OK</v>
      </c>
      <c r="H76" s="164" t="str">
        <f t="shared" si="12"/>
        <v>OK</v>
      </c>
      <c r="I76" s="164" t="str">
        <f t="shared" si="12"/>
        <v>OK</v>
      </c>
      <c r="J76" s="164" t="str">
        <f t="shared" si="12"/>
        <v>OK</v>
      </c>
      <c r="K76" s="164" t="str">
        <f t="shared" si="12"/>
        <v>OK</v>
      </c>
      <c r="L76" s="164" t="str">
        <f t="shared" si="12"/>
        <v>OK</v>
      </c>
      <c r="M76" s="164" t="str">
        <f t="shared" si="12"/>
        <v>OK</v>
      </c>
      <c r="N76" s="165" t="str">
        <f t="shared" si="12"/>
        <v>OK</v>
      </c>
    </row>
    <row r="77" spans="1:15" ht="15" thickBot="1" x14ac:dyDescent="0.35"/>
    <row r="78" spans="1:15" ht="15" thickBot="1" x14ac:dyDescent="0.35">
      <c r="A78" s="170" t="s">
        <v>263</v>
      </c>
    </row>
    <row r="79" spans="1:15" x14ac:dyDescent="0.3">
      <c r="A79" s="149" t="s">
        <v>273</v>
      </c>
      <c r="F79" s="135">
        <f>10*LOG10(10^(F26/10)+(10^(F53/10)-1)/10^(F63/10)+(10^(F18/10)-1)*10^(F53/10)/10^(F63/10)+10^((F53-F62-F63)/10)*(10^((F43+Network!H277)/10)-1))</f>
        <v>16.779680899642923</v>
      </c>
      <c r="G79" s="136">
        <f>10*LOG10(10^(G26/10)+(10^(G53/10)-1)/10^(G63/10)+(10^(G18/10)-1)*10^(G53/10)/10^(G63/10)+10^((G53-G62-G63)/10)*(10^((G43+Network!I277)/10)-1))</f>
        <v>13.147592929371502</v>
      </c>
      <c r="H79" s="136">
        <f>10*LOG10(10^(H26/10)+(10^(H53/10)-1)/10^(H63/10)+(10^(H18/10)-1)*10^(H53/10)/10^(H63/10)+10^((H53-H62-H63)/10)*(10^((H43+Network!J277)/10)-1))</f>
        <v>6.6954645101141157</v>
      </c>
      <c r="I79" s="136">
        <f>10*LOG10(10^(I26/10)+(10^(I53/10)-1)/10^(I63/10)+(10^(I18/10)-1)*10^(I53/10)/10^(I63/10)+10^((I53-I62-I63)/10)*(10^((I43+Network!J277)/10)-1))</f>
        <v>6.6910497575131398</v>
      </c>
      <c r="J79" s="136">
        <f>10*LOG10(10^(J26/10)+(10^(J53/10)-1)/10^(J63/10)+(10^(J18/10)-1)*10^(J53/10)/10^(J63/10)+10^((J53-J62-J63)/10)*(10^((J43+Network!J277)/10)-1))</f>
        <v>6.6871112669985608</v>
      </c>
      <c r="K79" s="136">
        <f>10*LOG10(10^(K26/10)+(10^(K53/10)-1)/10^(K63/10)+(10^(K18/10)-1)*10^(K53/10)/10^(K63/10)+10^((K53-K62-K63)/10)*(10^((K43+Network!J277)/10)-1))</f>
        <v>6.6852341688357919</v>
      </c>
      <c r="L79" s="136">
        <f>10*LOG10(10^(L26/10)+(10^(L53/10)-1)/10^(L63/10)+(10^(L18/10)-1)*10^(L53/10)/10^(L63/10)+10^((L53-L62-L63)/10)*(10^((L43+Network!K277)/10)-1))</f>
        <v>6.8574051682622006</v>
      </c>
      <c r="M79" s="136">
        <f>10*LOG10(10^(M26/10)+(10^(M53/10)-1)/10^(M63/10)+(10^(M18/10)-1)*10^(M53/10)/10^(M63/10)+10^((M53-M62-M63)/10)*(10^((M43+Network!K277)/10)-1))</f>
        <v>6.8545694438043423</v>
      </c>
      <c r="N79" s="137">
        <f>10*LOG10(10^(N26/10)+(10^(N53/10)-1)/10^(N63/10)+(10^(N18/10)-1)*10^(N53/10)/10^(N63/10)+10^((N53-N62-N63)/10)*(10^((N43+Network!K277)/10)-1))</f>
        <v>6.8520404604457941</v>
      </c>
      <c r="O79" s="1"/>
    </row>
    <row r="80" spans="1:15" x14ac:dyDescent="0.3">
      <c r="A80" s="149" t="s">
        <v>274</v>
      </c>
      <c r="F80" s="166">
        <f>F32-F69-10*LOG10(10^(F26/10)+(10^(F53/10)-1)/10^(F63/10)+(10^(F18/10)-1)*10^(F53/10)/10^(F63/10)+10^((F53-F62-F63)/10)*(10^((F43+Network!H277)/10)-1))</f>
        <v>66.220319100357074</v>
      </c>
      <c r="G80" s="90">
        <f>G32-G69-10*LOG10(10^(G26/10)+(10^(G53/10)-1)/10^(G63/10)+(10^(G18/10)-1)*10^(G53/10)/10^(G63/10)+10^((G53-G62-G63)/10)*(10^((G43+Network!I277)/10)-1))</f>
        <v>47.852407070628502</v>
      </c>
      <c r="H80" s="90">
        <f>H32-H69-10*LOG10(10^(H26/10)+(10^(H53/10)-1)/10^(H63/10)+(10^(H18/10)-1)*10^(H53/10)/10^(H63/10)+10^((H53-H62-H63)/10)*(10^((H43+Network!J277)/10)-1))</f>
        <v>39.304535489885886</v>
      </c>
      <c r="I80" s="90">
        <f>I32-I69-10*LOG10(10^(I26/10)+(10^(I53/10)-1)/10^(I63/10)+(10^(I18/10)-1)*10^(I53/10)/10^(I63/10)+10^((I53-I62-I63)/10)*(10^((I43+Network!J277)/10)-1))</f>
        <v>39.308950242486858</v>
      </c>
      <c r="J80" s="90">
        <f>J32-J69-10*LOG10(10^(J26/10)+(10^(J53/10)-1)/10^(J63/10)+(10^(J18/10)-1)*10^(J53/10)/10^(J63/10)+10^((J53-J62-J63)/10)*(10^((J43+Network!J277)/10)-1))</f>
        <v>39.312888733001436</v>
      </c>
      <c r="K80" s="90">
        <f>K32-K69-10*LOG10(10^(K26/10)+(10^(K53/10)-1)/10^(K63/10)+(10^(K18/10)-1)*10^(K53/10)/10^(K63/10)+10^((K53-K62-K63)/10)*(10^((K43+Network!J277)/10)-1))</f>
        <v>39.314765831164209</v>
      </c>
      <c r="L80" s="90">
        <f>L32-L69-10*LOG10(10^(L26/10)+(10^(L53/10)-1)/10^(L63/10)+(10^(L18/10)-1)*10^(L53/10)/10^(L63/10)+10^((L53-L62-L63)/10)*(10^((L43+Network!K277)/10)-1))</f>
        <v>39.142594831737796</v>
      </c>
      <c r="M80" s="90">
        <f>M32-M69-10*LOG10(10^(M26/10)+(10^(M53/10)-1)/10^(M63/10)+(10^(M18/10)-1)*10^(M53/10)/10^(M63/10)+10^((M53-M62-M63)/10)*(10^((M43+Network!K277)/10)-1))</f>
        <v>39.145430556195656</v>
      </c>
      <c r="N80" s="168">
        <f>N32-N69-10*LOG10(10^(N26/10)+(10^(N53/10)-1)/10^(N63/10)+(10^(N18/10)-1)*10^(N53/10)/10^(N63/10)+10^((N53-N62-N63)/10)*(10^((N43+Network!K277)/10)-1))</f>
        <v>39.147959539554208</v>
      </c>
    </row>
    <row r="81" spans="1:15" ht="15" thickBot="1" x14ac:dyDescent="0.35">
      <c r="A81" s="150" t="s">
        <v>276</v>
      </c>
      <c r="F81" s="163" t="str">
        <f>IF(F80&gt;=F70,"OK","NO")</f>
        <v>OK</v>
      </c>
      <c r="G81" s="164" t="str">
        <f t="shared" ref="G81:N81" si="13">IF(G80&gt;=G70,"OK","NO")</f>
        <v>OK</v>
      </c>
      <c r="H81" s="164" t="str">
        <f t="shared" si="13"/>
        <v>OK</v>
      </c>
      <c r="I81" s="164" t="str">
        <f t="shared" si="13"/>
        <v>OK</v>
      </c>
      <c r="J81" s="164" t="str">
        <f t="shared" si="13"/>
        <v>OK</v>
      </c>
      <c r="K81" s="164" t="str">
        <f t="shared" si="13"/>
        <v>OK</v>
      </c>
      <c r="L81" s="164" t="str">
        <f t="shared" si="13"/>
        <v>OK</v>
      </c>
      <c r="M81" s="164" t="str">
        <f t="shared" si="13"/>
        <v>OK</v>
      </c>
      <c r="N81" s="165" t="str">
        <f t="shared" si="13"/>
        <v>OK</v>
      </c>
    </row>
    <row r="84" spans="1:15" ht="15" thickBot="1" x14ac:dyDescent="0.35"/>
    <row r="85" spans="1:15" ht="15" thickBot="1" x14ac:dyDescent="0.35">
      <c r="A85" s="126" t="s">
        <v>250</v>
      </c>
    </row>
    <row r="86" spans="1:15" x14ac:dyDescent="0.3">
      <c r="A86" s="148" t="s">
        <v>251</v>
      </c>
      <c r="F86" s="135">
        <v>30</v>
      </c>
      <c r="G86" s="136">
        <v>16</v>
      </c>
      <c r="H86" s="136">
        <v>1</v>
      </c>
      <c r="I86" s="136">
        <v>2</v>
      </c>
      <c r="J86" s="136">
        <v>1</v>
      </c>
      <c r="K86" s="136">
        <v>1</v>
      </c>
      <c r="L86" s="136">
        <v>1</v>
      </c>
      <c r="M86" s="136">
        <v>1</v>
      </c>
      <c r="N86" s="136">
        <v>1</v>
      </c>
      <c r="O86" s="137">
        <v>30</v>
      </c>
    </row>
    <row r="87" spans="1:15" ht="15" thickBot="1" x14ac:dyDescent="0.35">
      <c r="A87" s="149" t="s">
        <v>252</v>
      </c>
      <c r="F87" s="152">
        <f>7.5*LOG10((F86-1))</f>
        <v>10.96798498424217</v>
      </c>
      <c r="G87" s="153">
        <f>7.5*LOG10(G86-1)</f>
        <v>8.8206844429176101</v>
      </c>
      <c r="H87" s="143">
        <v>0</v>
      </c>
      <c r="I87" s="143">
        <f>7.5*LOG10(I86-1)</f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54">
        <f>7.5*LOG10(O86-1)</f>
        <v>10.96798498424217</v>
      </c>
    </row>
    <row r="88" spans="1:15" ht="15" thickBot="1" x14ac:dyDescent="0.35">
      <c r="A88" s="150" t="s">
        <v>253</v>
      </c>
      <c r="H88" s="138">
        <v>30</v>
      </c>
      <c r="I88" s="139">
        <v>30</v>
      </c>
      <c r="J88" s="139">
        <v>30</v>
      </c>
      <c r="K88" s="139">
        <v>30</v>
      </c>
      <c r="L88" s="139">
        <v>30</v>
      </c>
      <c r="M88" s="139">
        <v>30</v>
      </c>
      <c r="N88" s="139">
        <v>30</v>
      </c>
      <c r="O88" s="140">
        <v>18</v>
      </c>
    </row>
    <row r="89" spans="1:15" ht="15" thickBot="1" x14ac:dyDescent="0.35"/>
    <row r="90" spans="1:15" ht="15" thickBot="1" x14ac:dyDescent="0.35">
      <c r="A90" s="170" t="s">
        <v>260</v>
      </c>
    </row>
    <row r="91" spans="1:15" x14ac:dyDescent="0.3">
      <c r="A91" s="155" t="s">
        <v>277</v>
      </c>
      <c r="H91" s="159">
        <f>H28+2*(H27-H87-H44)</f>
        <v>33</v>
      </c>
      <c r="I91" s="161">
        <f t="shared" ref="I91" si="14">I28+2*(I27-H87-I44)</f>
        <v>34</v>
      </c>
      <c r="J91" s="161">
        <f>J28+2*(J27-J87-J44)</f>
        <v>35</v>
      </c>
      <c r="K91" s="161">
        <f>K28+2*(K27-K87-K44)</f>
        <v>36</v>
      </c>
      <c r="L91" s="161">
        <f>L28+2*(L27-L87-L44)</f>
        <v>37</v>
      </c>
      <c r="M91" s="161">
        <f>M28+2*(M27-M87-M44)</f>
        <v>38</v>
      </c>
      <c r="N91" s="180">
        <f>N28+2*(N27-N87-N44)</f>
        <v>39</v>
      </c>
      <c r="O91" s="162">
        <f>O20+2*(O19-O87-O44)</f>
        <v>51.064030031515671</v>
      </c>
    </row>
    <row r="92" spans="1:15" ht="15" thickBot="1" x14ac:dyDescent="0.35">
      <c r="A92" s="125" t="s">
        <v>278</v>
      </c>
      <c r="H92" s="163" t="str">
        <f>IF(H91&gt;=H88,"OK","NO")</f>
        <v>OK</v>
      </c>
      <c r="I92" s="164" t="str">
        <f t="shared" ref="I92:N92" si="15">IF(I91&gt;=I88,"OK","NO")</f>
        <v>OK</v>
      </c>
      <c r="J92" s="164" t="str">
        <f t="shared" si="15"/>
        <v>OK</v>
      </c>
      <c r="K92" s="164" t="str">
        <f t="shared" si="15"/>
        <v>OK</v>
      </c>
      <c r="L92" s="164" t="str">
        <f t="shared" si="15"/>
        <v>OK</v>
      </c>
      <c r="M92" s="164" t="str">
        <f t="shared" si="15"/>
        <v>OK</v>
      </c>
      <c r="N92" s="169" t="str">
        <f t="shared" si="15"/>
        <v>OK</v>
      </c>
      <c r="O92" s="165" t="str">
        <f>IF(O91&gt;=O88,"OK","NO")</f>
        <v>OK</v>
      </c>
    </row>
    <row r="93" spans="1:15" ht="15" thickBot="1" x14ac:dyDescent="0.35"/>
    <row r="94" spans="1:15" ht="15" thickBot="1" x14ac:dyDescent="0.35">
      <c r="A94" s="170" t="s">
        <v>263</v>
      </c>
    </row>
    <row r="95" spans="1:15" x14ac:dyDescent="0.3">
      <c r="A95" s="149" t="s">
        <v>279</v>
      </c>
      <c r="H95" s="135">
        <f>H32+H63</f>
        <v>78</v>
      </c>
      <c r="I95" s="136">
        <f t="shared" ref="I95:L95" si="16">I32+I63</f>
        <v>78</v>
      </c>
      <c r="J95" s="136">
        <f t="shared" si="16"/>
        <v>78</v>
      </c>
      <c r="K95" s="136">
        <f t="shared" si="16"/>
        <v>78</v>
      </c>
      <c r="L95" s="136">
        <f t="shared" si="16"/>
        <v>78</v>
      </c>
      <c r="M95" s="182">
        <f>M32+M63</f>
        <v>78</v>
      </c>
      <c r="N95" s="137">
        <f>N32+N63</f>
        <v>78</v>
      </c>
    </row>
    <row r="96" spans="1:15" x14ac:dyDescent="0.3">
      <c r="A96" s="155" t="s">
        <v>280</v>
      </c>
      <c r="H96" s="174">
        <f>-20*LOG10(10^(-H91/20)+10^(-(H28+2*(H27-7.5*LOG10(SUM(H86:N86)-1)-H32-H63))/20))</f>
        <v>32.953068544611554</v>
      </c>
      <c r="I96" s="173">
        <f>-20*LOG10(10^(-I91/20)+10^(-(I28+2*(I27-7.5*LOG10(SUM(H86:N86)-1)-I32-I63))/20))</f>
        <v>33.947359360533518</v>
      </c>
      <c r="J96" s="173">
        <f>-20*LOG10(10^(-J91/20)+10^(-(J28+2*(J27-7.5*LOG10(SUM(I86:O86)-1)-J32-J63))/20))</f>
        <v>34.799999274861314</v>
      </c>
      <c r="K96" s="173">
        <f>-20*LOG10(10^(-K91/20)+10^(-(K28+2*(K27-7.5*LOG10(SUM(H86:N86)-1)-K32-K63))/20))</f>
        <v>35.933781198644489</v>
      </c>
      <c r="L96" s="173">
        <f>-20*LOG10(10^(-L91/20)+10^(-(L28+2*(L27-7.5*LOG10(SUM(H86:N86)-1)-L32-L63))/20))</f>
        <v>36.925735731532804</v>
      </c>
      <c r="M96" s="183">
        <f>-20*LOG10(10^(-M91/20)+10^(-(M28+2*(M27-7.5*LOG10(SUM(H86:N86)-1)-M32-M63))/20))</f>
        <v>37.916717431794545</v>
      </c>
      <c r="N96" s="175">
        <f>-20*LOG10(10^(-N91/20)+10^(-(N28+2*(N27-7.5*LOG10(SUM(H86:N86)-1)-N32-N63))/20))</f>
        <v>38.906609867464191</v>
      </c>
      <c r="O96" s="184"/>
    </row>
    <row r="97" spans="1:14" ht="15" thickBot="1" x14ac:dyDescent="0.35">
      <c r="A97" s="125" t="s">
        <v>281</v>
      </c>
      <c r="H97" s="163" t="str">
        <f>IF(H96&gt;=H88,"OK","NO")</f>
        <v>OK</v>
      </c>
      <c r="I97" s="164" t="str">
        <f t="shared" ref="I97:N97" si="17">IF(I96&gt;=I88,"OK","NO")</f>
        <v>OK</v>
      </c>
      <c r="J97" s="164" t="str">
        <f t="shared" si="17"/>
        <v>OK</v>
      </c>
      <c r="K97" s="164" t="str">
        <f t="shared" si="17"/>
        <v>OK</v>
      </c>
      <c r="L97" s="164" t="str">
        <f t="shared" si="17"/>
        <v>OK</v>
      </c>
      <c r="M97" s="169" t="str">
        <f t="shared" si="17"/>
        <v>OK</v>
      </c>
      <c r="N97" s="165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8"/>
  <sheetViews>
    <sheetView topLeftCell="A26" zoomScale="97" zoomScaleNormal="70" workbookViewId="0">
      <selection activeCell="A44" sqref="A44:A47"/>
    </sheetView>
  </sheetViews>
  <sheetFormatPr baseColWidth="10" defaultRowHeight="14.4" x14ac:dyDescent="0.3"/>
  <cols>
    <col min="1" max="1" width="20" customWidth="1"/>
    <col min="2" max="2" width="16.6640625" customWidth="1"/>
    <col min="3" max="3" width="16.33203125" customWidth="1"/>
  </cols>
  <sheetData>
    <row r="2" spans="1:7" x14ac:dyDescent="0.3">
      <c r="A2" s="32"/>
      <c r="B2" s="220" t="s">
        <v>205</v>
      </c>
      <c r="C2" s="221"/>
    </row>
    <row r="3" spans="1:7" x14ac:dyDescent="0.3">
      <c r="A3" s="118"/>
      <c r="B3" s="189" t="s">
        <v>206</v>
      </c>
      <c r="C3" s="189" t="s">
        <v>207</v>
      </c>
    </row>
    <row r="4" spans="1:7" x14ac:dyDescent="0.3">
      <c r="A4" s="119" t="s">
        <v>208</v>
      </c>
      <c r="B4" s="190">
        <v>39.49</v>
      </c>
      <c r="C4" s="190">
        <v>39.49</v>
      </c>
    </row>
    <row r="5" spans="1:7" x14ac:dyDescent="0.3">
      <c r="A5" s="119" t="s">
        <v>209</v>
      </c>
      <c r="B5" s="190">
        <v>30</v>
      </c>
      <c r="C5" s="190">
        <v>19.2</v>
      </c>
    </row>
    <row r="6" spans="1:7" x14ac:dyDescent="0.3">
      <c r="A6" s="119" t="s">
        <v>292</v>
      </c>
      <c r="B6" s="190">
        <f>30-0.36</f>
        <v>29.64</v>
      </c>
      <c r="C6" s="190">
        <f>-C5-0.36</f>
        <v>-19.559999999999999</v>
      </c>
      <c r="F6" s="186"/>
      <c r="G6" s="186"/>
    </row>
    <row r="7" spans="1:7" x14ac:dyDescent="0.3">
      <c r="A7" s="119" t="s">
        <v>286</v>
      </c>
      <c r="B7" s="191">
        <f>DEGREES(ACOS(COS(RADIANS(B6))*COS(RADIANS(B4))))</f>
        <v>47.874722541842957</v>
      </c>
      <c r="C7" s="191">
        <f>DEGREES(ACOS(COS(RADIANS(C6))*COS(RADIANS(C4))))</f>
        <v>43.347844323707463</v>
      </c>
    </row>
    <row r="8" spans="1:7" x14ac:dyDescent="0.3">
      <c r="A8" s="119" t="s">
        <v>287</v>
      </c>
      <c r="B8" s="190">
        <v>6378.16</v>
      </c>
      <c r="C8" s="190">
        <v>6378.16</v>
      </c>
    </row>
    <row r="9" spans="1:7" x14ac:dyDescent="0.3">
      <c r="A9" s="119" t="s">
        <v>288</v>
      </c>
      <c r="B9" s="190">
        <v>35786.300000000003</v>
      </c>
      <c r="C9" s="190">
        <v>35786.300000000003</v>
      </c>
      <c r="F9" s="188"/>
      <c r="G9" s="188"/>
    </row>
    <row r="10" spans="1:7" x14ac:dyDescent="0.3">
      <c r="A10" s="119" t="s">
        <v>289</v>
      </c>
      <c r="B10" s="192">
        <f>DEGREES(ATAN((COS(RADIANS(B7))-B8/(B9+B8))/SIN(RADIANS(B7))))</f>
        <v>35.008051729265496</v>
      </c>
      <c r="C10" s="192">
        <f>DEGREES(ATAN((COS(RADIANS(C7))-B8/(B9+B8))/SIN(RADIANS(C7))))</f>
        <v>39.997625557419383</v>
      </c>
      <c r="F10" s="186"/>
      <c r="G10" s="186"/>
    </row>
    <row r="11" spans="1:7" x14ac:dyDescent="0.3">
      <c r="A11" s="119" t="s">
        <v>290</v>
      </c>
      <c r="B11" s="191">
        <f>180 + DEGREES(ATAN(TAN(RADIANS(B6))/SIN(RADIANS(B4))))</f>
        <v>221.82020731856079</v>
      </c>
      <c r="C11" s="191">
        <f>180 + DEGREES(ATAN(TAN(RADIANS(C6))/SIN(RADIANS(C4))))</f>
        <v>150.80819109153012</v>
      </c>
      <c r="F11" s="186"/>
      <c r="G11" s="187"/>
    </row>
    <row r="12" spans="1:7" x14ac:dyDescent="0.3">
      <c r="A12" s="119" t="s">
        <v>291</v>
      </c>
      <c r="B12" s="191">
        <f>B9*SQRT(1+((2*B8*(B8+B9))/POWER(B9,2)*(1-COS(RADIANS(B7)))))</f>
        <v>38180.475101277909</v>
      </c>
      <c r="C12" s="193">
        <f>C9*SQRT(1+((2*C8*(C8+C9))/POWER(C9,2)*(1-COS(RADIANS(C7)))))</f>
        <v>37780.795202936883</v>
      </c>
    </row>
    <row r="13" spans="1:7" x14ac:dyDescent="0.3">
      <c r="A13" s="118"/>
      <c r="B13" s="118"/>
      <c r="C13" s="118"/>
    </row>
    <row r="15" spans="1:7" x14ac:dyDescent="0.3">
      <c r="A15" s="119" t="s">
        <v>336</v>
      </c>
      <c r="B15" s="120">
        <v>54</v>
      </c>
      <c r="C15" s="120">
        <v>51</v>
      </c>
    </row>
    <row r="16" spans="1:7" x14ac:dyDescent="0.3">
      <c r="A16" s="119" t="s">
        <v>210</v>
      </c>
      <c r="B16" s="120">
        <v>0.7</v>
      </c>
      <c r="C16" s="120">
        <v>0.7</v>
      </c>
    </row>
    <row r="17" spans="1:3" x14ac:dyDescent="0.3">
      <c r="A17" s="119" t="s">
        <v>334</v>
      </c>
      <c r="B17" s="120">
        <v>50</v>
      </c>
      <c r="C17" s="120">
        <v>50</v>
      </c>
    </row>
    <row r="18" spans="1:3" x14ac:dyDescent="0.3">
      <c r="A18" s="119" t="s">
        <v>335</v>
      </c>
      <c r="B18" s="120">
        <v>3</v>
      </c>
      <c r="C18" s="120">
        <v>3</v>
      </c>
    </row>
    <row r="19" spans="1:3" x14ac:dyDescent="0.3">
      <c r="A19" s="119" t="s">
        <v>211</v>
      </c>
      <c r="B19" s="120">
        <v>27</v>
      </c>
      <c r="C19" s="120">
        <v>27</v>
      </c>
    </row>
    <row r="20" spans="1:3" x14ac:dyDescent="0.3">
      <c r="A20" s="119" t="s">
        <v>212</v>
      </c>
      <c r="B20" s="120">
        <v>0.7</v>
      </c>
      <c r="C20" s="120">
        <v>0.7</v>
      </c>
    </row>
    <row r="21" spans="1:3" x14ac:dyDescent="0.3">
      <c r="A21" s="119" t="s">
        <v>213</v>
      </c>
      <c r="B21" s="120">
        <v>12.75</v>
      </c>
      <c r="C21" s="120">
        <v>12.75</v>
      </c>
    </row>
    <row r="22" spans="1:3" x14ac:dyDescent="0.3">
      <c r="A22" s="119" t="s">
        <v>215</v>
      </c>
      <c r="B22" s="196">
        <f>92.44+20*LOG10(B21)+20*LOG10(B12)</f>
        <v>206.18703026066953</v>
      </c>
      <c r="C22" s="196">
        <f>92.44+20*LOG10(C21)+20*LOG10(C12)</f>
        <v>206.09562558798024</v>
      </c>
    </row>
    <row r="23" spans="1:3" x14ac:dyDescent="0.3">
      <c r="A23" s="119" t="s">
        <v>216</v>
      </c>
      <c r="B23" s="120">
        <v>5.0999999999999996</v>
      </c>
      <c r="C23" s="120">
        <v>5.0999999999999996</v>
      </c>
    </row>
    <row r="24" spans="1:3" x14ac:dyDescent="0.3">
      <c r="A24" s="119" t="s">
        <v>221</v>
      </c>
      <c r="B24" s="121">
        <v>1.3800000000000001E-23</v>
      </c>
      <c r="C24" s="121">
        <v>1.3800000000000001E-23</v>
      </c>
    </row>
    <row r="25" spans="1:3" x14ac:dyDescent="0.3">
      <c r="A25" s="119" t="s">
        <v>217</v>
      </c>
      <c r="B25" s="196">
        <f>B17+290*(POWER(10,B20/10)-1)</f>
        <v>100.72029093246357</v>
      </c>
      <c r="C25" s="196">
        <f>C17+290*(POWER(10,C20/10)-1)</f>
        <v>100.72029093246357</v>
      </c>
    </row>
    <row r="26" spans="1:3" x14ac:dyDescent="0.3">
      <c r="A26" s="119" t="s">
        <v>218</v>
      </c>
      <c r="B26" s="120">
        <f>11+B18</f>
        <v>14</v>
      </c>
      <c r="C26" s="120">
        <f>11+C18</f>
        <v>14</v>
      </c>
    </row>
    <row r="27" spans="1:3" x14ac:dyDescent="0.3">
      <c r="A27" s="119" t="s">
        <v>214</v>
      </c>
      <c r="B27" s="196">
        <f>10*LOG10(B24*B25*B19*1000000)</f>
        <v>-134.25640177870341</v>
      </c>
      <c r="C27" s="196">
        <f>10*LOG10(C24*C25*C19*1000000)</f>
        <v>-134.25640177870341</v>
      </c>
    </row>
    <row r="28" spans="1:3" x14ac:dyDescent="0.3">
      <c r="A28" s="119" t="s">
        <v>333</v>
      </c>
      <c r="B28" s="196">
        <f>B26-B15+B22+B23+B27</f>
        <v>37.030628481966119</v>
      </c>
      <c r="C28" s="196">
        <f>C26-C15+C22+C23+C27</f>
        <v>39.939223809276825</v>
      </c>
    </row>
    <row r="29" spans="1:3" x14ac:dyDescent="0.3">
      <c r="A29" s="119" t="s">
        <v>219</v>
      </c>
      <c r="B29" s="195">
        <f>300000000/(B21*1000000000)</f>
        <v>2.3529411764705882E-2</v>
      </c>
      <c r="C29" s="195">
        <f>300000000/(C21*1000000000)</f>
        <v>2.3529411764705882E-2</v>
      </c>
    </row>
    <row r="31" spans="1:3" x14ac:dyDescent="0.3">
      <c r="A31" s="119" t="s">
        <v>324</v>
      </c>
      <c r="B31" s="196">
        <f>B29*POWER(10,(B28/20))/(PI()*SQRT(B16))</f>
        <v>0.63598020936830035</v>
      </c>
      <c r="C31" s="196">
        <f>C29*POWER(10,(C28/20))/(PI()*SQRT(C16))</f>
        <v>0.88894188095344961</v>
      </c>
    </row>
    <row r="32" spans="1:3" x14ac:dyDescent="0.3">
      <c r="A32" s="119" t="s">
        <v>220</v>
      </c>
      <c r="B32" s="196">
        <f>B28-10*LOG10(B25)</f>
        <v>16.999458766271765</v>
      </c>
      <c r="C32" s="196">
        <f>C28-10*LOG10(C25)</f>
        <v>19.908054093582471</v>
      </c>
    </row>
    <row r="33" spans="1:7" x14ac:dyDescent="0.3">
      <c r="A33" s="119" t="s">
        <v>325</v>
      </c>
      <c r="B33" s="196">
        <f>B15-B23-B22+B28</f>
        <v>-120.25640177870341</v>
      </c>
      <c r="C33" s="196">
        <f>C15-C23-C22+C28</f>
        <v>-120.25640177870341</v>
      </c>
      <c r="D33" s="194"/>
      <c r="E33" s="194"/>
      <c r="F33" s="194"/>
      <c r="G33" s="194"/>
    </row>
    <row r="34" spans="1:7" x14ac:dyDescent="0.3">
      <c r="A34" s="119" t="s">
        <v>326</v>
      </c>
      <c r="B34" s="196">
        <f>(B15-B23-B22+B28)-B27</f>
        <v>14</v>
      </c>
      <c r="C34" s="196">
        <f>(C15-C23-C22+C28)-C27</f>
        <v>14</v>
      </c>
    </row>
    <row r="35" spans="1:7" x14ac:dyDescent="0.3">
      <c r="A35" s="119" t="s">
        <v>321</v>
      </c>
      <c r="B35" s="196">
        <f>B33+60-(29.6*0.2)</f>
        <v>-66.176401778703408</v>
      </c>
      <c r="C35" s="196">
        <f>C33+60-(29.6*0.2)</f>
        <v>-66.176401778703408</v>
      </c>
    </row>
    <row r="36" spans="1:7" x14ac:dyDescent="0.3">
      <c r="A36" s="119" t="s">
        <v>322</v>
      </c>
      <c r="B36" s="196">
        <f>SQRT(POWER(10,(B35/10))*75)*1000000</f>
        <v>4253.1484633272221</v>
      </c>
      <c r="C36" s="196">
        <f>SQRT(POWER(10,(C35/10))*75)*1000000</f>
        <v>4253.1484633272221</v>
      </c>
    </row>
    <row r="37" spans="1:7" x14ac:dyDescent="0.3">
      <c r="A37" s="119" t="s">
        <v>323</v>
      </c>
      <c r="B37" s="196">
        <f>20*LOG10(B36)</f>
        <v>72.574210855213593</v>
      </c>
      <c r="C37" s="196">
        <f>20*LOG10(C36)</f>
        <v>72.574210855213593</v>
      </c>
    </row>
    <row r="38" spans="1:7" x14ac:dyDescent="0.3">
      <c r="A38" s="119" t="s">
        <v>327</v>
      </c>
      <c r="B38" s="196">
        <f>123-B37</f>
        <v>50.425789144786407</v>
      </c>
      <c r="C38" s="196">
        <f>123-C37</f>
        <v>50.425789144786407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opLeftCell="A11" zoomScaleNormal="100" workbookViewId="0">
      <selection activeCell="K16" sqref="K16"/>
    </sheetView>
  </sheetViews>
  <sheetFormatPr baseColWidth="10" defaultRowHeight="14.4" x14ac:dyDescent="0.3"/>
  <cols>
    <col min="1" max="1" width="26.21875" customWidth="1"/>
    <col min="2" max="2" width="17.77734375" customWidth="1"/>
    <col min="3" max="3" width="25.6640625" customWidth="1"/>
    <col min="5" max="5" width="34.88671875" customWidth="1"/>
    <col min="6" max="6" width="21.77734375" customWidth="1"/>
    <col min="7" max="7" width="17.77734375" customWidth="1"/>
    <col min="8" max="8" width="18.6640625" customWidth="1"/>
    <col min="9" max="9" width="5.6640625" customWidth="1"/>
    <col min="10" max="10" width="18.88671875" customWidth="1"/>
    <col min="12" max="12" width="12.88671875" customWidth="1"/>
  </cols>
  <sheetData>
    <row r="1" spans="1:10" x14ac:dyDescent="0.3">
      <c r="A1" s="211"/>
      <c r="B1" s="119" t="s">
        <v>313</v>
      </c>
      <c r="C1" s="119" t="s">
        <v>310</v>
      </c>
      <c r="D1" s="198"/>
      <c r="E1" s="32"/>
      <c r="F1" s="32"/>
      <c r="G1" s="32"/>
      <c r="H1" s="32"/>
    </row>
    <row r="2" spans="1:10" x14ac:dyDescent="0.3">
      <c r="A2" s="119" t="s">
        <v>297</v>
      </c>
      <c r="B2" s="198">
        <f>B3*B6</f>
        <v>523.20000000000005</v>
      </c>
      <c r="C2" s="119" t="s">
        <v>311</v>
      </c>
      <c r="D2" s="198">
        <v>3</v>
      </c>
      <c r="E2" s="32"/>
      <c r="F2" s="32"/>
      <c r="G2" s="32"/>
      <c r="H2" s="32"/>
    </row>
    <row r="3" spans="1:10" x14ac:dyDescent="0.3">
      <c r="A3" s="119" t="s">
        <v>296</v>
      </c>
      <c r="B3" s="198">
        <f>((B4)^2/16)*B5</f>
        <v>799.52256944444457</v>
      </c>
      <c r="C3" s="119" t="s">
        <v>312</v>
      </c>
      <c r="D3" s="198">
        <v>3</v>
      </c>
      <c r="E3" s="32"/>
      <c r="F3" s="32"/>
      <c r="G3" s="32"/>
      <c r="H3" s="32"/>
    </row>
    <row r="4" spans="1:10" x14ac:dyDescent="0.3">
      <c r="A4" s="119" t="s">
        <v>293</v>
      </c>
      <c r="B4" s="200">
        <f>130*(1000/3600)</f>
        <v>36.111111111111114</v>
      </c>
      <c r="C4" s="119" t="s">
        <v>315</v>
      </c>
      <c r="D4" s="198">
        <v>0.27200000000000002</v>
      </c>
      <c r="E4" s="32"/>
      <c r="F4" s="32"/>
      <c r="G4" s="32"/>
      <c r="H4" s="32"/>
    </row>
    <row r="5" spans="1:10" x14ac:dyDescent="0.3">
      <c r="A5" s="210" t="s">
        <v>294</v>
      </c>
      <c r="B5" s="198">
        <v>9.81</v>
      </c>
      <c r="C5" s="32"/>
      <c r="D5" s="32"/>
      <c r="E5" s="32"/>
      <c r="F5" s="32"/>
      <c r="G5" s="32"/>
      <c r="H5" s="32"/>
    </row>
    <row r="6" spans="1:10" x14ac:dyDescent="0.3">
      <c r="A6" s="210" t="s">
        <v>295</v>
      </c>
      <c r="B6" s="198">
        <f>523.2/B3</f>
        <v>0.65439053254437862</v>
      </c>
      <c r="C6" s="32"/>
      <c r="D6" s="32"/>
      <c r="E6" s="32"/>
      <c r="F6" s="32"/>
      <c r="G6" s="32"/>
      <c r="H6" s="32"/>
    </row>
    <row r="7" spans="1:10" x14ac:dyDescent="0.3">
      <c r="A7" s="32"/>
      <c r="B7" s="32"/>
      <c r="C7" s="32"/>
      <c r="D7" s="32"/>
      <c r="E7" s="32"/>
      <c r="F7" s="32"/>
      <c r="G7" s="32"/>
      <c r="H7" s="32"/>
    </row>
    <row r="8" spans="1:10" x14ac:dyDescent="0.3">
      <c r="A8" s="222" t="s">
        <v>301</v>
      </c>
      <c r="B8" s="223"/>
      <c r="C8" s="222" t="s">
        <v>332</v>
      </c>
      <c r="D8" s="223"/>
      <c r="E8" s="32"/>
      <c r="F8" s="32"/>
      <c r="G8" s="32"/>
      <c r="H8" s="32"/>
    </row>
    <row r="9" spans="1:10" x14ac:dyDescent="0.3">
      <c r="A9" s="119" t="s">
        <v>314</v>
      </c>
      <c r="B9" s="198">
        <v>4.4999999999999998E-2</v>
      </c>
      <c r="C9" s="224">
        <v>4.4999999999999998E-2</v>
      </c>
      <c r="D9" s="225"/>
      <c r="E9" s="32"/>
      <c r="F9" s="32"/>
      <c r="G9" s="32"/>
      <c r="H9" s="32"/>
    </row>
    <row r="10" spans="1:10" x14ac:dyDescent="0.3">
      <c r="A10" s="119" t="s">
        <v>298</v>
      </c>
      <c r="B10" s="198">
        <v>6</v>
      </c>
      <c r="C10" s="224">
        <v>3</v>
      </c>
      <c r="D10" s="225"/>
      <c r="E10" s="32"/>
      <c r="F10" s="32"/>
      <c r="G10" s="32"/>
      <c r="H10" s="32"/>
    </row>
    <row r="11" spans="1:10" x14ac:dyDescent="0.3">
      <c r="A11" s="119" t="s">
        <v>299</v>
      </c>
      <c r="B11" s="198">
        <v>0.7</v>
      </c>
      <c r="C11" s="224">
        <v>0.7</v>
      </c>
      <c r="D11" s="225"/>
      <c r="E11" s="32"/>
      <c r="F11" s="32"/>
      <c r="G11" s="32"/>
      <c r="H11" s="32"/>
    </row>
    <row r="12" spans="1:10" x14ac:dyDescent="0.3">
      <c r="A12" s="119" t="s">
        <v>300</v>
      </c>
      <c r="B12" s="198">
        <f>B9*B10*B11</f>
        <v>0.189</v>
      </c>
      <c r="C12" s="224">
        <f>C9*C10*C11</f>
        <v>9.4500000000000001E-2</v>
      </c>
      <c r="D12" s="225"/>
      <c r="E12" s="32"/>
      <c r="F12" s="32"/>
      <c r="G12" s="32"/>
      <c r="H12" s="32"/>
    </row>
    <row r="13" spans="1:10" x14ac:dyDescent="0.3">
      <c r="A13" s="119" t="s">
        <v>317</v>
      </c>
      <c r="B13" s="198">
        <f>800*B12</f>
        <v>151.19999999999999</v>
      </c>
      <c r="C13" s="224">
        <f>800*C12</f>
        <v>75.599999999999994</v>
      </c>
      <c r="D13" s="225"/>
      <c r="E13" s="32"/>
      <c r="F13" s="32"/>
      <c r="G13" s="32"/>
      <c r="H13" s="32"/>
    </row>
    <row r="14" spans="1:10" x14ac:dyDescent="0.3">
      <c r="A14" s="32"/>
      <c r="B14" s="32"/>
      <c r="C14" s="32"/>
      <c r="D14" s="32"/>
      <c r="E14" s="32"/>
      <c r="F14" s="32"/>
      <c r="G14" s="32"/>
      <c r="H14" s="32"/>
    </row>
    <row r="15" spans="1:10" x14ac:dyDescent="0.3">
      <c r="A15" s="32"/>
      <c r="B15" s="32"/>
      <c r="C15" s="32"/>
      <c r="D15" s="32"/>
      <c r="E15" s="32"/>
      <c r="F15" s="32"/>
      <c r="G15" s="32"/>
      <c r="H15" s="32"/>
    </row>
    <row r="16" spans="1:10" x14ac:dyDescent="0.3">
      <c r="A16" s="222" t="s">
        <v>331</v>
      </c>
      <c r="B16" s="223"/>
      <c r="C16" s="119" t="s">
        <v>328</v>
      </c>
      <c r="D16" s="32"/>
      <c r="E16" s="119" t="s">
        <v>337</v>
      </c>
      <c r="F16" s="119" t="s">
        <v>316</v>
      </c>
      <c r="G16" s="32"/>
      <c r="H16" s="119" t="s">
        <v>345</v>
      </c>
      <c r="I16" s="215"/>
      <c r="J16" s="119" t="s">
        <v>346</v>
      </c>
    </row>
    <row r="17" spans="1:13" x14ac:dyDescent="0.3">
      <c r="A17" s="119" t="s">
        <v>302</v>
      </c>
      <c r="B17" s="198">
        <v>93</v>
      </c>
      <c r="C17" s="198">
        <f>B17*B18</f>
        <v>558</v>
      </c>
      <c r="D17" s="32"/>
      <c r="E17" s="198">
        <v>93</v>
      </c>
      <c r="F17" s="198">
        <f>E17*E18</f>
        <v>558</v>
      </c>
      <c r="G17" s="32"/>
      <c r="H17" s="198">
        <v>93</v>
      </c>
      <c r="J17" s="198">
        <f>2*B5</f>
        <v>19.62</v>
      </c>
      <c r="L17" s="119" t="s">
        <v>338</v>
      </c>
      <c r="M17" s="198">
        <f>-SUM(H17,H19,H21,H23,H24)</f>
        <v>-755.30000000000007</v>
      </c>
    </row>
    <row r="18" spans="1:13" x14ac:dyDescent="0.3">
      <c r="A18" s="119" t="s">
        <v>303</v>
      </c>
      <c r="B18" s="198">
        <v>6</v>
      </c>
      <c r="C18" s="198"/>
      <c r="D18" s="32"/>
      <c r="E18" s="198">
        <v>6</v>
      </c>
      <c r="F18" s="198"/>
      <c r="G18" s="32"/>
      <c r="H18" s="198"/>
      <c r="J18" s="198"/>
      <c r="L18" s="119" t="s">
        <v>339</v>
      </c>
      <c r="M18" s="198">
        <f>-SUM(J24,J25,J23,J21,J19,J17)</f>
        <v>-139.30200000000002</v>
      </c>
    </row>
    <row r="19" spans="1:13" x14ac:dyDescent="0.3">
      <c r="A19" s="119" t="s">
        <v>304</v>
      </c>
      <c r="B19" s="198">
        <v>36.5</v>
      </c>
      <c r="C19" s="198">
        <f t="shared" ref="C19" si="0">B19*B20</f>
        <v>146</v>
      </c>
      <c r="D19" s="32"/>
      <c r="E19" s="198">
        <v>36.5</v>
      </c>
      <c r="F19" s="198">
        <f>E19*E20</f>
        <v>146</v>
      </c>
      <c r="G19" s="32"/>
      <c r="H19" s="198">
        <v>36.5</v>
      </c>
      <c r="J19" s="198">
        <f>1.5*B5</f>
        <v>14.715</v>
      </c>
    </row>
    <row r="20" spans="1:13" x14ac:dyDescent="0.3">
      <c r="A20" s="119" t="s">
        <v>305</v>
      </c>
      <c r="B20" s="198">
        <v>4</v>
      </c>
      <c r="C20" s="198"/>
      <c r="D20" s="32"/>
      <c r="E20" s="198">
        <v>4</v>
      </c>
      <c r="F20" s="198"/>
      <c r="G20" s="32"/>
      <c r="H20" s="198"/>
      <c r="J20" s="198"/>
    </row>
    <row r="21" spans="1:13" x14ac:dyDescent="0.3">
      <c r="A21" s="119" t="s">
        <v>309</v>
      </c>
      <c r="B21" s="198">
        <v>27</v>
      </c>
      <c r="C21" s="198">
        <f>B21*B22</f>
        <v>54</v>
      </c>
      <c r="D21" s="32"/>
      <c r="E21" s="198">
        <v>27</v>
      </c>
      <c r="F21" s="198">
        <f>E21*E22</f>
        <v>54</v>
      </c>
      <c r="G21" s="32"/>
      <c r="H21" s="198">
        <v>27</v>
      </c>
      <c r="J21" s="198">
        <f>1.2*B5</f>
        <v>11.772</v>
      </c>
    </row>
    <row r="22" spans="1:13" x14ac:dyDescent="0.3">
      <c r="A22" s="119" t="s">
        <v>306</v>
      </c>
      <c r="B22" s="198">
        <v>2</v>
      </c>
      <c r="C22" s="198"/>
      <c r="D22" s="32"/>
      <c r="E22" s="198">
        <v>2</v>
      </c>
      <c r="F22" s="198"/>
      <c r="G22" s="32"/>
      <c r="H22" s="198"/>
      <c r="J22" s="198"/>
    </row>
    <row r="23" spans="1:13" x14ac:dyDescent="0.3">
      <c r="A23" s="119" t="s">
        <v>307</v>
      </c>
      <c r="B23" s="198">
        <v>523.20000000000005</v>
      </c>
      <c r="C23" s="198">
        <f>B23*B24</f>
        <v>261.60000000000002</v>
      </c>
      <c r="D23" s="32"/>
      <c r="E23" s="198">
        <v>523.20000000000005</v>
      </c>
      <c r="F23" s="198">
        <f>E23*E24</f>
        <v>261.60000000000002</v>
      </c>
      <c r="G23" s="32"/>
      <c r="H23" s="198">
        <v>523.20000000000005</v>
      </c>
      <c r="J23" s="198">
        <f>5*9.81</f>
        <v>49.050000000000004</v>
      </c>
    </row>
    <row r="24" spans="1:13" x14ac:dyDescent="0.3">
      <c r="A24" s="213" t="s">
        <v>308</v>
      </c>
      <c r="B24" s="200">
        <v>0.5</v>
      </c>
      <c r="C24" s="200"/>
      <c r="D24" s="32"/>
      <c r="E24" s="200">
        <v>0.5</v>
      </c>
      <c r="F24" s="200"/>
      <c r="G24" s="32"/>
      <c r="H24" s="200">
        <f>C13</f>
        <v>75.599999999999994</v>
      </c>
      <c r="J24" s="198">
        <f>2*B5</f>
        <v>19.62</v>
      </c>
    </row>
    <row r="25" spans="1:13" x14ac:dyDescent="0.3">
      <c r="A25" s="201"/>
      <c r="B25" s="201"/>
      <c r="C25" s="201"/>
      <c r="D25" s="32"/>
      <c r="E25" s="201"/>
      <c r="F25" s="201"/>
      <c r="G25" s="32"/>
      <c r="H25" s="201"/>
      <c r="J25" s="198">
        <f>2.5*B5</f>
        <v>24.525000000000002</v>
      </c>
    </row>
    <row r="26" spans="1:13" x14ac:dyDescent="0.3">
      <c r="A26" s="212" t="s">
        <v>340</v>
      </c>
      <c r="E26" s="198">
        <v>2.9</v>
      </c>
      <c r="G26" s="32"/>
    </row>
    <row r="27" spans="1:13" x14ac:dyDescent="0.3">
      <c r="A27" s="214" t="s">
        <v>341</v>
      </c>
      <c r="B27" s="198">
        <f>SUM(C17,C19,C21,C23)</f>
        <v>1019.6</v>
      </c>
      <c r="C27" s="203"/>
      <c r="D27" s="207"/>
      <c r="E27" s="216">
        <f>SUM(F17*(E26-E24),F19*(E26-E22),F21*(E20-E26),F23*(E18-E26))</f>
        <v>2340.96</v>
      </c>
      <c r="F27" s="203"/>
      <c r="G27" s="32"/>
      <c r="H27" s="32"/>
    </row>
    <row r="28" spans="1:13" x14ac:dyDescent="0.3">
      <c r="A28" s="119" t="s">
        <v>342</v>
      </c>
      <c r="B28" s="199">
        <f>0.045*280*((B10)^2-(3)^2)</f>
        <v>340.2</v>
      </c>
      <c r="C28" s="203"/>
      <c r="D28" s="32"/>
      <c r="E28" s="199">
        <f>(0.045*280*((C10)^2))*6</f>
        <v>680.4</v>
      </c>
      <c r="F28" s="203"/>
      <c r="G28" s="32"/>
      <c r="H28" s="32"/>
    </row>
    <row r="29" spans="1:13" x14ac:dyDescent="0.3">
      <c r="A29" s="119" t="s">
        <v>343</v>
      </c>
      <c r="B29" s="199">
        <f>B27+B28</f>
        <v>1359.8</v>
      </c>
      <c r="C29" s="202"/>
      <c r="D29" s="32"/>
      <c r="E29" s="199">
        <f>E27+E28</f>
        <v>3021.36</v>
      </c>
      <c r="F29" s="202"/>
      <c r="G29" s="32"/>
      <c r="H29" s="32"/>
    </row>
    <row r="30" spans="1:13" x14ac:dyDescent="0.3">
      <c r="A30" s="213" t="s">
        <v>344</v>
      </c>
      <c r="B30" s="204">
        <f>B29-355</f>
        <v>1004.8</v>
      </c>
      <c r="C30" s="209" t="s">
        <v>329</v>
      </c>
      <c r="D30" s="205"/>
      <c r="E30" s="206">
        <f>E29-355</f>
        <v>2666.36</v>
      </c>
      <c r="F30" s="208" t="s">
        <v>330</v>
      </c>
    </row>
    <row r="31" spans="1:13" x14ac:dyDescent="0.3">
      <c r="A31" s="197"/>
      <c r="B31" s="197"/>
      <c r="C31" s="197"/>
      <c r="E31" s="197"/>
      <c r="F31" s="197"/>
    </row>
    <row r="33" spans="1:4" x14ac:dyDescent="0.3">
      <c r="A33" t="s">
        <v>320</v>
      </c>
      <c r="D33" t="s">
        <v>318</v>
      </c>
    </row>
    <row r="34" spans="1:4" x14ac:dyDescent="0.3">
      <c r="D34" t="s">
        <v>319</v>
      </c>
    </row>
    <row r="42" spans="1:4" x14ac:dyDescent="0.3">
      <c r="B42">
        <v>523.20000000000005</v>
      </c>
      <c r="C42">
        <f>B42*B43</f>
        <v>261.60000000000002</v>
      </c>
    </row>
    <row r="43" spans="1:4" x14ac:dyDescent="0.3">
      <c r="B43">
        <v>0.5</v>
      </c>
    </row>
    <row r="45" spans="1:4" x14ac:dyDescent="0.3">
      <c r="B45">
        <f>SUM(C42)</f>
        <v>261.60000000000002</v>
      </c>
    </row>
    <row r="46" spans="1:4" x14ac:dyDescent="0.3">
      <c r="B46">
        <f>0.045*280*((B10)^2-(3)^2)</f>
        <v>340.2</v>
      </c>
    </row>
    <row r="47" spans="1:4" x14ac:dyDescent="0.3">
      <c r="B47">
        <f>B45+B46</f>
        <v>601.79999999999995</v>
      </c>
    </row>
    <row r="48" spans="1:4" x14ac:dyDescent="0.3">
      <c r="B48">
        <f>B47-355</f>
        <v>246.79999999999995</v>
      </c>
    </row>
  </sheetData>
  <mergeCells count="8">
    <mergeCell ref="A16:B16"/>
    <mergeCell ref="A8:B8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2023-01-17T19:49:47Z</dcterms:modified>
</cp:coreProperties>
</file>