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9576" windowHeight="2760" firstSheet="2" activeTab="2"/>
  </bookViews>
  <sheets>
    <sheet name="Network" sheetId="1" r:id="rId1"/>
    <sheet name="Antenna + Headend" sheetId="2" r:id="rId2"/>
    <sheet name="Satellite" sheetId="3" r:id="rId3"/>
    <sheet name="Mast + Tower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36" i="3"/>
  <c r="C37" i="3" s="1"/>
  <c r="C38" i="3" s="1"/>
  <c r="C40" i="3" s="1"/>
  <c r="B36" i="3"/>
  <c r="G34" i="3"/>
  <c r="B6" i="3"/>
  <c r="B7" i="3" s="1"/>
  <c r="C6" i="3"/>
  <c r="C7" i="3" s="1"/>
  <c r="B25" i="3"/>
  <c r="B27" i="3" s="1"/>
  <c r="C25" i="3"/>
  <c r="C27" i="3" s="1"/>
  <c r="B26" i="3"/>
  <c r="C26" i="3"/>
  <c r="B29" i="3"/>
  <c r="C29" i="3"/>
  <c r="K26" i="4"/>
  <c r="K25" i="4"/>
  <c r="K24" i="4"/>
  <c r="K23" i="4"/>
  <c r="K21" i="4"/>
  <c r="K19" i="4"/>
  <c r="K17" i="4"/>
  <c r="I26" i="4"/>
  <c r="H24" i="4"/>
  <c r="E27" i="4"/>
  <c r="E13" i="4"/>
  <c r="C17" i="4"/>
  <c r="E12" i="4"/>
  <c r="B12" i="4"/>
  <c r="B13" i="4" s="1"/>
  <c r="B27" i="4"/>
  <c r="B26" i="4"/>
  <c r="F23" i="4"/>
  <c r="F21" i="4"/>
  <c r="F19" i="4"/>
  <c r="F17" i="4"/>
  <c r="C21" i="4"/>
  <c r="C23" i="4"/>
  <c r="B28" i="4"/>
  <c r="B29" i="4" s="1"/>
  <c r="C19" i="4"/>
  <c r="B4" i="4"/>
  <c r="B3" i="4" s="1"/>
  <c r="C11" i="3" l="1"/>
  <c r="B11" i="3"/>
  <c r="B37" i="3" s="1"/>
  <c r="B38" i="3" s="1"/>
  <c r="B40" i="3" s="1"/>
  <c r="B12" i="3"/>
  <c r="B22" i="3" s="1"/>
  <c r="B10" i="3"/>
  <c r="C12" i="3"/>
  <c r="C22" i="3" s="1"/>
  <c r="C10" i="3"/>
  <c r="E26" i="4"/>
  <c r="E28" i="4"/>
  <c r="E29" i="4" s="1"/>
  <c r="B6" i="4"/>
  <c r="B2" i="4" s="1"/>
  <c r="C28" i="3" l="1"/>
  <c r="B28" i="3"/>
  <c r="B34" i="3" s="1"/>
  <c r="C35" i="3" l="1"/>
  <c r="B35" i="3"/>
  <c r="C33" i="3"/>
  <c r="C31" i="3"/>
  <c r="C32" i="3" s="1"/>
  <c r="B33" i="3"/>
  <c r="B31" i="3"/>
  <c r="B32" i="3" s="1"/>
  <c r="H96" i="2" l="1"/>
  <c r="I96" i="2"/>
  <c r="O92" i="2"/>
  <c r="O91" i="2"/>
  <c r="N95" i="2"/>
  <c r="F87" i="2"/>
  <c r="O87" i="2" l="1"/>
  <c r="M91" i="2"/>
  <c r="L91" i="2"/>
  <c r="K91" i="2"/>
  <c r="J91" i="2"/>
  <c r="J96" i="2" s="1"/>
  <c r="F41" i="2"/>
  <c r="D308" i="1"/>
  <c r="C308" i="1"/>
  <c r="C307" i="1"/>
  <c r="D307" i="1"/>
  <c r="N52" i="2"/>
  <c r="N53" i="2" s="1"/>
  <c r="N54" i="2" s="1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F53" i="2" l="1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F301" i="1"/>
  <c r="E301" i="1"/>
  <c r="D301" i="1"/>
  <c r="C301" i="1"/>
  <c r="F299" i="1"/>
  <c r="F298" i="1"/>
  <c r="E299" i="1"/>
  <c r="E298" i="1"/>
  <c r="D299" i="1"/>
  <c r="D298" i="1"/>
  <c r="C299" i="1"/>
  <c r="C298" i="1"/>
  <c r="L54" i="2" l="1"/>
  <c r="J54" i="2"/>
  <c r="H54" i="2"/>
  <c r="K54" i="2"/>
  <c r="M44" i="2"/>
  <c r="I45" i="2"/>
  <c r="G54" i="2"/>
  <c r="I54" i="2"/>
  <c r="M54" i="2"/>
  <c r="L44" i="2"/>
  <c r="N44" i="2"/>
  <c r="N91" i="2" s="1"/>
  <c r="F44" i="2"/>
  <c r="F58" i="2" s="1"/>
  <c r="J44" i="2"/>
  <c r="J46" i="2" s="1"/>
  <c r="K44" i="2"/>
  <c r="G44" i="2"/>
  <c r="G58" i="2" s="1"/>
  <c r="H44" i="2"/>
  <c r="H91" i="2" s="1"/>
  <c r="O44" i="2"/>
  <c r="O46" i="2" s="1"/>
  <c r="I44" i="2"/>
  <c r="I91" i="2" s="1"/>
  <c r="N172" i="1"/>
  <c r="H58" i="2" l="1"/>
  <c r="H75" i="2" s="1"/>
  <c r="H76" i="2" s="1"/>
  <c r="H46" i="2"/>
  <c r="H92" i="2"/>
  <c r="N92" i="2"/>
  <c r="L92" i="2"/>
  <c r="I92" i="2"/>
  <c r="M92" i="2"/>
  <c r="M46" i="2"/>
  <c r="H74" i="2"/>
  <c r="I46" i="2"/>
  <c r="I58" i="2"/>
  <c r="L58" i="2"/>
  <c r="L74" i="2" s="1"/>
  <c r="L46" i="2"/>
  <c r="G75" i="2"/>
  <c r="G76" i="2" s="1"/>
  <c r="G74" i="2"/>
  <c r="G46" i="2"/>
  <c r="F74" i="2"/>
  <c r="F75" i="2"/>
  <c r="F76" i="2" s="1"/>
  <c r="N46" i="2"/>
  <c r="K58" i="2"/>
  <c r="K59" i="2" s="1"/>
  <c r="F46" i="2"/>
  <c r="N58" i="2"/>
  <c r="N62" i="2" s="1"/>
  <c r="N64" i="2" s="1"/>
  <c r="M58" i="2"/>
  <c r="M59" i="2" s="1"/>
  <c r="K46" i="2"/>
  <c r="J58" i="2"/>
  <c r="I59" i="2"/>
  <c r="I62" i="2"/>
  <c r="I64" i="2" s="1"/>
  <c r="L59" i="2"/>
  <c r="L62" i="2"/>
  <c r="L64" i="2" s="1"/>
  <c r="F59" i="2"/>
  <c r="F62" i="2"/>
  <c r="F64" i="2" s="1"/>
  <c r="G62" i="2"/>
  <c r="G64" i="2" s="1"/>
  <c r="G59" i="2"/>
  <c r="H59" i="2"/>
  <c r="H62" i="2"/>
  <c r="H64" i="2" s="1"/>
  <c r="L75" i="2" l="1"/>
  <c r="L76" i="2" s="1"/>
  <c r="N59" i="2"/>
  <c r="K62" i="2"/>
  <c r="K64" i="2" s="1"/>
  <c r="M62" i="2"/>
  <c r="M64" i="2" s="1"/>
  <c r="K92" i="2"/>
  <c r="J92" i="2"/>
  <c r="J59" i="2"/>
  <c r="I75" i="2"/>
  <c r="I76" i="2" s="1"/>
  <c r="I63" i="2"/>
  <c r="I74" i="2"/>
  <c r="J74" i="2"/>
  <c r="J75" i="2"/>
  <c r="J76" i="2" s="1"/>
  <c r="J62" i="2"/>
  <c r="J64" i="2" s="1"/>
  <c r="M75" i="2"/>
  <c r="M76" i="2" s="1"/>
  <c r="M74" i="2"/>
  <c r="N75" i="2"/>
  <c r="N76" i="2" s="1"/>
  <c r="N74" i="2"/>
  <c r="K74" i="2"/>
  <c r="K75" i="2"/>
  <c r="K76" i="2" s="1"/>
  <c r="L63" i="2"/>
  <c r="H63" i="2"/>
  <c r="N63" i="2"/>
  <c r="K63" i="2"/>
  <c r="K95" i="2" s="1"/>
  <c r="F63" i="2"/>
  <c r="G63" i="2"/>
  <c r="M63" i="2"/>
  <c r="M95" i="2" s="1"/>
  <c r="I95" i="2" l="1"/>
  <c r="I97" i="2"/>
  <c r="N96" i="2"/>
  <c r="N97" i="2" s="1"/>
  <c r="L95" i="2"/>
  <c r="L96" i="2"/>
  <c r="L97" i="2" s="1"/>
  <c r="K96" i="2"/>
  <c r="K97" i="2" s="1"/>
  <c r="M96" i="2"/>
  <c r="M97" i="2" s="1"/>
  <c r="H95" i="2"/>
  <c r="H97" i="2"/>
  <c r="J63" i="2"/>
  <c r="K80" i="2"/>
  <c r="K81" i="2" s="1"/>
  <c r="K79" i="2"/>
  <c r="H80" i="2"/>
  <c r="H81" i="2" s="1"/>
  <c r="H79" i="2"/>
  <c r="I80" i="2"/>
  <c r="I81" i="2" s="1"/>
  <c r="I79" i="2"/>
  <c r="N80" i="2"/>
  <c r="N81" i="2" s="1"/>
  <c r="N79" i="2"/>
  <c r="L79" i="2"/>
  <c r="L80" i="2"/>
  <c r="L81" i="2" s="1"/>
  <c r="M80" i="2"/>
  <c r="M81" i="2" s="1"/>
  <c r="M79" i="2"/>
  <c r="F79" i="2"/>
  <c r="F80" i="2"/>
  <c r="F81" i="2" s="1"/>
  <c r="G80" i="2"/>
  <c r="G81" i="2" s="1"/>
  <c r="G79" i="2"/>
  <c r="J95" i="2" l="1"/>
  <c r="J97" i="2"/>
  <c r="J79" i="2"/>
  <c r="J80" i="2"/>
  <c r="J81" i="2" s="1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N271" i="1"/>
  <c r="G167" i="1"/>
  <c r="N171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71" i="1"/>
  <c r="H173" i="1"/>
  <c r="H167" i="1"/>
  <c r="H174" i="1"/>
  <c r="H168" i="1"/>
  <c r="H175" i="1"/>
  <c r="H169" i="1"/>
  <c r="H172" i="1"/>
  <c r="G224" i="1"/>
  <c r="G246" i="1"/>
  <c r="K273" i="1"/>
  <c r="K271" i="1"/>
  <c r="K272" i="1"/>
  <c r="K269" i="1"/>
  <c r="K270" i="1"/>
  <c r="K172" i="1"/>
  <c r="J167" i="1"/>
  <c r="J173" i="1"/>
  <c r="J171" i="1"/>
  <c r="J174" i="1"/>
  <c r="J172" i="1"/>
  <c r="J175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4" i="1"/>
  <c r="I175" i="1"/>
  <c r="I172" i="1"/>
  <c r="I173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s="1"/>
  <c r="I277" i="1" l="1"/>
  <c r="J276" i="1"/>
  <c r="I276" i="1"/>
  <c r="H277" i="1"/>
  <c r="H276" i="1"/>
  <c r="J277" i="1"/>
  <c r="G276" i="1"/>
  <c r="C282" i="1" s="1"/>
  <c r="K276" i="1"/>
  <c r="D282" i="1" s="1"/>
  <c r="K277" i="1"/>
  <c r="D283" i="1" s="1"/>
  <c r="G277" i="1"/>
  <c r="C283" i="1" s="1"/>
  <c r="L276" i="1"/>
  <c r="G282" i="1" s="1"/>
  <c r="L277" i="1"/>
  <c r="G283" i="1" s="1"/>
  <c r="M277" i="1"/>
  <c r="H283" i="1" s="1"/>
  <c r="M276" i="1"/>
  <c r="H282" i="1" s="1"/>
  <c r="I282" i="1" l="1"/>
  <c r="D284" i="1"/>
  <c r="G284" i="1"/>
  <c r="E282" i="1"/>
  <c r="C284" i="1"/>
  <c r="I284" i="1"/>
  <c r="I283" i="1"/>
  <c r="H284" i="1"/>
  <c r="E283" i="1"/>
  <c r="E284" i="1"/>
</calcChain>
</file>

<file path=xl/sharedStrings.xml><?xml version="1.0" encoding="utf-8"?>
<sst xmlns="http://schemas.openxmlformats.org/spreadsheetml/2006/main" count="489" uniqueCount="345">
  <si>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</si>
  <si>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</si>
  <si>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</si>
  <si>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</si>
  <si>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</si>
  <si>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</si>
  <si>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</si>
  <si>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</si>
  <si>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</si>
  <si>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</si>
  <si>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</si>
  <si>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</si>
  <si>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</si>
  <si>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</si>
  <si>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</si>
  <si>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</si>
  <si>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</si>
  <si>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</si>
  <si>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</si>
  <si>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</si>
  <si>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</si>
  <si>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</si>
  <si>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</si>
  <si>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</si>
  <si>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</si>
  <si>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</si>
  <si>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</si>
  <si>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</si>
  <si>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</si>
  <si>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</si>
  <si>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</si>
  <si>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</si>
  <si>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</si>
  <si>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</si>
  <si>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</si>
  <si>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</si>
  <si>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</si>
  <si>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</si>
  <si>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</si>
  <si>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</si>
  <si>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</si>
  <si>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</si>
  <si>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</si>
  <si>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</si>
  <si>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</si>
  <si>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</si>
  <si>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</si>
  <si>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</si>
  <si>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</si>
  <si>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</si>
  <si>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</si>
  <si>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</si>
  <si>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</si>
  <si>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</si>
  <si>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</si>
  <si>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</si>
  <si>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</si>
  <si>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</si>
  <si>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</si>
  <si>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</si>
  <si>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</si>
  <si>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</si>
  <si>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</si>
  <si>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</si>
  <si>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</si>
  <si>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</si>
  <si>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</si>
  <si>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</si>
  <si>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</si>
  <si>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</si>
  <si>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</si>
  <si>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</si>
  <si>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</si>
  <si>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</si>
  <si>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</si>
  <si>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</si>
  <si>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</si>
  <si>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</si>
  <si>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</si>
  <si>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</si>
  <si>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</si>
  <si>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</si>
  <si>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</si>
  <si>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</si>
  <si>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</si>
  <si>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</si>
  <si>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</si>
  <si>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</si>
  <si>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</si>
  <si>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</si>
  <si>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</si>
  <si>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</si>
  <si>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</si>
  <si>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</si>
  <si>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</si>
  <si>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</si>
  <si>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</si>
  <si>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</si>
  <si>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</si>
  <si>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</si>
  <si>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</si>
  <si>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</si>
  <si>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</si>
  <si>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</si>
  <si>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</si>
  <si>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</si>
  <si>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</si>
  <si>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</si>
  <si>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</si>
  <si>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</si>
  <si>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</si>
  <si>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</si>
  <si>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</si>
  <si>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</si>
  <si>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</si>
  <si>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</si>
  <si>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</si>
  <si>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</si>
  <si>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</si>
  <si>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</si>
  <si>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</si>
  <si>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</si>
  <si>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</si>
  <si>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</si>
  <si>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</si>
  <si>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</si>
  <si>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</si>
  <si>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</si>
  <si>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</si>
  <si>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</si>
  <si>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</si>
  <si>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</si>
  <si>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</si>
  <si>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</si>
  <si>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</si>
  <si>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</si>
  <si>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</si>
  <si>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</si>
  <si>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</si>
  <si>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</si>
  <si>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</si>
  <si>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</si>
  <si>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</si>
  <si>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</si>
  <si>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</si>
  <si>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</si>
  <si>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</si>
  <si>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</si>
  <si>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</si>
  <si>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</si>
  <si>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</si>
  <si>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</si>
  <si>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</si>
  <si>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</si>
  <si>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</si>
  <si>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</si>
  <si>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</si>
  <si>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</si>
  <si>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</si>
  <si>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</si>
  <si>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</si>
  <si>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</si>
  <si>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</si>
  <si>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</si>
  <si>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</si>
  <si>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</si>
  <si>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</si>
  <si>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</si>
  <si>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</si>
  <si>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</si>
  <si>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</si>
  <si>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</si>
  <si>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</si>
  <si>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</si>
  <si>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</si>
  <si>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</si>
  <si>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</si>
  <si>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</si>
  <si>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</si>
  <si>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</si>
  <si>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</si>
  <si>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</si>
  <si>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</si>
  <si>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</si>
  <si>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</si>
  <si>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</si>
  <si>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</si>
  <si>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</si>
  <si>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</si>
  <si>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</si>
  <si>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</si>
  <si>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</si>
  <si>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</si>
  <si>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</si>
  <si>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</si>
  <si>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</si>
  <si>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</si>
  <si>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</si>
  <si>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</si>
  <si>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</si>
  <si>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</si>
  <si>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</si>
  <si>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</si>
  <si>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</si>
  <si>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</si>
  <si>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</si>
  <si>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</si>
  <si>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</si>
  <si>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</si>
  <si>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</si>
  <si>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 xml:space="preserve">Offset </t>
  </si>
  <si>
    <t>BW (MHz)</t>
  </si>
  <si>
    <t>F_lnb</t>
  </si>
  <si>
    <t>Frec (GHz)</t>
  </si>
  <si>
    <t>ThermalNoise(dBW)</t>
  </si>
  <si>
    <t>Margen (dB)</t>
  </si>
  <si>
    <t>Temp ambiente (K)</t>
  </si>
  <si>
    <t>PIRE (dBW)</t>
  </si>
  <si>
    <t>L_fs (dB)</t>
  </si>
  <si>
    <t>L_atmos (dB)</t>
  </si>
  <si>
    <t>T (K)</t>
  </si>
  <si>
    <t>C/N (dB) DVB-S</t>
  </si>
  <si>
    <t>Gain dish antenna (dB)</t>
  </si>
  <si>
    <t>lambda (m)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</si>
  <si>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</si>
  <si>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</si>
  <si>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</si>
  <si>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</si>
  <si>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</si>
  <si>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</si>
  <si>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</si>
  <si>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</si>
  <si>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</si>
  <si>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</si>
  <si>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</si>
  <si>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</si>
  <si>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</si>
  <si>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</si>
  <si>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</si>
  <si>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</si>
  <si>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</si>
  <si>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</si>
  <si>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</si>
  <si>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</si>
  <si>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</si>
  <si>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</si>
  <si>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</si>
  <si>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</si>
  <si>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</si>
  <si>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</si>
  <si>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</si>
  <si>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</si>
  <si>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</si>
  <si>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</si>
  <si>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</si>
  <si>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</si>
  <si>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</si>
  <si>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</si>
  <si>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</si>
  <si>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</si>
  <si>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</si>
  <si>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</si>
  <si>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</si>
  <si>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Preguntar que tipo de cable es este para buscar los valores que corresponden</t>
  </si>
  <si>
    <t>Preguntar si los valores de Outdoor cable length son estos (Me tienen que decir Josepe estos valores a que altura estan las antenas estas)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</si>
  <si>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</si>
  <si>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</si>
  <si>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</si>
  <si>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</si>
  <si>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</si>
  <si>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</si>
  <si>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</si>
  <si>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</si>
  <si>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</si>
  <si>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</si>
  <si>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</si>
  <si>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</si>
  <si>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</si>
  <si>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</si>
  <si>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</si>
  <si>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</si>
  <si>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</si>
  <si>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</si>
  <si>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</si>
  <si>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</si>
  <si>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</si>
  <si>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</si>
  <si>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</si>
  <si>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</si>
  <si>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</si>
  <si>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</si>
  <si>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</si>
  <si>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Beta</t>
  </si>
  <si>
    <t>RadioTierra</t>
  </si>
  <si>
    <t>DistGeosta</t>
  </si>
  <si>
    <t xml:space="preserve">Elevacion </t>
  </si>
  <si>
    <t>Azimuth</t>
  </si>
  <si>
    <t>dist sat-ant</t>
  </si>
  <si>
    <t>Phi</t>
  </si>
  <si>
    <t>Velocidad viento (m/s)</t>
  </si>
  <si>
    <t>Gravedad (m/s2)</t>
  </si>
  <si>
    <t>Area efectiva incidente (m2)</t>
  </si>
  <si>
    <t>Presion Viento (N/m2)</t>
  </si>
  <si>
    <t>Carga Viento (N)</t>
  </si>
  <si>
    <t>altura_mastil (m)</t>
  </si>
  <si>
    <t>coeficiente_viento</t>
  </si>
  <si>
    <t>area_efectiva_viento (m2)</t>
  </si>
  <si>
    <t>AREA EFECTIVA VIENTO EN MASTIL</t>
  </si>
  <si>
    <t>MOMENTO FLECTOR INSTALACION</t>
  </si>
  <si>
    <t>Carga_viento_TDT (N)</t>
  </si>
  <si>
    <t>Distancia_suelo_TDT (m)</t>
  </si>
  <si>
    <t>Carga_viento_DAB (N)</t>
  </si>
  <si>
    <t>Distancia_suelo_DAB (m)</t>
  </si>
  <si>
    <t>Distancia_suelo_FM (m)</t>
  </si>
  <si>
    <t>Carga_viento_SAT1 (N)</t>
  </si>
  <si>
    <t>Distancia_suelo_SAT1 (m)</t>
  </si>
  <si>
    <t>Carga_viento_FM (N)</t>
  </si>
  <si>
    <t>Momento_antenas (N*m)</t>
  </si>
  <si>
    <t>Momento_mastil</t>
  </si>
  <si>
    <t>Momento_total</t>
  </si>
  <si>
    <t>Inecuacion</t>
  </si>
  <si>
    <t>Torre Serie 180</t>
  </si>
  <si>
    <t>Tramo superior</t>
  </si>
  <si>
    <t xml:space="preserve"> Es mayor la de antenas, no sirve</t>
  </si>
  <si>
    <t>Mástil</t>
  </si>
  <si>
    <t>EJEMPLO PDF</t>
  </si>
  <si>
    <t>grosor_mastil (m)</t>
  </si>
  <si>
    <t>Area efectiva viento(m2)</t>
  </si>
  <si>
    <t>Momento antena (Nm)</t>
  </si>
  <si>
    <t>carga_viento (N)</t>
  </si>
  <si>
    <t>https://www.televes.com/es/g-041-base-fija-de-atornillar-empotrar.html</t>
  </si>
  <si>
    <t>https://www.televes.com/es/3032-tramo-superior-zinc-rpr.html</t>
  </si>
  <si>
    <t>https://www.televes.com/es/3010-mastil-3m-x-o-45mm-x-espesor-2mm.html</t>
  </si>
  <si>
    <t>Fuerzas laterales (igual a carga_viento)</t>
  </si>
  <si>
    <t>Fuerza total (en sentido opuesto)</t>
  </si>
  <si>
    <t>Carga viento al propio mastil tambien suma</t>
  </si>
  <si>
    <t>Fuerzas verticales (según diapositivas he aproximado los pesos de cada antena)</t>
  </si>
  <si>
    <t>a</t>
  </si>
  <si>
    <t>Pin (dBW)</t>
  </si>
  <si>
    <t>Vin (uV)</t>
  </si>
  <si>
    <t>Vin_log (dBuV)</t>
  </si>
  <si>
    <t>G_IF</t>
  </si>
  <si>
    <t>D (m)</t>
  </si>
  <si>
    <t>C/N</t>
  </si>
  <si>
    <t>Prx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</si>
</sst>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0.000"/>
    <numFmt numFmtId="171" formatCode="0.0"/>
    <numFmt numFmtId="179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164" fontId="0" fillId="12" borderId="4" xfId="1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165" fontId="0" fillId="9" borderId="31" xfId="0" applyNumberFormat="1" applyFill="1" applyBorder="1"/>
    <xf numFmtId="165" fontId="0" fillId="9" borderId="32" xfId="0" applyNumberFormat="1" applyFill="1" applyBorder="1"/>
    <xf numFmtId="0" fontId="0" fillId="9" borderId="4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2" xfId="0" applyFill="1" applyBorder="1"/>
    <xf numFmtId="0" fontId="0" fillId="9" borderId="44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4" xfId="0" applyNumberFormat="1" applyFill="1" applyBorder="1"/>
    <xf numFmtId="2" fontId="0" fillId="9" borderId="35" xfId="0" applyNumberFormat="1" applyFill="1" applyBorder="1"/>
    <xf numFmtId="2" fontId="0" fillId="9" borderId="41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2" xfId="0" applyNumberFormat="1" applyFill="1" applyBorder="1"/>
    <xf numFmtId="0" fontId="0" fillId="9" borderId="48" xfId="0" applyFill="1" applyBorder="1"/>
    <xf numFmtId="2" fontId="0" fillId="9" borderId="48" xfId="0" applyNumberFormat="1" applyFill="1" applyBorder="1"/>
    <xf numFmtId="0" fontId="1" fillId="9" borderId="31" xfId="0" applyFont="1" applyFill="1" applyBorder="1"/>
    <xf numFmtId="0" fontId="1" fillId="9" borderId="47" xfId="0" applyFont="1" applyFill="1" applyBorder="1"/>
    <xf numFmtId="0" fontId="1" fillId="9" borderId="32" xfId="0" applyFont="1" applyFill="1" applyBorder="1"/>
    <xf numFmtId="0" fontId="1" fillId="9" borderId="33" xfId="0" applyFont="1" applyFill="1" applyBorder="1"/>
    <xf numFmtId="0" fontId="1" fillId="9" borderId="34" xfId="0" applyFont="1" applyFill="1" applyBorder="1" applyAlignment="1">
      <alignment horizontal="right"/>
    </xf>
    <xf numFmtId="0" fontId="1" fillId="9" borderId="35" xfId="0" applyFont="1" applyFill="1" applyBorder="1" applyAlignment="1">
      <alignment horizontal="right"/>
    </xf>
    <xf numFmtId="0" fontId="1" fillId="9" borderId="36" xfId="0" applyFont="1" applyFill="1" applyBorder="1" applyAlignment="1">
      <alignment horizontal="right"/>
    </xf>
    <xf numFmtId="0" fontId="1" fillId="9" borderId="42" xfId="0" applyFont="1" applyFill="1" applyBorder="1"/>
    <xf numFmtId="0" fontId="1" fillId="9" borderId="48" xfId="0" applyFont="1" applyFill="1" applyBorder="1"/>
    <xf numFmtId="0" fontId="1" fillId="9" borderId="44" xfId="0" applyFont="1" applyFill="1" applyBorder="1"/>
    <xf numFmtId="0" fontId="1" fillId="9" borderId="49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2" xfId="0" applyNumberFormat="1" applyFont="1" applyFill="1" applyBorder="1"/>
    <xf numFmtId="2" fontId="1" fillId="9" borderId="44" xfId="0" applyNumberFormat="1" applyFont="1" applyFill="1" applyBorder="1"/>
    <xf numFmtId="0" fontId="0" fillId="9" borderId="43" xfId="0" applyFill="1" applyBorder="1" applyAlignment="1">
      <alignment horizontal="right"/>
    </xf>
    <xf numFmtId="0" fontId="0" fillId="9" borderId="45" xfId="0" applyFill="1" applyBorder="1" applyAlignment="1">
      <alignment horizontal="right"/>
    </xf>
    <xf numFmtId="0" fontId="0" fillId="9" borderId="46" xfId="0" applyFill="1" applyBorder="1" applyAlignment="1">
      <alignment horizontal="right"/>
    </xf>
    <xf numFmtId="0" fontId="0" fillId="9" borderId="50" xfId="0" applyFill="1" applyBorder="1"/>
    <xf numFmtId="0" fontId="1" fillId="9" borderId="51" xfId="0" applyFont="1" applyFill="1" applyBorder="1"/>
    <xf numFmtId="0" fontId="0" fillId="0" borderId="52" xfId="0" applyFill="1" applyBorder="1"/>
    <xf numFmtId="0" fontId="0" fillId="0" borderId="0" xfId="0" applyBorder="1"/>
    <xf numFmtId="0" fontId="0" fillId="9" borderId="51" xfId="0" applyFill="1" applyBorder="1"/>
    <xf numFmtId="2" fontId="1" fillId="9" borderId="8" xfId="0" applyNumberFormat="1" applyFont="1" applyFill="1" applyBorder="1"/>
    <xf numFmtId="0" fontId="0" fillId="0" borderId="0" xfId="0" applyFill="1" applyBorder="1"/>
    <xf numFmtId="2" fontId="1" fillId="0" borderId="0" xfId="0" applyNumberFormat="1" applyFont="1" applyFill="1" applyBorder="1"/>
    <xf numFmtId="0" fontId="0" fillId="0" borderId="53" xfId="0" applyBorder="1"/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2" fontId="0" fillId="0" borderId="0" xfId="0" applyNumberFormat="1"/>
    <xf numFmtId="171" fontId="0" fillId="0" borderId="0" xfId="0" applyNumberFormat="1"/>
    <xf numFmtId="1" fontId="0" fillId="0" borderId="0" xfId="0" applyNumberFormat="1"/>
    <xf numFmtId="0" fontId="4" fillId="0" borderId="0" xfId="0" applyFont="1" applyBorder="1" applyAlignment="1">
      <alignment horizontal="center"/>
    </xf>
    <xf numFmtId="0" fontId="3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1" fontId="0" fillId="19" borderId="4" xfId="0" applyNumberFormat="1" applyFill="1" applyBorder="1" applyAlignment="1">
      <alignment horizontal="center"/>
    </xf>
    <xf numFmtId="171" fontId="0" fillId="19" borderId="4" xfId="0" applyNumberFormat="1" applyFill="1" applyBorder="1" applyAlignment="1">
      <alignment horizontal="center"/>
    </xf>
    <xf numFmtId="11" fontId="0" fillId="0" borderId="0" xfId="0" applyNumberFormat="1"/>
    <xf numFmtId="0" fontId="1" fillId="15" borderId="0" xfId="0" applyFont="1" applyFill="1" applyBorder="1" applyAlignment="1">
      <alignment horizontal="center"/>
    </xf>
    <xf numFmtId="17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topLeftCell="E1" zoomScale="90" zoomScaleNormal="90" workbookViewId="0">
      <selection activeCell="G308" sqref="G308"/>
    </sheetView>
  </sheetViews>
  <sheetFormatPr baseColWidth="10" defaultRowHeight="14.4" x14ac:dyDescent="0.3"/>
  <cols>
    <col min="1" max="1" width="56.88671875" customWidth="1"/>
    <col min="2" max="2" width="16.109375" customWidth="1"/>
    <col min="3" max="3" width="21.33203125" customWidth="1"/>
    <col min="4" max="4" width="16.5546875" customWidth="1"/>
    <col min="5" max="5" width="14.5546875" customWidth="1"/>
    <col min="7" max="7" width="12.6640625" customWidth="1"/>
    <col min="14" max="14" width="15.33203125" customWidth="1"/>
  </cols>
  <sheetData>
    <row r="1" spans="1:15" ht="15" thickBot="1" x14ac:dyDescent="0.35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">
      <c r="A2" s="1" t="s">
        <v>0</v>
      </c>
      <c r="B2" s="1"/>
      <c r="C2" s="1"/>
      <c r="D2" s="1"/>
      <c r="E2" s="1"/>
    </row>
    <row r="3" spans="1:15" ht="15" thickBot="1" x14ac:dyDescent="0.35"/>
    <row r="4" spans="1:15" ht="15" thickBot="1" x14ac:dyDescent="0.35">
      <c r="A4" s="15" t="s">
        <v>2</v>
      </c>
    </row>
    <row r="5" spans="1:15" x14ac:dyDescent="0.3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35"/>
    <row r="10" spans="1:15" ht="15" thickBot="1" x14ac:dyDescent="0.35">
      <c r="A10" s="17" t="s">
        <v>7</v>
      </c>
      <c r="C10" s="18" t="s">
        <v>8</v>
      </c>
      <c r="D10" s="18" t="s">
        <v>9</v>
      </c>
    </row>
    <row r="11" spans="1:15" x14ac:dyDescent="0.3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">
      <c r="A12" s="9" t="s">
        <v>74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">
      <c r="A14" s="9" t="s">
        <v>65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35"/>
    <row r="16" spans="1:15" ht="15" thickBot="1" x14ac:dyDescent="0.35">
      <c r="A16" s="28" t="s">
        <v>28</v>
      </c>
      <c r="B16" s="29"/>
      <c r="C16" s="30"/>
    </row>
    <row r="17" spans="1:15" ht="15" thickBot="1" x14ac:dyDescent="0.35"/>
    <row r="18" spans="1:15" ht="16.2" thickBot="1" x14ac:dyDescent="0.35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200</v>
      </c>
      <c r="I18" s="8" t="s">
        <v>201</v>
      </c>
      <c r="J18" s="8" t="s">
        <v>202</v>
      </c>
      <c r="K18" s="84" t="s">
        <v>60</v>
      </c>
      <c r="L18" s="86" t="s">
        <v>75</v>
      </c>
      <c r="M18" s="87" t="s">
        <v>76</v>
      </c>
    </row>
    <row r="19" spans="1:15" ht="15" thickBot="1" x14ac:dyDescent="0.35">
      <c r="A19" s="54" t="s">
        <v>159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35">
      <c r="A20" s="55" t="s">
        <v>158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35">
      <c r="A21" s="55" t="s">
        <v>157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35">
      <c r="A22" s="55" t="s">
        <v>187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35">
      <c r="A23" s="56" t="s">
        <v>156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35">
      <c r="A24" s="52"/>
      <c r="N24" s="91"/>
      <c r="O24" s="91"/>
    </row>
    <row r="25" spans="1:15" ht="15" thickBot="1" x14ac:dyDescent="0.35">
      <c r="A25" s="54" t="s">
        <v>155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35">
      <c r="A26" s="55" t="s">
        <v>154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35">
      <c r="A27" s="55" t="s">
        <v>153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35">
      <c r="A28" s="55" t="s">
        <v>188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35">
      <c r="A29" s="56" t="s">
        <v>152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35">
      <c r="A30" s="52"/>
      <c r="N30" s="91"/>
      <c r="O30" s="91"/>
    </row>
    <row r="31" spans="1:15" ht="15" thickBot="1" x14ac:dyDescent="0.35">
      <c r="A31" s="54" t="s">
        <v>127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35">
      <c r="A32" s="55" t="s">
        <v>126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35">
      <c r="A33" s="55" t="s">
        <v>125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35">
      <c r="A34" s="55" t="s">
        <v>124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35">
      <c r="A35" s="55" t="s">
        <v>194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35">
      <c r="A36" s="56" t="s">
        <v>123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35">
      <c r="A37" s="52"/>
      <c r="N37" s="91"/>
      <c r="O37" s="91"/>
    </row>
    <row r="38" spans="1:15" ht="15" thickBot="1" x14ac:dyDescent="0.35">
      <c r="A38" s="54" t="s">
        <v>122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35">
      <c r="A39" s="55" t="s">
        <v>121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35">
      <c r="A40" s="55" t="s">
        <v>120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35">
      <c r="A41" s="55" t="s">
        <v>119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35">
      <c r="A42" s="55" t="s">
        <v>194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35">
      <c r="A43" s="56" t="s">
        <v>118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35">
      <c r="A44" s="52"/>
      <c r="N44" s="91"/>
      <c r="O44" s="91"/>
    </row>
    <row r="45" spans="1:15" ht="15" thickBot="1" x14ac:dyDescent="0.35">
      <c r="A45" s="54" t="s">
        <v>151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35">
      <c r="A46" s="55" t="s">
        <v>150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35">
      <c r="A47" s="55" t="s">
        <v>149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35">
      <c r="A48" s="55" t="s">
        <v>189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35">
      <c r="A49" s="56" t="s">
        <v>148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35">
      <c r="A50" s="52"/>
      <c r="N50" s="91"/>
      <c r="O50" s="91"/>
    </row>
    <row r="51" spans="1:15" ht="15" thickBot="1" x14ac:dyDescent="0.35">
      <c r="A51" s="54" t="s">
        <v>147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35">
      <c r="A52" s="55" t="s">
        <v>146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35">
      <c r="A53" s="55" t="s">
        <v>145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35">
      <c r="A54" s="55" t="s">
        <v>190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35">
      <c r="A55" s="56" t="s">
        <v>144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35">
      <c r="A56" s="52"/>
      <c r="N56" s="91"/>
      <c r="O56" s="91"/>
    </row>
    <row r="57" spans="1:15" ht="15" thickBot="1" x14ac:dyDescent="0.35">
      <c r="A57" s="54" t="s">
        <v>117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35">
      <c r="A58" s="55" t="s">
        <v>116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35">
      <c r="A59" s="55" t="s">
        <v>115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35">
      <c r="A60" s="55" t="s">
        <v>114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35">
      <c r="A61" s="55" t="s">
        <v>195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35">
      <c r="A62" s="56" t="s">
        <v>113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35">
      <c r="A63" s="52"/>
      <c r="N63" s="91"/>
      <c r="O63" s="91"/>
    </row>
    <row r="64" spans="1:15" ht="15" thickBot="1" x14ac:dyDescent="0.35">
      <c r="A64" s="54" t="s">
        <v>112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35">
      <c r="A65" s="55" t="s">
        <v>111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35">
      <c r="A66" s="55" t="s">
        <v>110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35">
      <c r="A67" s="55" t="s">
        <v>109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35">
      <c r="A68" s="55" t="s">
        <v>194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35">
      <c r="A69" s="56" t="s">
        <v>108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35">
      <c r="A70" s="52"/>
      <c r="N70" s="91"/>
      <c r="O70" s="91"/>
    </row>
    <row r="71" spans="1:15" ht="15" thickBot="1" x14ac:dyDescent="0.35">
      <c r="A71" s="54" t="s">
        <v>143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35">
      <c r="A72" s="55" t="s">
        <v>142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35">
      <c r="A73" s="55" t="s">
        <v>141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35">
      <c r="A74" s="55" t="s">
        <v>140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35">
      <c r="A75" s="56" t="s">
        <v>139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35">
      <c r="A76" s="52"/>
      <c r="N76" s="91"/>
      <c r="O76" s="91"/>
    </row>
    <row r="77" spans="1:15" ht="15" thickBot="1" x14ac:dyDescent="0.35">
      <c r="A77" s="54" t="s">
        <v>138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35">
      <c r="A78" s="55" t="s">
        <v>137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35">
      <c r="A79" s="55" t="s">
        <v>136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35">
      <c r="A80" s="55" t="s">
        <v>191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35">
      <c r="A81" s="56" t="s">
        <v>135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35">
      <c r="A82" s="52"/>
      <c r="N82" s="91"/>
      <c r="O82" s="91"/>
    </row>
    <row r="83" spans="1:15" ht="15" thickBot="1" x14ac:dyDescent="0.35">
      <c r="A83" s="54" t="s">
        <v>107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35">
      <c r="A84" s="55" t="s">
        <v>106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35">
      <c r="A85" s="55" t="s">
        <v>105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35">
      <c r="A86" s="55" t="s">
        <v>104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35">
      <c r="A87" s="55" t="s">
        <v>196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35">
      <c r="A88" s="56" t="s">
        <v>103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35">
      <c r="A90" s="54" t="s">
        <v>102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35">
      <c r="A91" s="55" t="s">
        <v>101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35">
      <c r="A92" s="55" t="s">
        <v>100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35">
      <c r="A93" s="55" t="s">
        <v>99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35">
      <c r="A94" s="55" t="s">
        <v>196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35">
      <c r="A95" s="56" t="s">
        <v>98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35">
      <c r="N96" s="92"/>
      <c r="O96" s="92"/>
    </row>
    <row r="97" spans="1:15" s="52" customFormat="1" ht="15" thickBot="1" x14ac:dyDescent="0.35">
      <c r="A97" s="54" t="s">
        <v>134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35">
      <c r="A98" s="55" t="s">
        <v>133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35">
      <c r="A99" s="55" t="s">
        <v>132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35">
      <c r="A100" s="55" t="s">
        <v>192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35">
      <c r="A101" s="56" t="s">
        <v>131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35">
      <c r="N102" s="92"/>
      <c r="O102" s="92"/>
    </row>
    <row r="103" spans="1:15" s="52" customFormat="1" ht="15" thickBot="1" x14ac:dyDescent="0.35">
      <c r="A103" s="54" t="s">
        <v>130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35">
      <c r="A104" s="55" t="s">
        <v>129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35">
      <c r="A105" s="55" t="s">
        <v>128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35">
      <c r="A106" s="55" t="s">
        <v>193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35">
      <c r="A107" s="56" t="s">
        <v>97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35">
      <c r="N108" s="92"/>
      <c r="O108" s="92"/>
    </row>
    <row r="109" spans="1:15" s="52" customFormat="1" ht="15" thickBot="1" x14ac:dyDescent="0.35">
      <c r="A109" s="54" t="s">
        <v>96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35">
      <c r="A110" s="55" t="s">
        <v>95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35">
      <c r="A111" s="55" t="s">
        <v>94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35">
      <c r="A112" s="55" t="s">
        <v>93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35">
      <c r="A113" s="55" t="s">
        <v>197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35">
      <c r="A114" s="56" t="s">
        <v>92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35">
      <c r="N115" s="92"/>
      <c r="O115" s="92"/>
    </row>
    <row r="116" spans="1:15" s="52" customFormat="1" ht="15" thickBot="1" x14ac:dyDescent="0.35">
      <c r="A116" s="54" t="s">
        <v>91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35">
      <c r="A117" s="55" t="s">
        <v>90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35">
      <c r="A118" s="55" t="s">
        <v>89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35">
      <c r="A119" s="55" t="s">
        <v>88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35">
      <c r="A120" s="55" t="s">
        <v>197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35">
      <c r="A121" s="56" t="s">
        <v>87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35">
      <c r="N122" s="92"/>
      <c r="O122" s="92"/>
    </row>
    <row r="123" spans="1:15" s="52" customFormat="1" ht="15" thickBot="1" x14ac:dyDescent="0.35">
      <c r="A123" s="54" t="s">
        <v>62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35">
      <c r="A124" s="55" t="s">
        <v>63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35">
      <c r="A125" s="56" t="s">
        <v>64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35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35"/>
    <row r="145" spans="1:15" ht="15" thickBot="1" x14ac:dyDescent="0.35">
      <c r="A145" s="12" t="s">
        <v>15</v>
      </c>
      <c r="C145" s="11" t="s">
        <v>18</v>
      </c>
    </row>
    <row r="146" spans="1:15" ht="15" thickBot="1" x14ac:dyDescent="0.35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35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35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35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35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35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35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35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35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35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35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35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35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35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35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35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35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35"/>
    <row r="166" spans="1:15" ht="15" thickBot="1" x14ac:dyDescent="0.35">
      <c r="A166" s="13" t="s">
        <v>19</v>
      </c>
      <c r="G166" s="77" t="s">
        <v>59</v>
      </c>
      <c r="H166" s="77" t="s">
        <v>200</v>
      </c>
      <c r="I166" s="77" t="s">
        <v>201</v>
      </c>
      <c r="J166" s="77" t="s">
        <v>202</v>
      </c>
      <c r="K166" s="8" t="s">
        <v>60</v>
      </c>
      <c r="L166" s="8" t="s">
        <v>75</v>
      </c>
      <c r="M166" s="85" t="s">
        <v>76</v>
      </c>
      <c r="N166" s="18" t="s">
        <v>8</v>
      </c>
      <c r="O166" s="18" t="s">
        <v>9</v>
      </c>
    </row>
    <row r="167" spans="1:15" ht="15" thickBot="1" x14ac:dyDescent="0.35">
      <c r="A167" s="54" t="s">
        <v>86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" thickBot="1" x14ac:dyDescent="0.35">
      <c r="A168" s="55" t="s">
        <v>85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M169" si="132">SUM(K$161:K$162)+K$160+K124</f>
        <v>48.921999999999997</v>
      </c>
      <c r="L168" s="111">
        <f t="shared" si="132"/>
        <v>52.695</v>
      </c>
      <c r="M168" s="113">
        <f t="shared" si="132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" thickBot="1" x14ac:dyDescent="0.35">
      <c r="A169" s="56" t="s">
        <v>84</v>
      </c>
      <c r="G169" s="112">
        <f>SUM(G161:G162)+G160+G125</f>
        <v>43.888999999999996</v>
      </c>
      <c r="H169" s="112">
        <f t="shared" ref="H169" si="133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2"/>
        <v>49.510000000000005</v>
      </c>
      <c r="L169" s="112">
        <f t="shared" si="132"/>
        <v>53.325000000000003</v>
      </c>
      <c r="M169" s="110">
        <f t="shared" si="132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" thickBot="1" x14ac:dyDescent="0.35"/>
    <row r="171" spans="1:15" ht="15" thickBot="1" x14ac:dyDescent="0.35">
      <c r="A171" s="54" t="s">
        <v>159</v>
      </c>
      <c r="G171" s="58">
        <f>SUM(G$161:G$162)+G$159+G$158+G$157+$G19</f>
        <v>36.242999999999995</v>
      </c>
      <c r="H171" s="58">
        <f>SUM(H$161:H$162)+H$159+H$158+H$157+$G19</f>
        <v>36.338999999999999</v>
      </c>
      <c r="I171" s="58">
        <f>SUM(I$161:I$162)+I$159+I$158+I$157+$I19</f>
        <v>37.835000000000001</v>
      </c>
      <c r="J171" s="58">
        <f>SUM(J$161:J$162)+J$159+J$158+J$157+$I19</f>
        <v>38.069000000000003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" thickBot="1" x14ac:dyDescent="0.35">
      <c r="A172" s="55" t="s">
        <v>158</v>
      </c>
      <c r="G172" s="58">
        <f>SUM(G$161:G$162)+G$159+G$158+G$157+$G20</f>
        <v>36.096000000000004</v>
      </c>
      <c r="H172" s="58">
        <f>SUM(H$161:H$162)+H$159+H$158+H$157+$G20</f>
        <v>36.192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4">SUM(L$161:L$162)+L$159+L$158+L$157+$L20</f>
        <v>43.61</v>
      </c>
      <c r="M172" s="58">
        <f t="shared" ref="M172:M175" si="135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" thickBot="1" x14ac:dyDescent="0.35">
      <c r="A173" s="55" t="s">
        <v>157</v>
      </c>
      <c r="G173" s="58">
        <f>SUM(G$161:G$162)+G$159+G$158+G$157+$G21</f>
        <v>35.9</v>
      </c>
      <c r="H173" s="58">
        <f t="shared" ref="H173:J175" si="136">SUM(H$161:H$162)+H$159+H$158+H$157+$G21</f>
        <v>35.995999999999995</v>
      </c>
      <c r="I173" s="58">
        <f t="shared" si="136"/>
        <v>36.158000000000001</v>
      </c>
      <c r="J173" s="58">
        <f t="shared" si="136"/>
        <v>36.391999999999996</v>
      </c>
      <c r="K173" s="58">
        <f t="shared" ref="K173:K174" si="137">SUM(K$161:K$162)+K$159+K$158+K$157+$K21</f>
        <v>39.908000000000001</v>
      </c>
      <c r="L173" s="58">
        <f t="shared" si="134"/>
        <v>42.769999999999996</v>
      </c>
      <c r="M173" s="58">
        <f t="shared" si="135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" thickBot="1" x14ac:dyDescent="0.35">
      <c r="A174" s="55" t="s">
        <v>160</v>
      </c>
      <c r="G174" s="58">
        <f>SUM(G$161:G$162)+G$159+G$158+G$157+$G22</f>
        <v>35.262999999999998</v>
      </c>
      <c r="H174" s="58">
        <f t="shared" si="136"/>
        <v>35.359000000000002</v>
      </c>
      <c r="I174" s="58">
        <f t="shared" si="136"/>
        <v>35.521000000000001</v>
      </c>
      <c r="J174" s="58">
        <f t="shared" si="136"/>
        <v>35.755000000000003</v>
      </c>
      <c r="K174" s="58">
        <f t="shared" si="137"/>
        <v>37.36</v>
      </c>
      <c r="L174" s="58">
        <f t="shared" si="134"/>
        <v>40.04</v>
      </c>
      <c r="M174" s="58">
        <f t="shared" si="135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" thickBot="1" x14ac:dyDescent="0.35">
      <c r="A175" s="56" t="s">
        <v>156</v>
      </c>
      <c r="G175" s="63">
        <f t="shared" ref="G175" si="138">SUM(G$161:G$162)+G$159+G$158+G$157+$G23</f>
        <v>35.997999999999998</v>
      </c>
      <c r="H175" s="63">
        <f t="shared" si="136"/>
        <v>36.094000000000001</v>
      </c>
      <c r="I175" s="63">
        <f>SUM(I$161:I$162)+I$159+I$158+I$157+$I23</f>
        <v>37.36</v>
      </c>
      <c r="J175" s="63">
        <f t="shared" si="136"/>
        <v>36.49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135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" thickBot="1" x14ac:dyDescent="0.35">
      <c r="A176" s="52"/>
    </row>
    <row r="177" spans="1:15" ht="15" thickBot="1" x14ac:dyDescent="0.35">
      <c r="A177" s="54" t="s">
        <v>155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" thickBot="1" x14ac:dyDescent="0.35">
      <c r="A178" s="55" t="s">
        <v>154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39">SUM(I$161:I$162)+I$159+I$158+I$157+$I26</f>
        <v>37.17</v>
      </c>
      <c r="J178" s="58">
        <f t="shared" ref="J178:J181" si="140">SUM(J$161:J$162)+J$159+J$158+J$157+$J26</f>
        <v>38.393999999999998</v>
      </c>
      <c r="K178" s="58">
        <f t="shared" ref="K178:K181" si="141">SUM(K$161:K$162)+K$159+K$158+K$157+$K26</f>
        <v>39.908000000000001</v>
      </c>
      <c r="L178" s="58">
        <f t="shared" ref="L178:L181" si="142">SUM(L$161:L$162)+L$159+L$158+L$157+$L26</f>
        <v>42.769999999999996</v>
      </c>
      <c r="M178" s="58">
        <f t="shared" ref="M178:M181" si="14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" thickBot="1" x14ac:dyDescent="0.35">
      <c r="A179" s="55" t="s">
        <v>153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39"/>
        <v>37.17</v>
      </c>
      <c r="J179" s="58">
        <f t="shared" si="140"/>
        <v>38.393999999999998</v>
      </c>
      <c r="K179" s="58">
        <f t="shared" si="141"/>
        <v>39.908000000000001</v>
      </c>
      <c r="L179" s="58">
        <f t="shared" si="142"/>
        <v>42.769999999999996</v>
      </c>
      <c r="M179" s="58">
        <f t="shared" si="14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" thickBot="1" x14ac:dyDescent="0.35">
      <c r="A180" s="55" t="s">
        <v>161</v>
      </c>
      <c r="G180" s="58">
        <f t="shared" ref="G180:G181" si="144">SUM(G$161:G$162)+G$159+G$158+G$157+G28</f>
        <v>35.262999999999998</v>
      </c>
      <c r="H180" s="58">
        <f t="shared" ref="H180:H181" si="145">SUM(H$161:H$162)+H$159+H$158+H$157+$H28</f>
        <v>35.503</v>
      </c>
      <c r="I180" s="58">
        <f>SUM(I$161:I$162)+I$159+I$158+I$157+$I28</f>
        <v>35.935000000000002</v>
      </c>
      <c r="J180" s="58">
        <f t="shared" si="140"/>
        <v>36.573999999999998</v>
      </c>
      <c r="K180" s="58">
        <f t="shared" si="141"/>
        <v>37.36</v>
      </c>
      <c r="L180" s="58">
        <f t="shared" si="142"/>
        <v>40.04</v>
      </c>
      <c r="M180" s="58">
        <f t="shared" si="14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" thickBot="1" x14ac:dyDescent="0.35">
      <c r="A181" s="56" t="s">
        <v>152</v>
      </c>
      <c r="G181" s="63">
        <f t="shared" si="144"/>
        <v>35.997999999999998</v>
      </c>
      <c r="H181" s="63">
        <f t="shared" si="145"/>
        <v>36.478000000000002</v>
      </c>
      <c r="I181" s="63">
        <f t="shared" si="139"/>
        <v>37.36</v>
      </c>
      <c r="J181" s="63">
        <f t="shared" si="140"/>
        <v>38.673999999999999</v>
      </c>
      <c r="K181" s="63">
        <f t="shared" si="141"/>
        <v>40.299999999999997</v>
      </c>
      <c r="L181" s="63">
        <f t="shared" si="142"/>
        <v>43.19</v>
      </c>
      <c r="M181" s="63">
        <f t="shared" si="14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" thickBot="1" x14ac:dyDescent="0.35">
      <c r="A182" s="52"/>
    </row>
    <row r="183" spans="1:15" ht="15" thickBot="1" x14ac:dyDescent="0.35">
      <c r="A183" s="54" t="s">
        <v>127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 t="shared" ref="N183:N188" si="146">SUM(N$161:N$162)+N$147+N$149+N$150+N$152+N$153+N$155+N$157+$N31</f>
        <v>8.5879999999999992</v>
      </c>
      <c r="O183" s="100">
        <f t="shared" ref="O183:O188" si="147">SUM(O$161:O$162)+O$147+O$149+O$150+O$152+O$153+O$155+O$157+$O31</f>
        <v>8.5</v>
      </c>
    </row>
    <row r="184" spans="1:15" ht="15" thickBot="1" x14ac:dyDescent="0.35">
      <c r="A184" s="55" t="s">
        <v>126</v>
      </c>
      <c r="G184" s="58">
        <f t="shared" ref="G184:G188" si="148">SUM(G$161:G$162)+G$159+G$158+G$157+G32</f>
        <v>38.683999999999997</v>
      </c>
      <c r="H184" s="58">
        <f t="shared" ref="H184:H188" si="149">SUM(H$161:H$162)+H$159+H$158+H$157+$H32</f>
        <v>39.387999999999998</v>
      </c>
      <c r="I184" s="58">
        <f t="shared" ref="I184:I188" si="150">SUM(I$161:I$162)+I$159+I$158+I$157+$I32</f>
        <v>40.69</v>
      </c>
      <c r="J184" s="58">
        <f t="shared" ref="J184:J188" si="151">SUM(J$161:J$162)+J$159+J$158+J$157+$J32</f>
        <v>42.634</v>
      </c>
      <c r="K184" s="58">
        <f t="shared" ref="K184:K188" si="152">SUM(K$161:K$162)+K$159+K$158+K$157+$K32</f>
        <v>45.043999999999997</v>
      </c>
      <c r="L184" s="58">
        <f t="shared" ref="L184:L188" si="153">SUM(L$161:L$162)+L$159+L$158+L$157+$L32</f>
        <v>49.129999999999995</v>
      </c>
      <c r="M184" s="58">
        <f t="shared" ref="M184:M188" si="154">SUM(L$161:L$162)+L$159+L$158+L$157+$L32</f>
        <v>49.129999999999995</v>
      </c>
      <c r="N184" s="100">
        <f t="shared" si="146"/>
        <v>11.233999999999998</v>
      </c>
      <c r="O184" s="100">
        <f t="shared" si="147"/>
        <v>10.57</v>
      </c>
    </row>
    <row r="185" spans="1:15" ht="15" thickBot="1" x14ac:dyDescent="0.35">
      <c r="A185" s="55" t="s">
        <v>125</v>
      </c>
      <c r="G185" s="58">
        <f t="shared" si="148"/>
        <v>37.753</v>
      </c>
      <c r="H185" s="58">
        <f t="shared" si="149"/>
        <v>38.152999999999999</v>
      </c>
      <c r="I185" s="58">
        <f t="shared" si="150"/>
        <v>38.885000000000005</v>
      </c>
      <c r="J185" s="58">
        <f t="shared" si="151"/>
        <v>39.974000000000004</v>
      </c>
      <c r="K185" s="58">
        <f t="shared" si="152"/>
        <v>41.32</v>
      </c>
      <c r="L185" s="58">
        <f t="shared" si="153"/>
        <v>45.14</v>
      </c>
      <c r="M185" s="58">
        <f t="shared" si="154"/>
        <v>45.14</v>
      </c>
      <c r="N185" s="100">
        <f t="shared" si="146"/>
        <v>8.4409999999999989</v>
      </c>
      <c r="O185" s="100">
        <f t="shared" si="147"/>
        <v>8.3850000000000016</v>
      </c>
    </row>
    <row r="186" spans="1:15" ht="15" thickBot="1" x14ac:dyDescent="0.35">
      <c r="A186" s="55" t="s">
        <v>124</v>
      </c>
      <c r="G186" s="58">
        <f t="shared" si="148"/>
        <v>38.781999999999996</v>
      </c>
      <c r="H186" s="58">
        <f t="shared" si="149"/>
        <v>39.518000000000001</v>
      </c>
      <c r="I186" s="58">
        <f t="shared" si="150"/>
        <v>40.880000000000003</v>
      </c>
      <c r="J186" s="58">
        <f t="shared" si="151"/>
        <v>42.914000000000001</v>
      </c>
      <c r="K186" s="58">
        <f t="shared" si="152"/>
        <v>45.436000000000007</v>
      </c>
      <c r="L186" s="58">
        <f t="shared" si="153"/>
        <v>49.55</v>
      </c>
      <c r="M186" s="58">
        <f t="shared" si="154"/>
        <v>49.55</v>
      </c>
      <c r="N186" s="100">
        <f t="shared" si="146"/>
        <v>11.527999999999999</v>
      </c>
      <c r="O186" s="100">
        <f t="shared" si="147"/>
        <v>10.8</v>
      </c>
    </row>
    <row r="187" spans="1:15" ht="15" thickBot="1" x14ac:dyDescent="0.35">
      <c r="A187" s="55" t="s">
        <v>162</v>
      </c>
      <c r="G187" s="58">
        <f t="shared" si="148"/>
        <v>37.753</v>
      </c>
      <c r="H187" s="58">
        <f t="shared" si="149"/>
        <v>38.152999999999999</v>
      </c>
      <c r="I187" s="58">
        <f t="shared" si="150"/>
        <v>38.885000000000005</v>
      </c>
      <c r="J187" s="58">
        <f t="shared" si="151"/>
        <v>39.974000000000004</v>
      </c>
      <c r="K187" s="58">
        <f t="shared" si="152"/>
        <v>41.32</v>
      </c>
      <c r="L187" s="58">
        <f t="shared" si="153"/>
        <v>45.14</v>
      </c>
      <c r="M187" s="58">
        <f t="shared" si="154"/>
        <v>45.14</v>
      </c>
      <c r="N187" s="100">
        <f t="shared" si="146"/>
        <v>8.4409999999999989</v>
      </c>
      <c r="O187" s="100">
        <f t="shared" si="147"/>
        <v>8.3850000000000016</v>
      </c>
    </row>
    <row r="188" spans="1:15" ht="15" thickBot="1" x14ac:dyDescent="0.35">
      <c r="A188" s="56" t="s">
        <v>123</v>
      </c>
      <c r="G188" s="63">
        <f t="shared" si="148"/>
        <v>37.311999999999998</v>
      </c>
      <c r="H188" s="63">
        <f t="shared" si="149"/>
        <v>37.567999999999998</v>
      </c>
      <c r="I188" s="63">
        <f t="shared" si="150"/>
        <v>38.03</v>
      </c>
      <c r="J188" s="63">
        <f t="shared" si="151"/>
        <v>38.713999999999999</v>
      </c>
      <c r="K188" s="63">
        <f t="shared" si="152"/>
        <v>39.555999999999997</v>
      </c>
      <c r="L188" s="63">
        <f t="shared" si="153"/>
        <v>43.25</v>
      </c>
      <c r="M188" s="63">
        <f t="shared" si="154"/>
        <v>43.25</v>
      </c>
      <c r="N188" s="100">
        <f t="shared" si="146"/>
        <v>7.1179999999999994</v>
      </c>
      <c r="O188" s="100">
        <f t="shared" si="147"/>
        <v>7.35</v>
      </c>
    </row>
    <row r="189" spans="1:15" ht="15" thickBot="1" x14ac:dyDescent="0.35">
      <c r="A189" s="52"/>
    </row>
    <row r="190" spans="1:15" ht="15" thickBot="1" x14ac:dyDescent="0.35">
      <c r="A190" s="54" t="s">
        <v>122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 t="shared" ref="N190:N195" si="155">SUM(N$161:N$162)+N$147+N$149+N$150+N$152+N$153+N$155+N$157+$N38</f>
        <v>8.5879999999999992</v>
      </c>
      <c r="O190" s="100">
        <f t="shared" ref="O190:O195" si="156">SUM(O$161:O$162)+O$147+O$149+O$150+O$152+O$153+O$155+O$157+$O38</f>
        <v>8.5</v>
      </c>
    </row>
    <row r="191" spans="1:15" ht="15" thickBot="1" x14ac:dyDescent="0.35">
      <c r="A191" s="55" t="s">
        <v>121</v>
      </c>
      <c r="G191" s="58">
        <f t="shared" ref="G191:G195" si="157">SUM(G$161:G$162)+G$159+G$158+G$157+G39</f>
        <v>38.683999999999997</v>
      </c>
      <c r="H191" s="58">
        <f t="shared" ref="H191:H195" si="158">SUM(H$161:H$162)+H$159+H$158+H$157+$H39</f>
        <v>39.387999999999998</v>
      </c>
      <c r="I191" s="58">
        <f t="shared" ref="I191:I195" si="159">SUM(I$161:I$162)+I$159+I$158+I$157+$I39</f>
        <v>38.408100000000005</v>
      </c>
      <c r="J191" s="58">
        <f t="shared" ref="J191:J195" si="160">SUM(J$161:J$162)+J$159+J$158+J$157+$J39</f>
        <v>41.396680000000003</v>
      </c>
      <c r="K191" s="58">
        <f t="shared" ref="K191:K195" si="161">SUM(K$161:K$162)+K$159+K$158+K$157+$K39</f>
        <v>45.043999999999997</v>
      </c>
      <c r="L191" s="58">
        <f t="shared" ref="L191:L195" si="162">SUM(K$161:K$162)+K$159+K$158+K$157+$K39</f>
        <v>45.043999999999997</v>
      </c>
      <c r="M191" s="58">
        <f t="shared" ref="M191:M195" si="163">SUM(K$161:K$162)+K$159+K$158+K$157+$K39</f>
        <v>45.043999999999997</v>
      </c>
      <c r="N191" s="100">
        <f t="shared" si="155"/>
        <v>11.233999999999998</v>
      </c>
      <c r="O191" s="100">
        <f t="shared" si="156"/>
        <v>10.57</v>
      </c>
    </row>
    <row r="192" spans="1:15" ht="15" thickBot="1" x14ac:dyDescent="0.35">
      <c r="A192" s="55" t="s">
        <v>120</v>
      </c>
      <c r="G192" s="58">
        <f t="shared" si="157"/>
        <v>37.753</v>
      </c>
      <c r="H192" s="58">
        <f t="shared" si="158"/>
        <v>38.152999999999999</v>
      </c>
      <c r="I192" s="58">
        <f t="shared" si="159"/>
        <v>38.408100000000005</v>
      </c>
      <c r="J192" s="58">
        <f t="shared" si="160"/>
        <v>41.26634</v>
      </c>
      <c r="K192" s="58">
        <f t="shared" si="161"/>
        <v>41.32</v>
      </c>
      <c r="L192" s="58">
        <f t="shared" si="162"/>
        <v>41.32</v>
      </c>
      <c r="M192" s="58">
        <f t="shared" si="163"/>
        <v>41.32</v>
      </c>
      <c r="N192" s="100">
        <f t="shared" si="155"/>
        <v>8.4409999999999989</v>
      </c>
      <c r="O192" s="100">
        <f t="shared" si="156"/>
        <v>8.3850000000000016</v>
      </c>
    </row>
    <row r="193" spans="1:15" ht="15" thickBot="1" x14ac:dyDescent="0.35">
      <c r="A193" s="55" t="s">
        <v>119</v>
      </c>
      <c r="G193" s="58">
        <f t="shared" si="157"/>
        <v>38.781999999999996</v>
      </c>
      <c r="H193" s="58">
        <f t="shared" si="158"/>
        <v>39.518000000000001</v>
      </c>
      <c r="I193" s="58">
        <f t="shared" si="159"/>
        <v>38.408100000000005</v>
      </c>
      <c r="J193" s="58">
        <f t="shared" si="160"/>
        <v>41.410399999999996</v>
      </c>
      <c r="K193" s="58">
        <f t="shared" si="161"/>
        <v>45.436000000000007</v>
      </c>
      <c r="L193" s="58">
        <f t="shared" si="162"/>
        <v>45.436000000000007</v>
      </c>
      <c r="M193" s="58">
        <f t="shared" si="163"/>
        <v>45.436000000000007</v>
      </c>
      <c r="N193" s="100">
        <f t="shared" si="155"/>
        <v>11.527999999999999</v>
      </c>
      <c r="O193" s="100">
        <f t="shared" si="156"/>
        <v>10.8</v>
      </c>
    </row>
    <row r="194" spans="1:15" ht="15" thickBot="1" x14ac:dyDescent="0.35">
      <c r="A194" s="55" t="s">
        <v>162</v>
      </c>
      <c r="G194" s="58">
        <f t="shared" si="157"/>
        <v>37.753</v>
      </c>
      <c r="H194" s="58">
        <f t="shared" si="158"/>
        <v>38.152999999999999</v>
      </c>
      <c r="I194" s="58">
        <f t="shared" si="159"/>
        <v>38.408100000000005</v>
      </c>
      <c r="J194" s="58">
        <f t="shared" si="160"/>
        <v>41.26634</v>
      </c>
      <c r="K194" s="58">
        <f t="shared" si="161"/>
        <v>41.32</v>
      </c>
      <c r="L194" s="58">
        <f t="shared" si="162"/>
        <v>41.32</v>
      </c>
      <c r="M194" s="58">
        <f t="shared" si="163"/>
        <v>41.32</v>
      </c>
      <c r="N194" s="100">
        <f t="shared" si="155"/>
        <v>8.4409999999999989</v>
      </c>
      <c r="O194" s="100">
        <f t="shared" si="156"/>
        <v>8.3850000000000016</v>
      </c>
    </row>
    <row r="195" spans="1:15" ht="15" thickBot="1" x14ac:dyDescent="0.35">
      <c r="A195" s="56" t="s">
        <v>118</v>
      </c>
      <c r="G195" s="63">
        <f t="shared" si="157"/>
        <v>37.311999999999998</v>
      </c>
      <c r="H195" s="63">
        <f t="shared" si="158"/>
        <v>37.567999999999998</v>
      </c>
      <c r="I195" s="63">
        <f t="shared" si="159"/>
        <v>38.408100000000005</v>
      </c>
      <c r="J195" s="63">
        <f t="shared" si="160"/>
        <v>41.204599999999999</v>
      </c>
      <c r="K195" s="63">
        <f t="shared" si="161"/>
        <v>39.555999999999997</v>
      </c>
      <c r="L195" s="63">
        <f t="shared" si="162"/>
        <v>39.555999999999997</v>
      </c>
      <c r="M195" s="63">
        <f t="shared" si="163"/>
        <v>39.555999999999997</v>
      </c>
      <c r="N195" s="100">
        <f t="shared" si="155"/>
        <v>7.1179999999999994</v>
      </c>
      <c r="O195" s="100">
        <f t="shared" si="156"/>
        <v>7.35</v>
      </c>
    </row>
    <row r="196" spans="1:15" ht="15" thickBot="1" x14ac:dyDescent="0.35">
      <c r="A196" s="52"/>
    </row>
    <row r="197" spans="1:15" ht="15" thickBot="1" x14ac:dyDescent="0.35">
      <c r="A197" s="54" t="s">
        <v>151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" thickBot="1" x14ac:dyDescent="0.35">
      <c r="A198" s="55" t="s">
        <v>150</v>
      </c>
      <c r="G198" s="63">
        <f>SUM(G$161:G$162)+G$159+G$158+G$156+G$155+G$154+G46</f>
        <v>34.707000000000001</v>
      </c>
      <c r="H198" s="63">
        <f t="shared" ref="H198:H201" si="164">SUM(H$161:H$162)+H$159+H$158+H$156+H$155+H$154+$H46</f>
        <v>35.266999999999996</v>
      </c>
      <c r="I198" s="63">
        <f t="shared" ref="I198:I201" si="165">SUM(I$161:I$162)+I$159+I$158+I$156+I$155+I$154+$I46</f>
        <v>36.29</v>
      </c>
      <c r="J198" s="63">
        <f t="shared" ref="J198:J201" si="166">SUM(J$161:J$162)+J$159+J$158+J$156+J$155+J$154+$J46</f>
        <v>37.811</v>
      </c>
      <c r="K198" s="58">
        <f t="shared" ref="K198:M201" si="167">SUM(K$161:K$162)+K$159+K$158+K$156+K$155+K$154+K46</f>
        <v>39.69</v>
      </c>
      <c r="L198" s="58">
        <f t="shared" si="167"/>
        <v>41.635000000000005</v>
      </c>
      <c r="M198" s="58">
        <f t="shared" si="167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" thickBot="1" x14ac:dyDescent="0.35">
      <c r="A199" s="55" t="s">
        <v>149</v>
      </c>
      <c r="G199" s="63">
        <f>SUM(G$161:G$162)+G$159+G$158+G$156+G$155+G$154+G47</f>
        <v>34.510999999999996</v>
      </c>
      <c r="H199" s="63">
        <f t="shared" si="164"/>
        <v>35.006999999999998</v>
      </c>
      <c r="I199" s="63">
        <f t="shared" si="165"/>
        <v>35.909999999999997</v>
      </c>
      <c r="J199" s="63">
        <f t="shared" si="166"/>
        <v>37.250999999999998</v>
      </c>
      <c r="K199" s="58">
        <f t="shared" si="167"/>
        <v>38.905999999999999</v>
      </c>
      <c r="L199" s="58">
        <f t="shared" si="167"/>
        <v>40.795000000000002</v>
      </c>
      <c r="M199" s="58">
        <f t="shared" si="167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" thickBot="1" x14ac:dyDescent="0.35">
      <c r="A200" s="55" t="s">
        <v>163</v>
      </c>
      <c r="G200" s="63">
        <f t="shared" ref="G200:G201" si="168">SUM(G$161:G$162)+G$159+G$158+G$156+G$155+G$154+G48</f>
        <v>33.874000000000002</v>
      </c>
      <c r="H200" s="63">
        <f t="shared" si="164"/>
        <v>34.161999999999999</v>
      </c>
      <c r="I200" s="63">
        <f t="shared" si="165"/>
        <v>34.674999999999997</v>
      </c>
      <c r="J200" s="63">
        <f t="shared" si="166"/>
        <v>35.430999999999997</v>
      </c>
      <c r="K200" s="58">
        <f t="shared" si="167"/>
        <v>36.358000000000004</v>
      </c>
      <c r="L200" s="58">
        <f t="shared" si="167"/>
        <v>38.064999999999998</v>
      </c>
      <c r="M200" s="58">
        <f t="shared" si="167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" thickBot="1" x14ac:dyDescent="0.35">
      <c r="A201" s="56" t="s">
        <v>148</v>
      </c>
      <c r="G201" s="63">
        <f t="shared" si="168"/>
        <v>34.609000000000002</v>
      </c>
      <c r="H201" s="63">
        <f t="shared" si="164"/>
        <v>35.137</v>
      </c>
      <c r="I201" s="63">
        <f t="shared" si="165"/>
        <v>36.1</v>
      </c>
      <c r="J201" s="63">
        <f t="shared" si="166"/>
        <v>37.530999999999999</v>
      </c>
      <c r="K201" s="63">
        <f t="shared" si="167"/>
        <v>39.298000000000002</v>
      </c>
      <c r="L201" s="63">
        <f t="shared" si="167"/>
        <v>41.215000000000003</v>
      </c>
      <c r="M201" s="63">
        <f t="shared" si="167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" thickBot="1" x14ac:dyDescent="0.35">
      <c r="A202" s="52"/>
    </row>
    <row r="203" spans="1:15" ht="15" thickBot="1" x14ac:dyDescent="0.35">
      <c r="A203" s="54" t="s">
        <v>147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" thickBot="1" x14ac:dyDescent="0.35">
      <c r="A204" s="55" t="s">
        <v>146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M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" thickBot="1" x14ac:dyDescent="0.35">
      <c r="A205" s="55" t="s">
        <v>145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" thickBot="1" x14ac:dyDescent="0.35">
      <c r="A206" s="55" t="s">
        <v>164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" thickBot="1" x14ac:dyDescent="0.35">
      <c r="A207" s="56" t="s">
        <v>144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" thickBot="1" x14ac:dyDescent="0.35">
      <c r="A208" s="52"/>
    </row>
    <row r="209" spans="1:15" ht="15" thickBot="1" x14ac:dyDescent="0.35">
      <c r="A209" s="54" t="s">
        <v>117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N214" si="174">SUM(N$161:N$162)+N$147+N$149+N$150+N$152+N$154+$N57</f>
        <v>7.7009999999999996</v>
      </c>
      <c r="O209" s="100">
        <f t="shared" ref="O209:O214" si="175">SUM(O$161:O$162)+O$147+O$149+O$150+O$152+O$154+$O57</f>
        <v>7.7000000000000011</v>
      </c>
    </row>
    <row r="210" spans="1:15" ht="15" thickBot="1" x14ac:dyDescent="0.35">
      <c r="A210" s="55" t="s">
        <v>116</v>
      </c>
      <c r="G210" s="58">
        <f t="shared" ref="G210:G214" si="176">SUM(G$161:G$162)+G$159+G$158+G$156+G$155+G$154+G58</f>
        <v>37.295000000000002</v>
      </c>
      <c r="H210" s="58">
        <f t="shared" ref="H210:H214" si="177">SUM(H$161:H$162)+H$159+H$158+H$156+H$155+H$154+$H58</f>
        <v>38.046999999999997</v>
      </c>
      <c r="I210" s="58">
        <f t="shared" ref="I210:I214" si="178">SUM(I$161:I$162)+I$159+I$158+I$156+I$155+I$154+$I58</f>
        <v>39.43</v>
      </c>
      <c r="J210" s="58">
        <f t="shared" ref="J210:J214" si="179">SUM(J$161:J$162)+J$159+J$158+J$156+J$155+J$154+$J58</f>
        <v>41.491</v>
      </c>
      <c r="K210" s="58">
        <f t="shared" ref="K210:M214" si="180">SUM(K$161:K$162)+K$159+K$158+K$156+K$155+K$154+K58</f>
        <v>44.042000000000002</v>
      </c>
      <c r="L210" s="58">
        <f t="shared" si="180"/>
        <v>47.155000000000001</v>
      </c>
      <c r="M210" s="58">
        <f t="shared" si="180"/>
        <v>52.424999999999997</v>
      </c>
      <c r="N210" s="100">
        <f t="shared" si="174"/>
        <v>10.347</v>
      </c>
      <c r="O210" s="100">
        <f t="shared" si="175"/>
        <v>9.77</v>
      </c>
    </row>
    <row r="211" spans="1:15" ht="15" thickBot="1" x14ac:dyDescent="0.35">
      <c r="A211" s="55" t="s">
        <v>115</v>
      </c>
      <c r="G211" s="58">
        <f t="shared" si="176"/>
        <v>36.364000000000004</v>
      </c>
      <c r="H211" s="58">
        <f t="shared" si="177"/>
        <v>36.811999999999998</v>
      </c>
      <c r="I211" s="58">
        <f t="shared" si="178"/>
        <v>37.625</v>
      </c>
      <c r="J211" s="58">
        <f t="shared" si="179"/>
        <v>38.831000000000003</v>
      </c>
      <c r="K211" s="58">
        <f t="shared" si="180"/>
        <v>40.317999999999998</v>
      </c>
      <c r="L211" s="58">
        <f t="shared" si="180"/>
        <v>43.165000000000006</v>
      </c>
      <c r="M211" s="58">
        <f t="shared" si="180"/>
        <v>46.25</v>
      </c>
      <c r="N211" s="100">
        <f t="shared" si="174"/>
        <v>7.5539999999999994</v>
      </c>
      <c r="O211" s="100">
        <f t="shared" si="175"/>
        <v>7.5850000000000009</v>
      </c>
    </row>
    <row r="212" spans="1:15" ht="15" thickBot="1" x14ac:dyDescent="0.35">
      <c r="A212" s="55" t="s">
        <v>114</v>
      </c>
      <c r="G212" s="58">
        <f t="shared" si="176"/>
        <v>37.393000000000001</v>
      </c>
      <c r="H212" s="58">
        <f t="shared" si="177"/>
        <v>38.177</v>
      </c>
      <c r="I212" s="58">
        <f t="shared" si="178"/>
        <v>39.620000000000005</v>
      </c>
      <c r="J212" s="58">
        <f t="shared" si="179"/>
        <v>41.771000000000001</v>
      </c>
      <c r="K212" s="58">
        <f t="shared" si="180"/>
        <v>44.434000000000005</v>
      </c>
      <c r="L212" s="58">
        <f t="shared" si="180"/>
        <v>47.575000000000003</v>
      </c>
      <c r="M212" s="58">
        <f t="shared" si="180"/>
        <v>53.075000000000003</v>
      </c>
      <c r="N212" s="100">
        <f t="shared" si="174"/>
        <v>10.640999999999998</v>
      </c>
      <c r="O212" s="100">
        <f t="shared" si="175"/>
        <v>10</v>
      </c>
    </row>
    <row r="213" spans="1:15" ht="15" thickBot="1" x14ac:dyDescent="0.35">
      <c r="A213" s="55" t="s">
        <v>165</v>
      </c>
      <c r="G213" s="58">
        <f t="shared" si="176"/>
        <v>36.364000000000004</v>
      </c>
      <c r="H213" s="58">
        <f t="shared" si="177"/>
        <v>36.811999999999998</v>
      </c>
      <c r="I213" s="58">
        <f t="shared" si="178"/>
        <v>37.625</v>
      </c>
      <c r="J213" s="58">
        <f t="shared" si="179"/>
        <v>38.831000000000003</v>
      </c>
      <c r="K213" s="58">
        <f t="shared" si="180"/>
        <v>40.317999999999998</v>
      </c>
      <c r="L213" s="58">
        <f t="shared" si="180"/>
        <v>43.165000000000006</v>
      </c>
      <c r="M213" s="58">
        <f t="shared" si="180"/>
        <v>46.25</v>
      </c>
      <c r="N213" s="100">
        <f t="shared" si="174"/>
        <v>7.5539999999999994</v>
      </c>
      <c r="O213" s="100">
        <f t="shared" si="175"/>
        <v>7.5850000000000009</v>
      </c>
    </row>
    <row r="214" spans="1:15" ht="15" thickBot="1" x14ac:dyDescent="0.35">
      <c r="A214" s="56" t="s">
        <v>113</v>
      </c>
      <c r="G214" s="63">
        <f t="shared" si="176"/>
        <v>35.923000000000002</v>
      </c>
      <c r="H214" s="63">
        <f t="shared" si="177"/>
        <v>36.226999999999997</v>
      </c>
      <c r="I214" s="63">
        <f t="shared" si="178"/>
        <v>36.770000000000003</v>
      </c>
      <c r="J214" s="63">
        <f t="shared" si="179"/>
        <v>37.570999999999998</v>
      </c>
      <c r="K214" s="63">
        <f t="shared" si="180"/>
        <v>38.554000000000002</v>
      </c>
      <c r="L214" s="63">
        <f t="shared" si="180"/>
        <v>41.275000000000006</v>
      </c>
      <c r="M214" s="63">
        <f t="shared" si="180"/>
        <v>43.325000000000003</v>
      </c>
      <c r="N214" s="100">
        <f t="shared" si="174"/>
        <v>6.2309999999999999</v>
      </c>
      <c r="O214" s="100">
        <f t="shared" si="175"/>
        <v>6.5500000000000007</v>
      </c>
    </row>
    <row r="215" spans="1:15" ht="15" thickBot="1" x14ac:dyDescent="0.35">
      <c r="A215" s="52"/>
    </row>
    <row r="216" spans="1:15" ht="15" thickBot="1" x14ac:dyDescent="0.35">
      <c r="A216" s="54" t="s">
        <v>112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N221" si="181">SUM(N$161:N$162)+N$147+N$149+N$150+N$152+N$154+$N64</f>
        <v>7.7009999999999996</v>
      </c>
      <c r="O216" s="100">
        <f t="shared" ref="O216:O221" si="182">SUM(O$161:O$162)+O$147+O$149+O$150+O$152+O$154+$O64</f>
        <v>7.7000000000000011</v>
      </c>
    </row>
    <row r="217" spans="1:15" ht="15" thickBot="1" x14ac:dyDescent="0.35">
      <c r="A217" s="55" t="s">
        <v>111</v>
      </c>
      <c r="G217" s="58">
        <f t="shared" ref="G217:G221" si="183">SUM(G$161:G$162)+G$159+G$158+G$156+G$155+G$154+G65</f>
        <v>37.295000000000002</v>
      </c>
      <c r="H217" s="58">
        <f t="shared" ref="H217:H221" si="184">SUM(H$161:H$162)+H$159+H$158+H$156+H$155+H$154+$H65</f>
        <v>38.046999999999997</v>
      </c>
      <c r="I217" s="58">
        <f t="shared" ref="I217:I221" si="185">SUM(I$161:I$162)+I$159+I$158+I$156+I$155+I$154+$I65</f>
        <v>39.43</v>
      </c>
      <c r="J217" s="58">
        <f t="shared" ref="J217:J221" si="186">SUM(J$161:J$162)+J$159+J$158+J$156+J$155+J$154+$J65</f>
        <v>41.491</v>
      </c>
      <c r="K217" s="58">
        <f t="shared" ref="K217:M221" si="187">SUM(K$161:K$162)+K$159+K$158+K$156+K$155+K$154+K65</f>
        <v>44.042000000000002</v>
      </c>
      <c r="L217" s="58">
        <f t="shared" si="187"/>
        <v>47.155000000000001</v>
      </c>
      <c r="M217" s="58">
        <f t="shared" si="187"/>
        <v>52.424999999999997</v>
      </c>
      <c r="N217" s="100">
        <f t="shared" si="181"/>
        <v>10.347</v>
      </c>
      <c r="O217" s="100">
        <f t="shared" si="182"/>
        <v>9.77</v>
      </c>
    </row>
    <row r="218" spans="1:15" ht="15" thickBot="1" x14ac:dyDescent="0.35">
      <c r="A218" s="55" t="s">
        <v>110</v>
      </c>
      <c r="G218" s="58">
        <f t="shared" si="183"/>
        <v>36.364000000000004</v>
      </c>
      <c r="H218" s="58">
        <f t="shared" si="184"/>
        <v>36.811999999999998</v>
      </c>
      <c r="I218" s="58">
        <f t="shared" si="185"/>
        <v>37.625</v>
      </c>
      <c r="J218" s="58">
        <f t="shared" si="186"/>
        <v>38.831000000000003</v>
      </c>
      <c r="K218" s="58">
        <f t="shared" si="187"/>
        <v>40.317999999999998</v>
      </c>
      <c r="L218" s="58">
        <f t="shared" si="187"/>
        <v>43.165000000000006</v>
      </c>
      <c r="M218" s="58">
        <f t="shared" si="187"/>
        <v>46.25</v>
      </c>
      <c r="N218" s="100">
        <f t="shared" si="181"/>
        <v>7.5539999999999994</v>
      </c>
      <c r="O218" s="100">
        <f t="shared" si="182"/>
        <v>7.5850000000000009</v>
      </c>
    </row>
    <row r="219" spans="1:15" ht="15" thickBot="1" x14ac:dyDescent="0.35">
      <c r="A219" s="55" t="s">
        <v>109</v>
      </c>
      <c r="G219" s="58">
        <f t="shared" si="183"/>
        <v>37.295000000000002</v>
      </c>
      <c r="H219" s="58">
        <f t="shared" si="184"/>
        <v>38.046999999999997</v>
      </c>
      <c r="I219" s="58">
        <f t="shared" si="185"/>
        <v>39.43</v>
      </c>
      <c r="J219" s="58">
        <f t="shared" si="186"/>
        <v>41.491</v>
      </c>
      <c r="K219" s="58">
        <f t="shared" si="187"/>
        <v>44.042000000000002</v>
      </c>
      <c r="L219" s="58">
        <f t="shared" si="187"/>
        <v>47.155000000000001</v>
      </c>
      <c r="M219" s="58">
        <f t="shared" si="187"/>
        <v>52.424999999999997</v>
      </c>
      <c r="N219" s="100">
        <f t="shared" si="181"/>
        <v>10.347</v>
      </c>
      <c r="O219" s="100">
        <f t="shared" si="182"/>
        <v>9.77</v>
      </c>
    </row>
    <row r="220" spans="1:15" ht="15" thickBot="1" x14ac:dyDescent="0.35">
      <c r="A220" s="55" t="s">
        <v>165</v>
      </c>
      <c r="G220" s="58">
        <f t="shared" si="183"/>
        <v>36.364000000000004</v>
      </c>
      <c r="H220" s="58">
        <f t="shared" si="184"/>
        <v>36.811999999999998</v>
      </c>
      <c r="I220" s="58">
        <f t="shared" si="185"/>
        <v>37.625</v>
      </c>
      <c r="J220" s="58">
        <f t="shared" si="186"/>
        <v>38.831000000000003</v>
      </c>
      <c r="K220" s="58">
        <f t="shared" si="187"/>
        <v>40.317999999999998</v>
      </c>
      <c r="L220" s="58">
        <f t="shared" si="187"/>
        <v>43.165000000000006</v>
      </c>
      <c r="M220" s="58">
        <f t="shared" si="187"/>
        <v>46.25</v>
      </c>
      <c r="N220" s="100">
        <f t="shared" si="181"/>
        <v>7.5539999999999994</v>
      </c>
      <c r="O220" s="100">
        <f t="shared" si="182"/>
        <v>7.5850000000000009</v>
      </c>
    </row>
    <row r="221" spans="1:15" ht="15" thickBot="1" x14ac:dyDescent="0.35">
      <c r="A221" s="56" t="s">
        <v>108</v>
      </c>
      <c r="G221" s="63">
        <f t="shared" si="183"/>
        <v>35.923000000000002</v>
      </c>
      <c r="H221" s="63">
        <f t="shared" si="184"/>
        <v>36.226999999999997</v>
      </c>
      <c r="I221" s="63">
        <f t="shared" si="185"/>
        <v>36.770000000000003</v>
      </c>
      <c r="J221" s="63">
        <f t="shared" si="186"/>
        <v>37.570999999999998</v>
      </c>
      <c r="K221" s="63">
        <f t="shared" si="187"/>
        <v>38.554000000000002</v>
      </c>
      <c r="L221" s="63">
        <f t="shared" si="187"/>
        <v>41.275000000000006</v>
      </c>
      <c r="M221" s="63">
        <f t="shared" si="187"/>
        <v>43.325000000000003</v>
      </c>
      <c r="N221" s="100">
        <f t="shared" si="181"/>
        <v>6.2309999999999999</v>
      </c>
      <c r="O221" s="100">
        <f t="shared" si="182"/>
        <v>6.5500000000000007</v>
      </c>
    </row>
    <row r="222" spans="1:15" ht="15" thickBot="1" x14ac:dyDescent="0.35">
      <c r="A222" s="52"/>
    </row>
    <row r="223" spans="1:15" ht="15" thickBot="1" x14ac:dyDescent="0.35">
      <c r="A223" s="54" t="s">
        <v>143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" thickBot="1" x14ac:dyDescent="0.35">
      <c r="A224" s="55" t="s">
        <v>142</v>
      </c>
      <c r="G224" s="58">
        <f t="shared" ref="G224:G227" si="188">SUM(G$161:G$162)+G$159+G$158+G$156+G$155+G$153+G$152+G$151+G72</f>
        <v>37.118000000000002</v>
      </c>
      <c r="H224" s="58">
        <f t="shared" ref="H224:H227" si="189">SUM(H$161:H$162)+H$159+H$158+H$156+H$155+H$153+H$152+H$151+$H72</f>
        <v>37.725999999999999</v>
      </c>
      <c r="I224" s="58">
        <f t="shared" ref="I224:I227" si="190">SUM(I$161:I$162)+I$159+I$158+I$156+I$155+I$153+I$152+I$151+$I72</f>
        <v>38.83</v>
      </c>
      <c r="J224" s="58">
        <f t="shared" ref="J224:J227" si="191">SUM(J$161:J$162)+J$159+J$158+J$156+J$155+J$153+J$152+J$151+$J72</f>
        <v>40.468000000000004</v>
      </c>
      <c r="K224" s="58">
        <f t="shared" ref="K224:M227" si="192">SUM(K$161:K$162)+K$159+K$158+K$156+K$155+K$153+K$152+K$151+K72</f>
        <v>42.488</v>
      </c>
      <c r="L224" s="58">
        <f t="shared" si="192"/>
        <v>45.56</v>
      </c>
      <c r="M224" s="58">
        <f t="shared" si="19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" thickBot="1" x14ac:dyDescent="0.35">
      <c r="A225" s="55" t="s">
        <v>141</v>
      </c>
      <c r="G225" s="58">
        <f t="shared" si="188"/>
        <v>36.921999999999997</v>
      </c>
      <c r="H225" s="58">
        <f t="shared" si="189"/>
        <v>37.466000000000001</v>
      </c>
      <c r="I225" s="58">
        <f t="shared" si="190"/>
        <v>38.450000000000003</v>
      </c>
      <c r="J225" s="58">
        <f t="shared" si="191"/>
        <v>39.908000000000001</v>
      </c>
      <c r="K225" s="58">
        <f t="shared" si="192"/>
        <v>41.704000000000001</v>
      </c>
      <c r="L225" s="58">
        <f t="shared" si="192"/>
        <v>44.72</v>
      </c>
      <c r="M225" s="58">
        <f t="shared" si="19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" thickBot="1" x14ac:dyDescent="0.35">
      <c r="A226" s="55" t="s">
        <v>140</v>
      </c>
      <c r="G226" s="58">
        <f t="shared" si="188"/>
        <v>36.285000000000004</v>
      </c>
      <c r="H226" s="58">
        <f t="shared" si="189"/>
        <v>36.621000000000002</v>
      </c>
      <c r="I226" s="58">
        <f t="shared" si="190"/>
        <v>37.215000000000003</v>
      </c>
      <c r="J226" s="58">
        <f t="shared" si="191"/>
        <v>38.088000000000001</v>
      </c>
      <c r="K226" s="58">
        <f t="shared" si="192"/>
        <v>39.156000000000006</v>
      </c>
      <c r="L226" s="58">
        <f t="shared" si="192"/>
        <v>41.99</v>
      </c>
      <c r="M226" s="58">
        <f t="shared" si="19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" thickBot="1" x14ac:dyDescent="0.35">
      <c r="A227" s="56" t="s">
        <v>139</v>
      </c>
      <c r="G227" s="63">
        <f t="shared" si="188"/>
        <v>37.020000000000003</v>
      </c>
      <c r="H227" s="63">
        <f t="shared" si="189"/>
        <v>37.596000000000004</v>
      </c>
      <c r="I227" s="63">
        <f t="shared" si="190"/>
        <v>38.64</v>
      </c>
      <c r="J227" s="63">
        <f t="shared" si="191"/>
        <v>40.188000000000002</v>
      </c>
      <c r="K227" s="63">
        <f t="shared" si="192"/>
        <v>42.096000000000004</v>
      </c>
      <c r="L227" s="63">
        <f t="shared" si="192"/>
        <v>45.14</v>
      </c>
      <c r="M227" s="63">
        <f t="shared" si="19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" thickBot="1" x14ac:dyDescent="0.35">
      <c r="A228" s="52"/>
    </row>
    <row r="229" spans="1:15" ht="15" thickBot="1" x14ac:dyDescent="0.35">
      <c r="A229" s="54" t="s">
        <v>138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" thickBot="1" x14ac:dyDescent="0.35">
      <c r="A230" s="55" t="s">
        <v>137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L233" si="197">SUM(K$161:K$162)+K$159+K$158+K$156+K$155+K$153+K$152+K$151+K78</f>
        <v>41.704000000000001</v>
      </c>
      <c r="L230" s="58">
        <f t="shared" si="197"/>
        <v>44.72</v>
      </c>
      <c r="M230" s="58">
        <f t="shared" ref="M230:M233" si="198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" thickBot="1" x14ac:dyDescent="0.35">
      <c r="A231" s="55" t="s">
        <v>136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8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" thickBot="1" x14ac:dyDescent="0.35">
      <c r="A232" s="55" t="s">
        <v>166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8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" thickBot="1" x14ac:dyDescent="0.35">
      <c r="A233" s="56" t="s">
        <v>135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8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" thickBot="1" x14ac:dyDescent="0.35">
      <c r="A234" s="52"/>
    </row>
    <row r="235" spans="1:15" ht="15" thickBot="1" x14ac:dyDescent="0.35">
      <c r="A235" s="54" t="s">
        <v>107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N240" si="199">SUM(N$161:N$162)+N$147+N$149+N$151+$N83</f>
        <v>6.8140000000000001</v>
      </c>
      <c r="O235" s="100">
        <f t="shared" ref="O235:O240" si="200">SUM(O$161:O$162)+O$147+O$149+O$151+$O83</f>
        <v>6.9</v>
      </c>
    </row>
    <row r="236" spans="1:15" ht="15" thickBot="1" x14ac:dyDescent="0.35">
      <c r="A236" s="55" t="s">
        <v>106</v>
      </c>
      <c r="G236" s="58">
        <f t="shared" ref="G236:G240" si="201">SUM(G$161:G$162)+G$159+G$158+G$156+G$155+G$153+G$152+G$151+G84</f>
        <v>39.706000000000003</v>
      </c>
      <c r="H236" s="58">
        <f t="shared" ref="H236:H240" si="202">SUM(H$161:H$162)+H$159+H$158+H$156+H$155+H$153+H$152+H$151+$H84</f>
        <v>40.506</v>
      </c>
      <c r="I236" s="58">
        <f t="shared" ref="I236:I240" si="203">SUM(I$161:I$162)+I$159+I$158+I$156+I$155+I$153+I$152+I$151+$I84</f>
        <v>41.97</v>
      </c>
      <c r="J236" s="58">
        <f t="shared" ref="J236:J240" si="204">SUM(J$161:J$162)+J$159+J$158+J$156+J$155+J$153+J$152+J$151+$J84</f>
        <v>44.147999999999996</v>
      </c>
      <c r="K236" s="58">
        <f t="shared" ref="K236:K240" si="205">SUM(K$161:K$162)+K$159+K$158+K$156+K$155+K$153+K$152+K$151+K84</f>
        <v>46.84</v>
      </c>
      <c r="L236" s="58">
        <f t="shared" ref="L236:L240" si="206">SUM(L$161:L$162)+L$159+L$158+L$156+L$155+L$153+L$152+L$151+L84</f>
        <v>51.08</v>
      </c>
      <c r="M236" s="58">
        <f t="shared" ref="M236:M240" si="207">SUM(M$161:M$162)+M$159+M$158+M$156+M$155+M$153+M$152+M$151+M84</f>
        <v>56.65</v>
      </c>
      <c r="N236" s="100">
        <f t="shared" si="199"/>
        <v>9.4599999999999991</v>
      </c>
      <c r="O236" s="100">
        <f t="shared" si="200"/>
        <v>8.9700000000000006</v>
      </c>
    </row>
    <row r="237" spans="1:15" ht="15" thickBot="1" x14ac:dyDescent="0.35">
      <c r="A237" s="55" t="s">
        <v>105</v>
      </c>
      <c r="G237" s="58">
        <f t="shared" si="201"/>
        <v>38.775000000000006</v>
      </c>
      <c r="H237" s="58">
        <f t="shared" si="202"/>
        <v>39.271000000000001</v>
      </c>
      <c r="I237" s="58">
        <f t="shared" si="203"/>
        <v>40.164999999999999</v>
      </c>
      <c r="J237" s="58">
        <f t="shared" si="204"/>
        <v>41.488</v>
      </c>
      <c r="K237" s="58">
        <f t="shared" si="205"/>
        <v>43.116</v>
      </c>
      <c r="L237" s="58">
        <f t="shared" si="206"/>
        <v>47.09</v>
      </c>
      <c r="M237" s="58">
        <f t="shared" si="207"/>
        <v>50.475000000000001</v>
      </c>
      <c r="N237" s="100">
        <f t="shared" si="199"/>
        <v>6.6669999999999998</v>
      </c>
      <c r="O237" s="100">
        <f t="shared" si="200"/>
        <v>6.7850000000000001</v>
      </c>
    </row>
    <row r="238" spans="1:15" ht="15" thickBot="1" x14ac:dyDescent="0.35">
      <c r="A238" s="55" t="s">
        <v>104</v>
      </c>
      <c r="G238" s="58">
        <f t="shared" si="201"/>
        <v>39.804000000000002</v>
      </c>
      <c r="H238" s="58">
        <f t="shared" si="202"/>
        <v>40.636000000000003</v>
      </c>
      <c r="I238" s="58">
        <f t="shared" si="203"/>
        <v>42.16</v>
      </c>
      <c r="J238" s="58">
        <f t="shared" si="204"/>
        <v>44.427999999999997</v>
      </c>
      <c r="K238" s="58">
        <f t="shared" si="205"/>
        <v>47.232000000000006</v>
      </c>
      <c r="L238" s="58">
        <f t="shared" si="206"/>
        <v>51.5</v>
      </c>
      <c r="M238" s="58">
        <f t="shared" si="207"/>
        <v>57.3</v>
      </c>
      <c r="N238" s="100">
        <f t="shared" si="199"/>
        <v>9.7539999999999996</v>
      </c>
      <c r="O238" s="100">
        <f t="shared" si="200"/>
        <v>9.2000000000000011</v>
      </c>
    </row>
    <row r="239" spans="1:15" ht="15" thickBot="1" x14ac:dyDescent="0.35">
      <c r="A239" s="55" t="s">
        <v>167</v>
      </c>
      <c r="G239" s="58">
        <f t="shared" si="201"/>
        <v>38.775000000000006</v>
      </c>
      <c r="H239" s="58">
        <f t="shared" si="202"/>
        <v>39.271000000000001</v>
      </c>
      <c r="I239" s="58">
        <f t="shared" si="203"/>
        <v>40.164999999999999</v>
      </c>
      <c r="J239" s="58">
        <f t="shared" si="204"/>
        <v>41.488</v>
      </c>
      <c r="K239" s="58">
        <f t="shared" si="205"/>
        <v>43.116</v>
      </c>
      <c r="L239" s="58">
        <f t="shared" si="206"/>
        <v>47.09</v>
      </c>
      <c r="M239" s="58">
        <f t="shared" si="207"/>
        <v>50.475000000000001</v>
      </c>
      <c r="N239" s="100">
        <f t="shared" si="199"/>
        <v>6.6669999999999998</v>
      </c>
      <c r="O239" s="100">
        <f t="shared" si="200"/>
        <v>6.7850000000000001</v>
      </c>
    </row>
    <row r="240" spans="1:15" ht="15" thickBot="1" x14ac:dyDescent="0.35">
      <c r="A240" s="56" t="s">
        <v>103</v>
      </c>
      <c r="G240" s="63">
        <f t="shared" si="201"/>
        <v>38.334000000000003</v>
      </c>
      <c r="H240" s="63">
        <f t="shared" si="202"/>
        <v>38.686</v>
      </c>
      <c r="I240" s="63">
        <f t="shared" si="203"/>
        <v>39.31</v>
      </c>
      <c r="J240" s="63">
        <f t="shared" si="204"/>
        <v>40.228000000000002</v>
      </c>
      <c r="K240" s="63">
        <f t="shared" si="205"/>
        <v>41.352000000000004</v>
      </c>
      <c r="L240" s="63">
        <f t="shared" si="206"/>
        <v>45.2</v>
      </c>
      <c r="M240" s="63">
        <f t="shared" si="207"/>
        <v>47.55</v>
      </c>
      <c r="N240" s="100">
        <f t="shared" si="199"/>
        <v>5.3439999999999994</v>
      </c>
      <c r="O240" s="100">
        <f t="shared" si="200"/>
        <v>5.75</v>
      </c>
    </row>
    <row r="241" spans="1:15" ht="15" thickBot="1" x14ac:dyDescent="0.35">
      <c r="A241" s="52"/>
    </row>
    <row r="242" spans="1:15" ht="15" thickBot="1" x14ac:dyDescent="0.35">
      <c r="A242" s="54" t="s">
        <v>102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N247" si="208">SUM(N$161:N$162)+N$147+N$149+N$151+$N90</f>
        <v>6.8140000000000001</v>
      </c>
      <c r="O242" s="100">
        <f t="shared" ref="O242:O247" si="209">SUM(O$161:O$162)+O$147+O$149+O$151+$O90</f>
        <v>6.9</v>
      </c>
    </row>
    <row r="243" spans="1:15" ht="15" thickBot="1" x14ac:dyDescent="0.35">
      <c r="A243" s="55" t="s">
        <v>101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M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08"/>
        <v>9.4599999999999991</v>
      </c>
      <c r="O243" s="100">
        <f t="shared" si="209"/>
        <v>8.9700000000000006</v>
      </c>
    </row>
    <row r="244" spans="1:15" ht="15" thickBot="1" x14ac:dyDescent="0.35">
      <c r="A244" s="55" t="s">
        <v>100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08"/>
        <v>6.6669999999999998</v>
      </c>
      <c r="O244" s="100">
        <f t="shared" si="209"/>
        <v>6.7850000000000001</v>
      </c>
    </row>
    <row r="245" spans="1:15" ht="15" thickBot="1" x14ac:dyDescent="0.35">
      <c r="A245" s="55" t="s">
        <v>99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08"/>
        <v>9.4599999999999991</v>
      </c>
      <c r="O245" s="100">
        <f t="shared" si="209"/>
        <v>8.9700000000000006</v>
      </c>
    </row>
    <row r="246" spans="1:15" ht="15" thickBot="1" x14ac:dyDescent="0.35">
      <c r="A246" s="55" t="s">
        <v>167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08"/>
        <v>6.6669999999999998</v>
      </c>
      <c r="O246" s="100">
        <f t="shared" si="209"/>
        <v>6.7850000000000001</v>
      </c>
    </row>
    <row r="247" spans="1:15" ht="15" thickBot="1" x14ac:dyDescent="0.35">
      <c r="A247" s="56" t="s">
        <v>98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08"/>
        <v>5.3439999999999994</v>
      </c>
      <c r="O247" s="100">
        <f t="shared" si="209"/>
        <v>5.75</v>
      </c>
    </row>
    <row r="248" spans="1:15" ht="15" thickBot="1" x14ac:dyDescent="0.35">
      <c r="A248" s="52"/>
    </row>
    <row r="249" spans="1:15" ht="15" thickBot="1" x14ac:dyDescent="0.35">
      <c r="A249" s="54" t="s">
        <v>134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" thickBot="1" x14ac:dyDescent="0.35">
      <c r="A250" s="55" t="s">
        <v>133</v>
      </c>
      <c r="G250" s="58">
        <f t="shared" ref="G250:G253" si="215">SUM(G$161:G$162)+G$159+G$158+G$156+G$155+G$153+G$152+G$150+G$149+G$148+G98</f>
        <v>35.332999999999998</v>
      </c>
      <c r="H250" s="58">
        <f t="shared" ref="H250:H253" si="216">SUM(H$161:H$162)+H$159+H$158+H$156+H$155+H$153+H$152+H$150+H$149+H$148+$H98</f>
        <v>35.924999999999997</v>
      </c>
      <c r="I250" s="58">
        <f t="shared" ref="I250:I253" si="217">SUM(I$161:I$162)+I$159+I$158+I$156+I$155+I$153+I$152+I$150+I$149+I$148+$I98</f>
        <v>36.989999999999995</v>
      </c>
      <c r="J250" s="58">
        <f t="shared" ref="J250:J253" si="218">SUM(J$161:J$162)+J$159+J$158+J$156+J$155+J$153+J$152+J$150+J$149+J$148+$J98</f>
        <v>38.564999999999998</v>
      </c>
      <c r="K250" s="58">
        <f t="shared" ref="K250:M253" si="219">SUM(K$161:K$162)+K$159+K$158+K$156+K$155+K$153+K$152+K$151+K98</f>
        <v>41.704000000000001</v>
      </c>
      <c r="L250" s="58">
        <f t="shared" si="219"/>
        <v>44.72</v>
      </c>
      <c r="M250" s="58">
        <f t="shared" si="219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" thickBot="1" x14ac:dyDescent="0.35">
      <c r="A251" s="55" t="s">
        <v>132</v>
      </c>
      <c r="G251" s="58">
        <f t="shared" si="215"/>
        <v>35.332999999999998</v>
      </c>
      <c r="H251" s="58">
        <f t="shared" si="216"/>
        <v>35.924999999999997</v>
      </c>
      <c r="I251" s="58">
        <f t="shared" si="217"/>
        <v>36.989999999999995</v>
      </c>
      <c r="J251" s="58">
        <f t="shared" si="218"/>
        <v>38.564999999999998</v>
      </c>
      <c r="K251" s="58">
        <f t="shared" si="219"/>
        <v>41.704000000000001</v>
      </c>
      <c r="L251" s="58">
        <f t="shared" si="219"/>
        <v>44.72</v>
      </c>
      <c r="M251" s="58">
        <f t="shared" si="219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" thickBot="1" x14ac:dyDescent="0.35">
      <c r="A252" s="55" t="s">
        <v>168</v>
      </c>
      <c r="G252" s="58">
        <f t="shared" si="215"/>
        <v>34.696000000000005</v>
      </c>
      <c r="H252" s="58">
        <f t="shared" si="216"/>
        <v>35.08</v>
      </c>
      <c r="I252" s="58">
        <f t="shared" si="217"/>
        <v>35.754999999999995</v>
      </c>
      <c r="J252" s="58">
        <f t="shared" si="218"/>
        <v>36.744999999999997</v>
      </c>
      <c r="K252" s="58">
        <f t="shared" si="219"/>
        <v>39.156000000000006</v>
      </c>
      <c r="L252" s="58">
        <f t="shared" si="219"/>
        <v>41.99</v>
      </c>
      <c r="M252" s="58">
        <f t="shared" si="219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" thickBot="1" x14ac:dyDescent="0.35">
      <c r="A253" s="56" t="s">
        <v>131</v>
      </c>
      <c r="G253" s="63">
        <f t="shared" si="215"/>
        <v>35.431000000000004</v>
      </c>
      <c r="H253" s="63">
        <f t="shared" si="216"/>
        <v>36.055</v>
      </c>
      <c r="I253" s="63">
        <f t="shared" si="217"/>
        <v>37.18</v>
      </c>
      <c r="J253" s="63">
        <f t="shared" si="218"/>
        <v>38.844999999999999</v>
      </c>
      <c r="K253" s="63">
        <f t="shared" si="219"/>
        <v>42.096000000000004</v>
      </c>
      <c r="L253" s="63">
        <f t="shared" si="219"/>
        <v>45.14</v>
      </c>
      <c r="M253" s="63">
        <f t="shared" si="219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" thickBot="1" x14ac:dyDescent="0.35">
      <c r="A254" s="52"/>
    </row>
    <row r="255" spans="1:15" ht="15" thickBot="1" x14ac:dyDescent="0.35">
      <c r="A255" s="54" t="s">
        <v>130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" thickBot="1" x14ac:dyDescent="0.35">
      <c r="A256" s="55" t="s">
        <v>129</v>
      </c>
      <c r="G256" s="58">
        <f t="shared" ref="G256:G259" si="220">SUM(G$161:G$162)+G$159+G$158+G$156+G$155+G$153+G$152+G$150+G$149+G$148+G104</f>
        <v>35.332999999999998</v>
      </c>
      <c r="H256" s="58">
        <f t="shared" ref="H256:H259" si="221">SUM(H$161:H$162)+H$159+H$158+H$156+H$155+H$153+H$152+H$150+H$149+H$148+$H104</f>
        <v>35.924999999999997</v>
      </c>
      <c r="I256" s="58">
        <f t="shared" ref="I256:I259" si="222">SUM(I$161:I$162)+I$159+I$158+I$156+I$155+I$153+I$152+I$150+I$149+I$148+$I104</f>
        <v>36.989999999999995</v>
      </c>
      <c r="J256" s="58">
        <f t="shared" ref="J256:J259" si="223">SUM(J$161:J$162)+J$159+J$158+J$156+J$155+J$153+J$152+J$150+J$149+J$148+$J104</f>
        <v>38.564999999999998</v>
      </c>
      <c r="K256" s="58">
        <f t="shared" ref="K256:L259" si="224">SUM(K$161:K$162)+K$159+K$158+K$156+K$155+K$153+K$152+K$150+K$149+K$148+K104</f>
        <v>40.501999999999995</v>
      </c>
      <c r="L256" s="58">
        <f t="shared" si="224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" thickBot="1" x14ac:dyDescent="0.35">
      <c r="A257" s="55" t="s">
        <v>128</v>
      </c>
      <c r="G257" s="58">
        <f t="shared" si="220"/>
        <v>35.332999999999998</v>
      </c>
      <c r="H257" s="58">
        <f t="shared" si="221"/>
        <v>35.924999999999997</v>
      </c>
      <c r="I257" s="58">
        <f t="shared" si="222"/>
        <v>36.989999999999995</v>
      </c>
      <c r="J257" s="58">
        <f t="shared" si="223"/>
        <v>38.564999999999998</v>
      </c>
      <c r="K257" s="58">
        <f t="shared" si="224"/>
        <v>40.501999999999995</v>
      </c>
      <c r="L257" s="58">
        <f t="shared" si="224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" thickBot="1" x14ac:dyDescent="0.35">
      <c r="A258" s="55" t="s">
        <v>169</v>
      </c>
      <c r="G258" s="58">
        <f t="shared" si="220"/>
        <v>34.696000000000005</v>
      </c>
      <c r="H258" s="58">
        <f t="shared" si="221"/>
        <v>35.08</v>
      </c>
      <c r="I258" s="58">
        <f t="shared" si="222"/>
        <v>35.754999999999995</v>
      </c>
      <c r="J258" s="58">
        <f t="shared" si="223"/>
        <v>36.744999999999997</v>
      </c>
      <c r="K258" s="58">
        <f t="shared" si="224"/>
        <v>37.953999999999994</v>
      </c>
      <c r="L258" s="58">
        <f t="shared" si="224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" thickBot="1" x14ac:dyDescent="0.35">
      <c r="A259" s="56" t="s">
        <v>97</v>
      </c>
      <c r="G259" s="63">
        <f t="shared" si="220"/>
        <v>35.431000000000004</v>
      </c>
      <c r="H259" s="63">
        <f t="shared" si="221"/>
        <v>36.055</v>
      </c>
      <c r="I259" s="63">
        <f t="shared" si="222"/>
        <v>37.18</v>
      </c>
      <c r="J259" s="63">
        <f t="shared" si="223"/>
        <v>38.844999999999999</v>
      </c>
      <c r="K259" s="63">
        <f t="shared" si="224"/>
        <v>40.893999999999998</v>
      </c>
      <c r="L259" s="63">
        <f t="shared" si="224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" thickBot="1" x14ac:dyDescent="0.35">
      <c r="A260" s="52"/>
    </row>
    <row r="261" spans="1:15" ht="15" thickBot="1" x14ac:dyDescent="0.35">
      <c r="A261" s="54" t="s">
        <v>96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N266" si="225">SUM(N$161:N$162)+N$148+$N109</f>
        <v>5.9269999999999996</v>
      </c>
      <c r="O261" s="100">
        <f t="shared" ref="O261:O266" si="226">SUM(O$161:O$162)+O$148+$O109</f>
        <v>6.1000000000000005</v>
      </c>
    </row>
    <row r="262" spans="1:15" ht="15" thickBot="1" x14ac:dyDescent="0.35">
      <c r="A262" s="55" t="s">
        <v>95</v>
      </c>
      <c r="G262" s="58">
        <f t="shared" ref="G262:G266" si="227">SUM(G$161:G$162)+G$159+G$158+G$156+G$155+G$153+G$152+G$150+G$149+G$148+G110</f>
        <v>38.117000000000004</v>
      </c>
      <c r="H262" s="58">
        <f t="shared" ref="H262:H266" si="228">SUM(H$161:H$162)+H$159+H$158+H$156+H$155+H$153+H$152+H$150+H$149+H$148+$H110</f>
        <v>38.964999999999996</v>
      </c>
      <c r="I262" s="58">
        <f t="shared" ref="I262:I266" si="229">SUM(I$161:I$162)+I$159+I$158+I$156+I$155+I$153+I$152+I$150+I$149+I$148+$I110</f>
        <v>40.51</v>
      </c>
      <c r="J262" s="58">
        <f t="shared" ref="J262:J266" si="230">SUM(J$161:J$162)+J$159+J$158+J$156+J$155+J$153+J$152+J$150+J$149+J$148+$J110</f>
        <v>42.805</v>
      </c>
      <c r="K262" s="58">
        <f t="shared" ref="K262:M266" si="231">SUM(K$161:K$162)+K$159+K$158+K$156+K$155+K$153+K$152+K$150+K$149+K$148+K110</f>
        <v>45.637999999999998</v>
      </c>
      <c r="L262" s="58">
        <f t="shared" si="231"/>
        <v>51.005000000000003</v>
      </c>
      <c r="M262" s="58">
        <f t="shared" si="231"/>
        <v>56.875</v>
      </c>
      <c r="N262" s="100">
        <f t="shared" si="225"/>
        <v>8.5730000000000004</v>
      </c>
      <c r="O262" s="100">
        <f t="shared" si="226"/>
        <v>8.17</v>
      </c>
    </row>
    <row r="263" spans="1:15" ht="15" thickBot="1" x14ac:dyDescent="0.35">
      <c r="A263" s="55" t="s">
        <v>94</v>
      </c>
      <c r="G263" s="58">
        <f t="shared" si="227"/>
        <v>37.186000000000007</v>
      </c>
      <c r="H263" s="58">
        <f t="shared" si="228"/>
        <v>37.729999999999997</v>
      </c>
      <c r="I263" s="58">
        <f t="shared" si="229"/>
        <v>38.704999999999998</v>
      </c>
      <c r="J263" s="58">
        <f t="shared" si="230"/>
        <v>40.144999999999996</v>
      </c>
      <c r="K263" s="58">
        <f t="shared" si="231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si="225"/>
        <v>5.7799999999999994</v>
      </c>
      <c r="O263" s="100">
        <f t="shared" si="226"/>
        <v>5.9850000000000003</v>
      </c>
    </row>
    <row r="264" spans="1:15" ht="15" thickBot="1" x14ac:dyDescent="0.35">
      <c r="A264" s="55" t="s">
        <v>93</v>
      </c>
      <c r="G264" s="58">
        <f t="shared" si="227"/>
        <v>38.215000000000003</v>
      </c>
      <c r="H264" s="58">
        <f t="shared" si="228"/>
        <v>39.094999999999999</v>
      </c>
      <c r="I264" s="58">
        <f t="shared" si="229"/>
        <v>40.700000000000003</v>
      </c>
      <c r="J264" s="58">
        <f t="shared" si="230"/>
        <v>43.085000000000001</v>
      </c>
      <c r="K264" s="58">
        <f t="shared" si="231"/>
        <v>46.03</v>
      </c>
      <c r="L264" s="58">
        <f t="shared" si="231"/>
        <v>51.425000000000004</v>
      </c>
      <c r="M264" s="58">
        <f t="shared" si="231"/>
        <v>57.525000000000006</v>
      </c>
      <c r="N264" s="100">
        <f t="shared" si="225"/>
        <v>8.8669999999999991</v>
      </c>
      <c r="O264" s="100">
        <f t="shared" si="226"/>
        <v>8.4</v>
      </c>
    </row>
    <row r="265" spans="1:15" ht="15" thickBot="1" x14ac:dyDescent="0.35">
      <c r="A265" s="55" t="s">
        <v>170</v>
      </c>
      <c r="G265" s="58">
        <f t="shared" si="227"/>
        <v>37.186000000000007</v>
      </c>
      <c r="H265" s="58">
        <f t="shared" si="228"/>
        <v>37.729999999999997</v>
      </c>
      <c r="I265" s="58">
        <f t="shared" si="229"/>
        <v>38.704999999999998</v>
      </c>
      <c r="J265" s="58">
        <f t="shared" si="230"/>
        <v>40.144999999999996</v>
      </c>
      <c r="K265" s="58">
        <f t="shared" si="231"/>
        <v>41.914000000000001</v>
      </c>
      <c r="L265" s="58">
        <f t="shared" si="231"/>
        <v>47.015000000000001</v>
      </c>
      <c r="M265" s="58">
        <f>SUM(M$161:M$162)+M$159+M$158+M$156+M$155+M$153+M$152+M$150+M$149+M$148+M113</f>
        <v>50.7</v>
      </c>
      <c r="N265" s="100">
        <f t="shared" si="225"/>
        <v>5.7799999999999994</v>
      </c>
      <c r="O265" s="100">
        <f t="shared" si="226"/>
        <v>5.9850000000000003</v>
      </c>
    </row>
    <row r="266" spans="1:15" ht="15" thickBot="1" x14ac:dyDescent="0.35">
      <c r="A266" s="56" t="s">
        <v>92</v>
      </c>
      <c r="G266" s="63">
        <f t="shared" si="227"/>
        <v>36.745000000000005</v>
      </c>
      <c r="H266" s="63">
        <f t="shared" si="228"/>
        <v>37.144999999999996</v>
      </c>
      <c r="I266" s="63">
        <f t="shared" si="229"/>
        <v>37.85</v>
      </c>
      <c r="J266" s="63">
        <f t="shared" si="230"/>
        <v>38.884999999999998</v>
      </c>
      <c r="K266" s="63">
        <f t="shared" si="231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si="225"/>
        <v>4.4569999999999999</v>
      </c>
      <c r="O266" s="100">
        <f t="shared" si="226"/>
        <v>4.95</v>
      </c>
    </row>
    <row r="267" spans="1:15" ht="15" thickBot="1" x14ac:dyDescent="0.35">
      <c r="A267" s="52"/>
    </row>
    <row r="268" spans="1:15" ht="15" thickBot="1" x14ac:dyDescent="0.35">
      <c r="A268" s="54" t="s">
        <v>91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M273" si="232">SUM(K$161:K$162)+K$159+K$158+K$156+K$155+K$153+K$152+K$150+K$149+K$148+K116</f>
        <v>42.11</v>
      </c>
      <c r="L268" s="58">
        <f t="shared" si="232"/>
        <v>47.225000000000009</v>
      </c>
      <c r="M268" s="58">
        <f t="shared" si="232"/>
        <v>51.025000000000006</v>
      </c>
      <c r="N268" s="100">
        <f t="shared" ref="N268:N273" si="233">SUM(N$161:N$162)+N$148+$N116</f>
        <v>5.9269999999999996</v>
      </c>
      <c r="O268" s="100">
        <f t="shared" ref="O268:O273" si="234">SUM(O$161:O$162)+O$148+$O116</f>
        <v>6.1000000000000005</v>
      </c>
    </row>
    <row r="269" spans="1:15" ht="15" thickBot="1" x14ac:dyDescent="0.35">
      <c r="A269" s="55" t="s">
        <v>90</v>
      </c>
      <c r="G269" s="58">
        <f t="shared" ref="G269:G273" si="235">SUM(G$161:G$162)+G$159+G$158+G$156+G$155+G$153+G$152+G$150+G$149+G$148+G117</f>
        <v>38.117000000000004</v>
      </c>
      <c r="H269" s="58">
        <f t="shared" ref="H269:H273" si="236">SUM(H$161:H$162)+H$159+H$158+H$156+H$155+H$153+H$152+H$150+H$149+H$148+$H117</f>
        <v>38.964999999999996</v>
      </c>
      <c r="I269" s="58">
        <f t="shared" ref="I269:I273" si="237">SUM(I$161:I$162)+I$159+I$158+I$156+I$155+I$153+I$152+I$150+I$149+I$148+$I117</f>
        <v>40.51</v>
      </c>
      <c r="J269" s="58">
        <f t="shared" ref="J269:J273" si="238">SUM(J$161:J$162)+J$159+J$158+J$156+J$155+J$153+J$152+J$150+J$149+J$148+$J117</f>
        <v>42.805</v>
      </c>
      <c r="K269" s="58">
        <f t="shared" si="232"/>
        <v>45.637999999999998</v>
      </c>
      <c r="L269" s="58">
        <f t="shared" si="232"/>
        <v>51.005000000000003</v>
      </c>
      <c r="M269" s="58">
        <f t="shared" si="232"/>
        <v>56.875</v>
      </c>
      <c r="N269" s="100">
        <f t="shared" si="233"/>
        <v>8.5730000000000004</v>
      </c>
      <c r="O269" s="100">
        <f t="shared" si="234"/>
        <v>8.17</v>
      </c>
    </row>
    <row r="270" spans="1:15" ht="15" thickBot="1" x14ac:dyDescent="0.35">
      <c r="A270" s="55" t="s">
        <v>89</v>
      </c>
      <c r="G270" s="58">
        <f t="shared" si="235"/>
        <v>37.186000000000007</v>
      </c>
      <c r="H270" s="58">
        <f t="shared" si="236"/>
        <v>37.729999999999997</v>
      </c>
      <c r="I270" s="58">
        <f t="shared" si="237"/>
        <v>38.704999999999998</v>
      </c>
      <c r="J270" s="58">
        <f t="shared" si="238"/>
        <v>40.144999999999996</v>
      </c>
      <c r="K270" s="58">
        <f t="shared" si="232"/>
        <v>41.914000000000001</v>
      </c>
      <c r="L270" s="58">
        <f t="shared" si="232"/>
        <v>47.015000000000001</v>
      </c>
      <c r="M270" s="58">
        <f t="shared" si="232"/>
        <v>50.7</v>
      </c>
      <c r="N270" s="100">
        <f t="shared" si="233"/>
        <v>5.7799999999999994</v>
      </c>
      <c r="O270" s="100">
        <f t="shared" si="234"/>
        <v>5.9850000000000003</v>
      </c>
    </row>
    <row r="271" spans="1:15" ht="15" thickBot="1" x14ac:dyDescent="0.35">
      <c r="A271" s="55" t="s">
        <v>88</v>
      </c>
      <c r="G271" s="58">
        <f t="shared" si="235"/>
        <v>38.215000000000003</v>
      </c>
      <c r="H271" s="58">
        <f t="shared" si="236"/>
        <v>39.094999999999999</v>
      </c>
      <c r="I271" s="58">
        <f t="shared" si="237"/>
        <v>40.700000000000003</v>
      </c>
      <c r="J271" s="58">
        <f t="shared" si="238"/>
        <v>43.085000000000001</v>
      </c>
      <c r="K271" s="58">
        <f t="shared" si="232"/>
        <v>46.03</v>
      </c>
      <c r="L271" s="58">
        <f t="shared" si="232"/>
        <v>51.425000000000004</v>
      </c>
      <c r="M271" s="58">
        <f t="shared" si="232"/>
        <v>57.525000000000006</v>
      </c>
      <c r="N271" s="100">
        <f t="shared" si="233"/>
        <v>8.8669999999999991</v>
      </c>
      <c r="O271" s="100">
        <f t="shared" si="234"/>
        <v>8.4</v>
      </c>
    </row>
    <row r="272" spans="1:15" ht="15" thickBot="1" x14ac:dyDescent="0.35">
      <c r="A272" s="55" t="s">
        <v>170</v>
      </c>
      <c r="G272" s="58">
        <f t="shared" si="235"/>
        <v>37.186000000000007</v>
      </c>
      <c r="H272" s="58">
        <f t="shared" si="236"/>
        <v>37.729999999999997</v>
      </c>
      <c r="I272" s="58">
        <f t="shared" si="237"/>
        <v>38.704999999999998</v>
      </c>
      <c r="J272" s="58">
        <f t="shared" si="238"/>
        <v>40.144999999999996</v>
      </c>
      <c r="K272" s="58">
        <f t="shared" si="232"/>
        <v>41.914000000000001</v>
      </c>
      <c r="L272" s="58">
        <f t="shared" si="232"/>
        <v>47.015000000000001</v>
      </c>
      <c r="M272" s="58">
        <f t="shared" si="232"/>
        <v>50.7</v>
      </c>
      <c r="N272" s="100">
        <f t="shared" si="233"/>
        <v>5.7799999999999994</v>
      </c>
      <c r="O272" s="100">
        <f t="shared" si="234"/>
        <v>5.9850000000000003</v>
      </c>
    </row>
    <row r="273" spans="1:15" ht="15" thickBot="1" x14ac:dyDescent="0.35">
      <c r="A273" s="56" t="s">
        <v>87</v>
      </c>
      <c r="G273" s="63">
        <f t="shared" si="235"/>
        <v>36.745000000000005</v>
      </c>
      <c r="H273" s="63">
        <f t="shared" si="236"/>
        <v>37.144999999999996</v>
      </c>
      <c r="I273" s="63">
        <f t="shared" si="237"/>
        <v>37.85</v>
      </c>
      <c r="J273" s="63">
        <f t="shared" si="238"/>
        <v>38.884999999999998</v>
      </c>
      <c r="K273" s="63">
        <f t="shared" si="232"/>
        <v>40.15</v>
      </c>
      <c r="L273" s="63">
        <f t="shared" si="232"/>
        <v>45.125</v>
      </c>
      <c r="M273" s="63">
        <f t="shared" si="232"/>
        <v>47.775000000000006</v>
      </c>
      <c r="N273" s="100">
        <f t="shared" si="233"/>
        <v>4.4569999999999999</v>
      </c>
      <c r="O273" s="100">
        <f t="shared" si="234"/>
        <v>4.95</v>
      </c>
    </row>
    <row r="274" spans="1:15" x14ac:dyDescent="0.3">
      <c r="A274" s="52"/>
    </row>
    <row r="275" spans="1:15" ht="15" thickBot="1" x14ac:dyDescent="0.35"/>
    <row r="276" spans="1:15" ht="15" thickBot="1" x14ac:dyDescent="0.35">
      <c r="A276" s="54" t="s">
        <v>77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39">MIN(I167:I273)</f>
        <v>34.674999999999997</v>
      </c>
      <c r="J276" s="78">
        <f t="shared" si="239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" thickBot="1" x14ac:dyDescent="0.35">
      <c r="A277" s="56" t="s">
        <v>78</v>
      </c>
      <c r="G277" s="78">
        <f>MAX(G167:G273)</f>
        <v>43.888999999999996</v>
      </c>
      <c r="H277" s="78">
        <f t="shared" ref="H277:J277" si="240">MAX(H167:H273)</f>
        <v>44.809000000000005</v>
      </c>
      <c r="I277" s="78">
        <f t="shared" si="240"/>
        <v>45.03</v>
      </c>
      <c r="J277" s="78">
        <f t="shared" si="240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" thickBot="1" x14ac:dyDescent="0.35"/>
    <row r="280" spans="1:15" ht="15" thickBot="1" x14ac:dyDescent="0.35">
      <c r="A280" s="80" t="s">
        <v>79</v>
      </c>
      <c r="C280" s="189" t="s">
        <v>198</v>
      </c>
      <c r="D280" s="190"/>
      <c r="E280" s="191"/>
      <c r="G280" s="189" t="s">
        <v>199</v>
      </c>
      <c r="H280" s="190"/>
      <c r="I280" s="191"/>
    </row>
    <row r="281" spans="1:15" ht="15" thickBot="1" x14ac:dyDescent="0.35">
      <c r="A281" s="81" t="s">
        <v>83</v>
      </c>
      <c r="C281" s="117">
        <v>47</v>
      </c>
      <c r="D281" s="104">
        <v>862</v>
      </c>
      <c r="E281" s="116" t="s">
        <v>82</v>
      </c>
      <c r="G281" s="103">
        <v>950</v>
      </c>
      <c r="H281" s="104">
        <v>2150</v>
      </c>
      <c r="I281" s="114" t="s">
        <v>82</v>
      </c>
    </row>
    <row r="282" spans="1:15" ht="15" thickBot="1" x14ac:dyDescent="0.35">
      <c r="A282" s="79" t="s">
        <v>80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" thickBot="1" x14ac:dyDescent="0.35">
      <c r="A283" s="78" t="s">
        <v>81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35">
      <c r="A284" s="78" t="s">
        <v>82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" thickBot="1" x14ac:dyDescent="0.35"/>
    <row r="287" spans="1:15" ht="15" thickBot="1" x14ac:dyDescent="0.35">
      <c r="C287" s="114" t="s">
        <v>228</v>
      </c>
      <c r="D287" s="114" t="s">
        <v>229</v>
      </c>
    </row>
    <row r="288" spans="1:15" ht="15" thickBot="1" x14ac:dyDescent="0.35">
      <c r="A288" s="114" t="s">
        <v>172</v>
      </c>
      <c r="C288" s="115">
        <f>N277</f>
        <v>11.527999999999999</v>
      </c>
      <c r="D288" s="115">
        <f>O277</f>
        <v>10.8</v>
      </c>
    </row>
    <row r="289" spans="1:6" x14ac:dyDescent="0.3">
      <c r="C289" s="83" t="s">
        <v>171</v>
      </c>
      <c r="D289" s="83" t="s">
        <v>171</v>
      </c>
    </row>
    <row r="290" spans="1:6" ht="15" thickBot="1" x14ac:dyDescent="0.35"/>
    <row r="291" spans="1:6" ht="15" thickBot="1" x14ac:dyDescent="0.35">
      <c r="A291" s="114" t="s">
        <v>230</v>
      </c>
    </row>
    <row r="292" spans="1:6" ht="15" thickBot="1" x14ac:dyDescent="0.35">
      <c r="A292" s="78" t="s">
        <v>245</v>
      </c>
    </row>
    <row r="293" spans="1:6" ht="15" thickBot="1" x14ac:dyDescent="0.35">
      <c r="C293" s="128" t="s">
        <v>49</v>
      </c>
      <c r="D293" s="129" t="s">
        <v>50</v>
      </c>
      <c r="E293" s="129" t="s">
        <v>231</v>
      </c>
      <c r="F293" s="130" t="s">
        <v>51</v>
      </c>
    </row>
    <row r="294" spans="1:6" x14ac:dyDescent="0.3">
      <c r="A294" s="125" t="s">
        <v>232</v>
      </c>
      <c r="C294" s="131">
        <v>40</v>
      </c>
      <c r="D294" s="115">
        <v>30</v>
      </c>
      <c r="E294" s="115">
        <v>47</v>
      </c>
      <c r="F294" s="132">
        <v>47</v>
      </c>
    </row>
    <row r="295" spans="1:6" ht="15" thickBot="1" x14ac:dyDescent="0.35">
      <c r="A295" s="126" t="s">
        <v>233</v>
      </c>
      <c r="C295" s="133">
        <v>70</v>
      </c>
      <c r="D295" s="134">
        <v>70</v>
      </c>
      <c r="E295" s="134">
        <v>70</v>
      </c>
      <c r="F295" s="135">
        <v>70</v>
      </c>
    </row>
    <row r="296" spans="1:6" ht="15" thickBot="1" x14ac:dyDescent="0.35"/>
    <row r="297" spans="1:6" ht="15" thickBot="1" x14ac:dyDescent="0.35">
      <c r="A297" s="127" t="s">
        <v>234</v>
      </c>
    </row>
    <row r="298" spans="1:6" x14ac:dyDescent="0.3">
      <c r="A298" s="125" t="s">
        <v>235</v>
      </c>
      <c r="C298" s="136">
        <f>MAX(H167:H273)+C294</f>
        <v>84.808999999999997</v>
      </c>
      <c r="D298" s="137">
        <f>MAX(I167:I273)+D294</f>
        <v>75.03</v>
      </c>
      <c r="E298" s="137">
        <f>MAX(K167:K273)+E294</f>
        <v>96.51</v>
      </c>
      <c r="F298" s="138">
        <f>MAX(M167:M273)+F294</f>
        <v>104.52500000000001</v>
      </c>
    </row>
    <row r="299" spans="1:6" ht="15" thickBot="1" x14ac:dyDescent="0.35">
      <c r="A299" s="126" t="s">
        <v>236</v>
      </c>
      <c r="C299" s="139">
        <f>MIN(H167:H273)+C295</f>
        <v>104.16200000000001</v>
      </c>
      <c r="D299" s="140">
        <f>MIN(I167:I273)+D295</f>
        <v>104.675</v>
      </c>
      <c r="E299" s="140">
        <f>MIN(K167:K273)+E295</f>
        <v>106.358</v>
      </c>
      <c r="F299" s="141">
        <f>MIN(M167:M273)+F295</f>
        <v>105.26300000000001</v>
      </c>
    </row>
    <row r="300" spans="1:6" ht="15" thickBot="1" x14ac:dyDescent="0.35"/>
    <row r="301" spans="1:6" ht="15" thickBot="1" x14ac:dyDescent="0.35">
      <c r="A301" s="78" t="s">
        <v>237</v>
      </c>
      <c r="C301" s="142">
        <f>0.25*C298+0.75*C299</f>
        <v>99.32374999999999</v>
      </c>
      <c r="D301" s="143">
        <f>0.25*D298+0.75*D299</f>
        <v>97.263749999999987</v>
      </c>
      <c r="E301" s="137">
        <f>0.25*E298+0.75*E299</f>
        <v>103.896</v>
      </c>
      <c r="F301" s="138">
        <f>0.25*F298+0.75*F299</f>
        <v>105.07849999999999</v>
      </c>
    </row>
    <row r="302" spans="1:6" ht="15" thickBot="1" x14ac:dyDescent="0.35">
      <c r="A302" s="78" t="s">
        <v>238</v>
      </c>
      <c r="C302" s="147">
        <v>100</v>
      </c>
      <c r="D302" s="21">
        <v>98</v>
      </c>
      <c r="E302" s="21">
        <v>104</v>
      </c>
      <c r="F302" s="148">
        <v>105</v>
      </c>
    </row>
    <row r="303" spans="1:6" ht="15" thickBot="1" x14ac:dyDescent="0.35">
      <c r="A303" s="78" t="s">
        <v>239</v>
      </c>
      <c r="C303" s="177" t="s">
        <v>241</v>
      </c>
      <c r="D303" s="178" t="s">
        <v>242</v>
      </c>
      <c r="E303" s="178" t="s">
        <v>243</v>
      </c>
      <c r="F303" s="179" t="s">
        <v>244</v>
      </c>
    </row>
    <row r="305" spans="1:4" ht="15" thickBot="1" x14ac:dyDescent="0.35"/>
    <row r="306" spans="1:4" ht="15" thickBot="1" x14ac:dyDescent="0.35">
      <c r="A306" s="127" t="s">
        <v>290</v>
      </c>
      <c r="C306" s="114" t="s">
        <v>231</v>
      </c>
      <c r="D306" s="104" t="s">
        <v>51</v>
      </c>
    </row>
    <row r="307" spans="1:4" ht="15" thickBot="1" x14ac:dyDescent="0.35">
      <c r="A307" s="125" t="s">
        <v>288</v>
      </c>
      <c r="C307" s="180">
        <f>E302-MAX(G277:K277)</f>
        <v>54.489999999999995</v>
      </c>
      <c r="D307" s="63">
        <f>F302-MAX(L277:M277)</f>
        <v>47.474999999999994</v>
      </c>
    </row>
    <row r="308" spans="1:4" ht="15" thickBot="1" x14ac:dyDescent="0.35">
      <c r="A308" s="126" t="s">
        <v>289</v>
      </c>
      <c r="C308" s="60">
        <f>E302-MIN(G276:K276)</f>
        <v>70.126000000000005</v>
      </c>
      <c r="D308" s="63">
        <f>F302-MIN(L277:M277)</f>
        <v>51.674999999999997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zoomScale="69" zoomScaleNormal="69" workbookViewId="0">
      <selection activeCell="O41" sqref="O41"/>
    </sheetView>
  </sheetViews>
  <sheetFormatPr baseColWidth="10" defaultRowHeight="14.4" x14ac:dyDescent="0.3"/>
  <cols>
    <col min="1" max="1" width="55.33203125" customWidth="1"/>
    <col min="9" max="9" width="15.5546875" customWidth="1"/>
    <col min="10" max="15" width="11.6640625" bestFit="1" customWidth="1"/>
  </cols>
  <sheetData>
    <row r="1" spans="1:17" x14ac:dyDescent="0.3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291</v>
      </c>
      <c r="J1" s="42" t="s">
        <v>240</v>
      </c>
      <c r="K1" s="42" t="s">
        <v>66</v>
      </c>
      <c r="L1" s="42" t="s">
        <v>67</v>
      </c>
      <c r="M1" s="42" t="s">
        <v>68</v>
      </c>
      <c r="N1" s="123" t="s">
        <v>69</v>
      </c>
      <c r="O1" s="45" t="s">
        <v>51</v>
      </c>
    </row>
    <row r="2" spans="1:17" ht="15" thickBot="1" x14ac:dyDescent="0.35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24">
        <v>674</v>
      </c>
      <c r="O2" s="46">
        <v>2150</v>
      </c>
    </row>
    <row r="3" spans="1:17" ht="15" thickBot="1" x14ac:dyDescent="0.35">
      <c r="A3" s="72" t="s">
        <v>52</v>
      </c>
    </row>
    <row r="4" spans="1:17" ht="15" thickBot="1" x14ac:dyDescent="0.35">
      <c r="A4" s="73" t="s">
        <v>2</v>
      </c>
    </row>
    <row r="5" spans="1:17" x14ac:dyDescent="0.3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 t="s">
        <v>263</v>
      </c>
    </row>
    <row r="6" spans="1:17" ht="15" thickBot="1" x14ac:dyDescent="0.35">
      <c r="A6" s="32"/>
    </row>
    <row r="7" spans="1:17" ht="15" thickBot="1" x14ac:dyDescent="0.35">
      <c r="A7" s="73" t="s">
        <v>70</v>
      </c>
    </row>
    <row r="8" spans="1:17" x14ac:dyDescent="0.3">
      <c r="A8" s="70" t="s">
        <v>71</v>
      </c>
      <c r="F8" s="2">
        <v>1</v>
      </c>
    </row>
    <row r="9" spans="1:17" x14ac:dyDescent="0.3">
      <c r="A9" s="9" t="s">
        <v>72</v>
      </c>
      <c r="G9" s="2">
        <v>8</v>
      </c>
    </row>
    <row r="10" spans="1:17" x14ac:dyDescent="0.3">
      <c r="A10" s="9" t="s">
        <v>73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7" x14ac:dyDescent="0.3">
      <c r="A11" s="9" t="s">
        <v>203</v>
      </c>
      <c r="O11" s="2">
        <v>42</v>
      </c>
    </row>
    <row r="12" spans="1:17" x14ac:dyDescent="0.3">
      <c r="A12" s="9" t="s">
        <v>204</v>
      </c>
      <c r="O12" s="2">
        <v>37</v>
      </c>
    </row>
    <row r="13" spans="1:17" x14ac:dyDescent="0.3">
      <c r="H13" s="1"/>
    </row>
    <row r="14" spans="1:17" ht="15" thickBot="1" x14ac:dyDescent="0.35"/>
    <row r="15" spans="1:17" x14ac:dyDescent="0.3">
      <c r="A15" s="101" t="s">
        <v>173</v>
      </c>
    </row>
    <row r="16" spans="1:17" x14ac:dyDescent="0.3">
      <c r="A16" s="9" t="s">
        <v>174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Q16" t="s">
        <v>226</v>
      </c>
    </row>
    <row r="17" spans="1:15" x14ac:dyDescent="0.3">
      <c r="A17" s="9" t="s">
        <v>175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3">
      <c r="A18" s="9" t="s">
        <v>176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3">
      <c r="A19" s="9" t="s">
        <v>177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3">
      <c r="A20" s="9" t="s">
        <v>178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" thickBot="1" x14ac:dyDescent="0.35"/>
    <row r="23" spans="1:15" x14ac:dyDescent="0.3">
      <c r="A23" s="101" t="s">
        <v>179</v>
      </c>
    </row>
    <row r="24" spans="1:15" x14ac:dyDescent="0.3">
      <c r="A24" s="9" t="s">
        <v>174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3">
      <c r="A25" s="9" t="s">
        <v>175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3">
      <c r="A26" s="9" t="s">
        <v>176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3">
      <c r="A27" s="9" t="s">
        <v>180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3">
      <c r="A28" s="9" t="s">
        <v>178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" thickBot="1" x14ac:dyDescent="0.35"/>
    <row r="31" spans="1:15" x14ac:dyDescent="0.3">
      <c r="A31" s="105" t="s">
        <v>181</v>
      </c>
    </row>
    <row r="32" spans="1:15" x14ac:dyDescent="0.3">
      <c r="A32" s="107" t="s">
        <v>182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3">
      <c r="A33" s="107" t="s">
        <v>183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82"/>
      <c r="P33" s="188"/>
    </row>
    <row r="34" spans="1:16" x14ac:dyDescent="0.3">
      <c r="A34" s="107" t="s">
        <v>184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3">
      <c r="A35" s="107" t="s">
        <v>185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3">
      <c r="A36" s="109" t="s">
        <v>186</v>
      </c>
      <c r="F36" s="109" t="s">
        <v>171</v>
      </c>
      <c r="G36" s="109" t="s">
        <v>171</v>
      </c>
      <c r="H36" s="109" t="s">
        <v>171</v>
      </c>
      <c r="I36" s="109" t="s">
        <v>171</v>
      </c>
      <c r="J36" s="109" t="s">
        <v>171</v>
      </c>
      <c r="K36" s="109" t="s">
        <v>171</v>
      </c>
      <c r="L36" s="109" t="s">
        <v>171</v>
      </c>
      <c r="M36" s="109" t="s">
        <v>171</v>
      </c>
      <c r="N36" s="109" t="s">
        <v>171</v>
      </c>
    </row>
    <row r="38" spans="1:16" ht="15" thickBot="1" x14ac:dyDescent="0.35"/>
    <row r="39" spans="1:16" ht="15" thickBot="1" x14ac:dyDescent="0.35">
      <c r="C39" s="128" t="s">
        <v>249</v>
      </c>
      <c r="D39" s="130" t="s">
        <v>250</v>
      </c>
    </row>
    <row r="40" spans="1:16" ht="15" thickBot="1" x14ac:dyDescent="0.35">
      <c r="A40" s="127" t="s">
        <v>227</v>
      </c>
    </row>
    <row r="41" spans="1:16" x14ac:dyDescent="0.3">
      <c r="A41" s="125" t="s">
        <v>246</v>
      </c>
      <c r="F41" s="160">
        <f>Network!C302</f>
        <v>100</v>
      </c>
      <c r="G41" s="161">
        <f>Network!D302</f>
        <v>98</v>
      </c>
      <c r="H41" s="162">
        <f>Network!E302</f>
        <v>104</v>
      </c>
      <c r="I41" s="162">
        <f>Network!E302</f>
        <v>104</v>
      </c>
      <c r="J41" s="162">
        <f>Network!E302</f>
        <v>104</v>
      </c>
      <c r="K41" s="162">
        <f>Network!E302</f>
        <v>104</v>
      </c>
      <c r="L41" s="162">
        <f>Network!E302</f>
        <v>104</v>
      </c>
      <c r="M41" s="162">
        <f>Network!E302</f>
        <v>104</v>
      </c>
      <c r="N41" s="162">
        <f>Network!E302</f>
        <v>104</v>
      </c>
      <c r="O41" s="163">
        <f>Network!F302</f>
        <v>105</v>
      </c>
    </row>
    <row r="42" spans="1:16" ht="15" thickBot="1" x14ac:dyDescent="0.35">
      <c r="A42" s="150" t="s">
        <v>247</v>
      </c>
      <c r="F42" s="147">
        <v>8</v>
      </c>
      <c r="G42" s="158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48">
        <v>0</v>
      </c>
    </row>
    <row r="43" spans="1:16" ht="15" thickBot="1" x14ac:dyDescent="0.35">
      <c r="A43" s="150" t="s">
        <v>248</v>
      </c>
      <c r="C43" s="145">
        <v>0.3</v>
      </c>
      <c r="D43" s="146">
        <v>0.5</v>
      </c>
      <c r="F43" s="147">
        <f>F42*C43</f>
        <v>2.4</v>
      </c>
      <c r="G43" s="158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48">
        <f>O42*D43</f>
        <v>0</v>
      </c>
    </row>
    <row r="44" spans="1:16" x14ac:dyDescent="0.3">
      <c r="A44" s="156" t="s">
        <v>251</v>
      </c>
      <c r="F44" s="167">
        <f t="shared" ref="F44:O44" si="1">F41+F43</f>
        <v>102.4</v>
      </c>
      <c r="G44" s="168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69">
        <f t="shared" si="1"/>
        <v>105</v>
      </c>
    </row>
    <row r="45" spans="1:16" x14ac:dyDescent="0.3">
      <c r="A45" s="150" t="s">
        <v>252</v>
      </c>
      <c r="F45" s="157">
        <f>F19-F87</f>
        <v>99.032015015757835</v>
      </c>
      <c r="G45" s="159">
        <f t="shared" ref="G45:O45" si="2">G19-G87</f>
        <v>101.17931555708239</v>
      </c>
      <c r="H45" s="152">
        <f t="shared" si="2"/>
        <v>110</v>
      </c>
      <c r="I45" s="152">
        <f t="shared" si="2"/>
        <v>110</v>
      </c>
      <c r="J45" s="152">
        <f t="shared" si="2"/>
        <v>110</v>
      </c>
      <c r="K45" s="152">
        <f t="shared" si="2"/>
        <v>110</v>
      </c>
      <c r="L45" s="152">
        <f t="shared" si="2"/>
        <v>110</v>
      </c>
      <c r="M45" s="152">
        <f t="shared" si="2"/>
        <v>110</v>
      </c>
      <c r="N45" s="152">
        <f t="shared" si="2"/>
        <v>110</v>
      </c>
      <c r="O45" s="155">
        <f t="shared" si="2"/>
        <v>113.03201501575784</v>
      </c>
    </row>
    <row r="46" spans="1:16" ht="15" thickBot="1" x14ac:dyDescent="0.35">
      <c r="A46" s="126" t="s">
        <v>253</v>
      </c>
      <c r="F46" s="164" t="str">
        <f t="shared" ref="F46:O46" si="3">IF(F44&lt;=(F19-F87),"OK","NO")</f>
        <v>NO</v>
      </c>
      <c r="G46" s="165" t="str">
        <f t="shared" si="3"/>
        <v>OK</v>
      </c>
      <c r="H46" s="165" t="str">
        <f t="shared" si="3"/>
        <v>OK</v>
      </c>
      <c r="I46" s="165" t="str">
        <f t="shared" si="3"/>
        <v>OK</v>
      </c>
      <c r="J46" s="165" t="str">
        <f t="shared" si="3"/>
        <v>OK</v>
      </c>
      <c r="K46" s="165" t="str">
        <f t="shared" si="3"/>
        <v>OK</v>
      </c>
      <c r="L46" s="165" t="str">
        <f t="shared" si="3"/>
        <v>OK</v>
      </c>
      <c r="M46" s="165" t="str">
        <f t="shared" si="3"/>
        <v>OK</v>
      </c>
      <c r="N46" s="170" t="str">
        <f t="shared" si="3"/>
        <v>OK</v>
      </c>
      <c r="O46" s="166" t="str">
        <f t="shared" si="3"/>
        <v>OK</v>
      </c>
    </row>
    <row r="47" spans="1:16" ht="15" thickBot="1" x14ac:dyDescent="0.35"/>
    <row r="48" spans="1:16" ht="15" thickBot="1" x14ac:dyDescent="0.35">
      <c r="A48" s="127" t="s">
        <v>258</v>
      </c>
      <c r="F48" s="1" t="s">
        <v>264</v>
      </c>
    </row>
    <row r="49" spans="1:15" x14ac:dyDescent="0.3">
      <c r="A49" s="149" t="s">
        <v>259</v>
      </c>
      <c r="F49" s="136">
        <v>6</v>
      </c>
      <c r="G49" s="137">
        <v>8</v>
      </c>
      <c r="H49" s="137">
        <v>8</v>
      </c>
      <c r="I49" s="137">
        <v>8</v>
      </c>
      <c r="J49" s="137">
        <v>8</v>
      </c>
      <c r="K49" s="137">
        <v>8</v>
      </c>
      <c r="L49" s="137">
        <v>8</v>
      </c>
      <c r="M49" s="137">
        <v>8</v>
      </c>
      <c r="N49" s="138">
        <v>8</v>
      </c>
    </row>
    <row r="50" spans="1:15" x14ac:dyDescent="0.3">
      <c r="A50" s="150" t="s">
        <v>260</v>
      </c>
      <c r="F50" s="147">
        <f>F5*F49</f>
        <v>0.30000000000000004</v>
      </c>
      <c r="G50" s="21">
        <f>G5*G49</f>
        <v>0.48</v>
      </c>
      <c r="H50" s="21">
        <f>H5*H49</f>
        <v>0.8</v>
      </c>
      <c r="I50" s="21">
        <f t="shared" ref="I50:M50" si="4">I5*I49</f>
        <v>0.8</v>
      </c>
      <c r="J50" s="21">
        <f t="shared" si="4"/>
        <v>0.8</v>
      </c>
      <c r="K50" s="21">
        <f t="shared" si="4"/>
        <v>0.88</v>
      </c>
      <c r="L50" s="21">
        <f t="shared" si="4"/>
        <v>0.88</v>
      </c>
      <c r="M50" s="21">
        <f t="shared" si="4"/>
        <v>0.88</v>
      </c>
      <c r="N50" s="148">
        <f>N5*N49</f>
        <v>0.88</v>
      </c>
    </row>
    <row r="51" spans="1:15" ht="15" thickBot="1" x14ac:dyDescent="0.35">
      <c r="A51" s="150" t="s">
        <v>247</v>
      </c>
      <c r="F51" s="147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48">
        <v>0</v>
      </c>
    </row>
    <row r="52" spans="1:15" ht="15" thickBot="1" x14ac:dyDescent="0.35">
      <c r="A52" s="150" t="s">
        <v>248</v>
      </c>
      <c r="C52" s="145">
        <v>0.3</v>
      </c>
      <c r="D52" s="146">
        <v>0.5</v>
      </c>
      <c r="F52" s="147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48">
        <f>D52*N51</f>
        <v>0</v>
      </c>
    </row>
    <row r="53" spans="1:15" x14ac:dyDescent="0.3">
      <c r="A53" s="150" t="s">
        <v>261</v>
      </c>
      <c r="F53" s="147">
        <f t="shared" ref="F53:N53" si="5">F52+F50</f>
        <v>2.7</v>
      </c>
      <c r="G53" s="21">
        <f t="shared" si="5"/>
        <v>2.58</v>
      </c>
      <c r="H53" s="21">
        <f t="shared" si="5"/>
        <v>3.8</v>
      </c>
      <c r="I53" s="21">
        <f t="shared" si="5"/>
        <v>3.3</v>
      </c>
      <c r="J53" s="21">
        <f t="shared" si="5"/>
        <v>2.8</v>
      </c>
      <c r="K53" s="21">
        <f t="shared" si="5"/>
        <v>2.38</v>
      </c>
      <c r="L53" s="21">
        <f t="shared" si="5"/>
        <v>1.88</v>
      </c>
      <c r="M53" s="21">
        <f t="shared" si="5"/>
        <v>1.38</v>
      </c>
      <c r="N53" s="148">
        <f t="shared" si="5"/>
        <v>0.88</v>
      </c>
    </row>
    <row r="54" spans="1:15" ht="15" thickBot="1" x14ac:dyDescent="0.35">
      <c r="A54" s="151" t="s">
        <v>262</v>
      </c>
      <c r="F54" s="139">
        <f t="shared" ref="F54:N54" si="6">F32-F53</f>
        <v>67.3</v>
      </c>
      <c r="G54" s="140">
        <f t="shared" si="6"/>
        <v>55.42</v>
      </c>
      <c r="H54" s="140">
        <f t="shared" si="6"/>
        <v>46.2</v>
      </c>
      <c r="I54" s="140">
        <f t="shared" si="6"/>
        <v>46.7</v>
      </c>
      <c r="J54" s="140">
        <f t="shared" si="6"/>
        <v>47.2</v>
      </c>
      <c r="K54" s="140">
        <f t="shared" si="6"/>
        <v>47.62</v>
      </c>
      <c r="L54" s="140">
        <f t="shared" si="6"/>
        <v>48.12</v>
      </c>
      <c r="M54" s="140">
        <f t="shared" si="6"/>
        <v>48.62</v>
      </c>
      <c r="N54" s="141">
        <f t="shared" si="6"/>
        <v>49.12</v>
      </c>
    </row>
    <row r="55" spans="1:15" ht="15" thickBot="1" x14ac:dyDescent="0.35"/>
    <row r="56" spans="1:15" ht="15" thickBot="1" x14ac:dyDescent="0.35">
      <c r="A56" s="8" t="s">
        <v>265</v>
      </c>
    </row>
    <row r="57" spans="1:15" ht="15" thickBot="1" x14ac:dyDescent="0.35">
      <c r="A57" s="127" t="s">
        <v>266</v>
      </c>
    </row>
    <row r="58" spans="1:15" x14ac:dyDescent="0.3">
      <c r="A58" s="149" t="s">
        <v>267</v>
      </c>
      <c r="F58" s="136">
        <f>F44-(F32-F53)</f>
        <v>35.100000000000009</v>
      </c>
      <c r="G58" s="137">
        <f>G44-(G32-G53)</f>
        <v>44.679999999999993</v>
      </c>
      <c r="H58" s="137">
        <f>H44-(H32-H53)</f>
        <v>60.8</v>
      </c>
      <c r="I58" s="137">
        <f>I44-(I32-I53)</f>
        <v>59.8</v>
      </c>
      <c r="J58" s="137">
        <f t="shared" ref="J58:N58" si="7">J44-(J32-J53)</f>
        <v>58.8</v>
      </c>
      <c r="K58" s="137">
        <f t="shared" si="7"/>
        <v>57.88</v>
      </c>
      <c r="L58" s="137">
        <f t="shared" si="7"/>
        <v>56.88</v>
      </c>
      <c r="M58" s="137">
        <f t="shared" si="7"/>
        <v>55.88</v>
      </c>
      <c r="N58" s="138">
        <f t="shared" si="7"/>
        <v>54.88</v>
      </c>
    </row>
    <row r="59" spans="1:15" ht="15" thickBot="1" x14ac:dyDescent="0.35">
      <c r="A59" s="151" t="s">
        <v>268</v>
      </c>
      <c r="F59" s="164" t="str">
        <f>IF(AND(F16&gt;F58,(F16-F17)&lt;F58),"OK","NO")</f>
        <v>OK</v>
      </c>
      <c r="G59" s="165" t="str">
        <f t="shared" ref="G59:N59" si="8">IF(AND(G16&gt;G58,(G16-G17)&lt;G58),"OK","NO")</f>
        <v>OK</v>
      </c>
      <c r="H59" s="165" t="str">
        <f t="shared" si="8"/>
        <v>NO</v>
      </c>
      <c r="I59" s="165" t="str">
        <f t="shared" si="8"/>
        <v>NO</v>
      </c>
      <c r="J59" s="165" t="str">
        <f t="shared" si="8"/>
        <v>NO</v>
      </c>
      <c r="K59" s="165" t="str">
        <f t="shared" si="8"/>
        <v>NO</v>
      </c>
      <c r="L59" s="165" t="str">
        <f t="shared" si="8"/>
        <v>NO</v>
      </c>
      <c r="M59" s="165" t="str">
        <f t="shared" si="8"/>
        <v>NO</v>
      </c>
      <c r="N59" s="166" t="str">
        <f t="shared" si="8"/>
        <v>NO</v>
      </c>
    </row>
    <row r="60" spans="1:15" ht="15" thickBot="1" x14ac:dyDescent="0.35"/>
    <row r="61" spans="1:15" ht="15" thickBot="1" x14ac:dyDescent="0.35">
      <c r="A61" s="127" t="s">
        <v>269</v>
      </c>
    </row>
    <row r="62" spans="1:15" x14ac:dyDescent="0.3">
      <c r="A62" s="149" t="s">
        <v>270</v>
      </c>
      <c r="F62" s="136">
        <f>IF(F58-F24&gt;F16-F17,F58-F24,F16-F17)</f>
        <v>35.100000000000009</v>
      </c>
      <c r="G62" s="137">
        <f t="shared" ref="G62:N62" si="9">IF(G58-G24&gt;G16-G17,G58-G24,G16-G17)</f>
        <v>44.679999999999993</v>
      </c>
      <c r="H62" s="137">
        <f t="shared" si="9"/>
        <v>32.799999999999997</v>
      </c>
      <c r="I62" s="137">
        <f>IF(I58-I24&gt;I16-I17,I58-I24,I16-I17)</f>
        <v>31.799999999999997</v>
      </c>
      <c r="J62" s="137">
        <f t="shared" si="9"/>
        <v>30.799999999999997</v>
      </c>
      <c r="K62" s="137">
        <f t="shared" si="9"/>
        <v>29.880000000000003</v>
      </c>
      <c r="L62" s="137">
        <f t="shared" si="9"/>
        <v>28.880000000000003</v>
      </c>
      <c r="M62" s="137">
        <f t="shared" si="9"/>
        <v>27.880000000000003</v>
      </c>
      <c r="N62" s="138">
        <f t="shared" si="9"/>
        <v>26.880000000000003</v>
      </c>
    </row>
    <row r="63" spans="1:15" x14ac:dyDescent="0.3">
      <c r="A63" s="150" t="s">
        <v>271</v>
      </c>
      <c r="F63" s="147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48">
        <f t="shared" si="10"/>
        <v>28</v>
      </c>
      <c r="O63" s="1"/>
    </row>
    <row r="64" spans="1:15" ht="15" thickBot="1" x14ac:dyDescent="0.35">
      <c r="A64" s="151" t="s">
        <v>272</v>
      </c>
      <c r="F64" s="164" t="str">
        <f>IF(AND(F16&gt;F62,(F16-F17)&lt;F62),"OK","NO")</f>
        <v>OK</v>
      </c>
      <c r="G64" s="165" t="str">
        <f t="shared" ref="G64:N64" si="11">IF(AND(G16&gt;G62,(G16-G17)&lt;G62),"OK","NO")</f>
        <v>OK</v>
      </c>
      <c r="H64" s="165" t="str">
        <f t="shared" si="11"/>
        <v>OK</v>
      </c>
      <c r="I64" s="165" t="str">
        <f t="shared" si="11"/>
        <v>OK</v>
      </c>
      <c r="J64" s="165" t="str">
        <f t="shared" si="11"/>
        <v>OK</v>
      </c>
      <c r="K64" s="165" t="str">
        <f t="shared" si="11"/>
        <v>OK</v>
      </c>
      <c r="L64" s="165" t="str">
        <f t="shared" si="11"/>
        <v>OK</v>
      </c>
      <c r="M64" s="165" t="str">
        <f t="shared" si="11"/>
        <v>OK</v>
      </c>
      <c r="N64" s="166" t="str">
        <f t="shared" si="11"/>
        <v>OK</v>
      </c>
    </row>
    <row r="65" spans="1:15" ht="15" thickBot="1" x14ac:dyDescent="0.35"/>
    <row r="66" spans="1:15" ht="15" thickBot="1" x14ac:dyDescent="0.35">
      <c r="A66" s="171" t="s">
        <v>273</v>
      </c>
    </row>
    <row r="67" spans="1:15" x14ac:dyDescent="0.3">
      <c r="A67" s="150" t="s">
        <v>274</v>
      </c>
      <c r="F67" s="136">
        <v>0.15</v>
      </c>
      <c r="G67" s="137">
        <v>1.536</v>
      </c>
      <c r="H67" s="137">
        <v>8</v>
      </c>
      <c r="I67" s="137">
        <v>8</v>
      </c>
      <c r="J67" s="137">
        <v>8</v>
      </c>
      <c r="K67" s="137">
        <v>8</v>
      </c>
      <c r="L67" s="137">
        <v>8</v>
      </c>
      <c r="M67" s="137">
        <v>8</v>
      </c>
      <c r="N67" s="138">
        <v>8</v>
      </c>
    </row>
    <row r="68" spans="1:15" x14ac:dyDescent="0.3">
      <c r="A68" s="150" t="s">
        <v>275</v>
      </c>
      <c r="F68" s="147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48">
        <v>290</v>
      </c>
    </row>
    <row r="69" spans="1:15" x14ac:dyDescent="0.3">
      <c r="A69" s="150" t="s">
        <v>276</v>
      </c>
      <c r="F69" s="147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48">
        <v>4</v>
      </c>
    </row>
    <row r="70" spans="1:15" ht="15" thickBot="1" x14ac:dyDescent="0.35">
      <c r="A70" s="151" t="s">
        <v>277</v>
      </c>
      <c r="F70" s="139">
        <v>38</v>
      </c>
      <c r="G70" s="140">
        <v>18</v>
      </c>
      <c r="H70" s="140">
        <v>25</v>
      </c>
      <c r="I70" s="140">
        <v>25</v>
      </c>
      <c r="J70" s="140">
        <v>25</v>
      </c>
      <c r="K70" s="140">
        <v>25</v>
      </c>
      <c r="L70" s="140">
        <v>25</v>
      </c>
      <c r="M70" s="140">
        <v>25</v>
      </c>
      <c r="N70" s="141">
        <v>25</v>
      </c>
    </row>
    <row r="71" spans="1:15" ht="15" thickBot="1" x14ac:dyDescent="0.35"/>
    <row r="72" spans="1:15" x14ac:dyDescent="0.3">
      <c r="A72" s="172" t="s">
        <v>278</v>
      </c>
    </row>
    <row r="73" spans="1:15" ht="15" thickBot="1" x14ac:dyDescent="0.35">
      <c r="A73" s="173" t="s">
        <v>266</v>
      </c>
    </row>
    <row r="74" spans="1:15" x14ac:dyDescent="0.3">
      <c r="A74" s="150" t="s">
        <v>279</v>
      </c>
      <c r="B74" s="1"/>
      <c r="F74" s="136">
        <f>10*LOG10(10^((F18+F53)/10)+10^((F53-F58)/10)*(10^((F43+Network!H277)/10)-1))</f>
        <v>16.537205707170102</v>
      </c>
      <c r="G74" s="137">
        <f>10*LOG10(10^((G18+G53)/10)+10^((G53-G58)/10)*(10^((G43+Network!I277)/10)-1))</f>
        <v>12.448242010510427</v>
      </c>
      <c r="H74" s="137">
        <f>10*LOG10(10^((H18+H53)/10)+10^((H53-H58)/10)*(10^((H43+Network!J277)/10)-1))</f>
        <v>12.837121168044634</v>
      </c>
      <c r="I74" s="137">
        <f>10*LOG10(10^((I18+I53)/10)+10^((I53-I58)/10)*(10^((I43+Network!J277)/10)-1))</f>
        <v>12.341628930936814</v>
      </c>
      <c r="J74" s="137">
        <f>10*LOG10(10^((J18+J53)/10)+10^((J53-J58)/10)*(10^((J43+Network!J277)/10)-1))</f>
        <v>11.846681144362297</v>
      </c>
      <c r="K74" s="137">
        <f>10*LOG10(10^((K18+K53)/10)+10^((K53-K58)/10)*(10^((K43+Network!J277)/10)-1))</f>
        <v>11.431393079318745</v>
      </c>
      <c r="L74" s="137">
        <f>10*LOG10(10^((L18+L53)/10)+10^((L53-L58)/10)*(10^((L43+Network!K277)/10)-1))</f>
        <v>11.004322432591573</v>
      </c>
      <c r="M74" s="137">
        <f>10*LOG10(10^((M18+M53)/10)+10^((M53-M58)/10)*(10^((M43+Network!K277)/10)-1))</f>
        <v>10.51925115842595</v>
      </c>
      <c r="N74" s="138">
        <f>10*LOG10(10^((N18+N53)/10)+10^((N53-N58)/10)*(10^((N43+Network!K277)/10)-1))</f>
        <v>10.035940560689802</v>
      </c>
    </row>
    <row r="75" spans="1:15" x14ac:dyDescent="0.3">
      <c r="A75" s="150" t="s">
        <v>280</v>
      </c>
      <c r="F75" s="167">
        <f>F32-F69-10*LOG10(10^((F18+F53)/10)+10^((F53-F58)/10)*(10^((F43+Network!H277)/10)-1))</f>
        <v>66.462794292829898</v>
      </c>
      <c r="G75" s="90">
        <f>G32-G69-10*LOG10(10^((G18+G53)/10)+10^((G53-G58)/10)*(10^((G43+Network!I277)/10)-1))</f>
        <v>48.551757989489573</v>
      </c>
      <c r="H75" s="90">
        <f>H32-H69-10*LOG10(10^((H18+H53)/10)+10^((H53-H58)/10)*(10^((H43+Network!J277)/10)-1))</f>
        <v>33.162878831955368</v>
      </c>
      <c r="I75" s="90">
        <f>I32-I69-10*LOG10(10^((I18+I53)/10)+10^((I53-I58)/10)*(10^((I43+Network!J277)/10)-1))</f>
        <v>33.658371069063186</v>
      </c>
      <c r="J75" s="90">
        <f>J32-J69-10*LOG10(10^((J18+J53)/10)+10^((J53-J58)/10)*(10^((J43+Network!J277)/10)-1))</f>
        <v>34.153318855637707</v>
      </c>
      <c r="K75" s="90">
        <f>K32-K69-10*LOG10(10^((K18+K53)/10)+10^((K53-K58)/10)*(10^((K43+Network!J277)/10)-1))</f>
        <v>34.568606920681255</v>
      </c>
      <c r="L75" s="90">
        <f>L32-L69-10*LOG10(10^((L18+L53)/10)+10^((L53-L58)/10)*(10^((J43+Network!O277)/10)-1))</f>
        <v>35.119979752503028</v>
      </c>
      <c r="M75" s="90">
        <f>M32-M69-10*LOG10(10^((M18+M53)/10)+10^((M53-M58)/10)*(10^((J43+Network!P277)/10)-1))</f>
        <v>35.619999174226699</v>
      </c>
      <c r="N75" s="169">
        <f>N32-N69-10*LOG10(10^((N18+N53)/10)+10^((N53-N58)/10)*(10^((J43+Network!Q277)/10)-1))</f>
        <v>36.119998960413028</v>
      </c>
    </row>
    <row r="76" spans="1:15" ht="15" thickBot="1" x14ac:dyDescent="0.35">
      <c r="A76" s="151" t="s">
        <v>281</v>
      </c>
      <c r="F76" s="164" t="str">
        <f>IF(F75&gt;=F70,"OK","NO")</f>
        <v>OK</v>
      </c>
      <c r="G76" s="165" t="str">
        <f t="shared" ref="G76:N76" si="12">IF(G75&gt;=G70,"OK","NO")</f>
        <v>OK</v>
      </c>
      <c r="H76" s="165" t="str">
        <f t="shared" si="12"/>
        <v>OK</v>
      </c>
      <c r="I76" s="165" t="str">
        <f t="shared" si="12"/>
        <v>OK</v>
      </c>
      <c r="J76" s="165" t="str">
        <f t="shared" si="12"/>
        <v>OK</v>
      </c>
      <c r="K76" s="165" t="str">
        <f t="shared" si="12"/>
        <v>OK</v>
      </c>
      <c r="L76" s="165" t="str">
        <f t="shared" si="12"/>
        <v>OK</v>
      </c>
      <c r="M76" s="165" t="str">
        <f t="shared" si="12"/>
        <v>OK</v>
      </c>
      <c r="N76" s="166" t="str">
        <f t="shared" si="12"/>
        <v>OK</v>
      </c>
    </row>
    <row r="77" spans="1:15" ht="15" thickBot="1" x14ac:dyDescent="0.35"/>
    <row r="78" spans="1:15" ht="15" thickBot="1" x14ac:dyDescent="0.35">
      <c r="A78" s="171" t="s">
        <v>269</v>
      </c>
    </row>
    <row r="79" spans="1:15" x14ac:dyDescent="0.3">
      <c r="A79" s="150" t="s">
        <v>279</v>
      </c>
      <c r="F79" s="136">
        <f>10*LOG10(10^(F26/10)+(10^(F53/10)-1)/10^(F63/10)+(10^(F18/10)-1)*10^(F53/10)/10^(F63/10)+10^((F53-F62-F63)/10)*(10^((F43+Network!H277)/10)-1))</f>
        <v>16.537205707170102</v>
      </c>
      <c r="G79" s="137">
        <f>10*LOG10(10^(G26/10)+(10^(G53/10)-1)/10^(G63/10)+(10^(G18/10)-1)*10^(G53/10)/10^(G63/10)+10^((G53-G62-G63)/10)*(10^((G43+Network!I277)/10)-1))</f>
        <v>12.448242010510429</v>
      </c>
      <c r="H79" s="137">
        <f>10*LOG10(10^(H26/10)+(10^(H53/10)-1)/10^(H63/10)+(10^(H18/10)-1)*10^(H53/10)/10^(H63/10)+10^((H53-H62-H63)/10)*(10^((H43+Network!J277)/10)-1))</f>
        <v>6.6829431135643471</v>
      </c>
      <c r="I79" s="137">
        <f>10*LOG10(10^(I26/10)+(10^(I53/10)-1)/10^(I63/10)+(10^(I18/10)-1)*10^(I53/10)/10^(I63/10)+10^((I53-I62-I63)/10)*(10^((I43+Network!J277)/10)-1))</f>
        <v>6.6798804391014315</v>
      </c>
      <c r="J79" s="137">
        <f>10*LOG10(10^(J26/10)+(10^(J53/10)-1)/10^(J63/10)+(10^(J18/10)-1)*10^(J53/10)/10^(J63/10)+10^((J53-J62-J63)/10)*(10^((J43+Network!J277)/10)-1))</f>
        <v>6.6771489537078939</v>
      </c>
      <c r="K79" s="137">
        <f>10*LOG10(10^(K26/10)+(10^(K53/10)-1)/10^(K63/10)+(10^(K18/10)-1)*10^(K53/10)/10^(K63/10)+10^((K53-K62-K63)/10)*(10^((K43+Network!J277)/10)-1))</f>
        <v>6.6750842057365247</v>
      </c>
      <c r="L79" s="137">
        <f>10*LOG10(10^(L26/10)+(10^(L53/10)-1)/10^(L63/10)+(10^(L18/10)-1)*10^(L53/10)/10^(L63/10)+10^((L53-L62-L63)/10)*(10^((L43+Network!K277)/10)-1))</f>
        <v>6.8487120708452345</v>
      </c>
      <c r="M79" s="137">
        <f>10*LOG10(10^(M26/10)+(10^(M53/10)-1)/10^(M63/10)+(10^(M18/10)-1)*10^(M53/10)/10^(M63/10)+10^((M53-M62-M63)/10)*(10^((M43+Network!K277)/10)-1))</f>
        <v>6.8468174917760871</v>
      </c>
      <c r="N79" s="138">
        <f>10*LOG10(10^(N26/10)+(10^(N53/10)-1)/10^(N63/10)+(10^(N18/10)-1)*10^(N53/10)/10^(N63/10)+10^((N53-N62-N63)/10)*(10^((N43+Network!K277)/10)-1))</f>
        <v>6.8451281695987118</v>
      </c>
      <c r="O79" s="1"/>
    </row>
    <row r="80" spans="1:15" x14ac:dyDescent="0.3">
      <c r="A80" s="150" t="s">
        <v>280</v>
      </c>
      <c r="F80" s="167">
        <f>F32-F69-10*LOG10(10^(F26/10)+(10^(F53/10)-1)/10^(F63/10)+(10^(F18/10)-1)*10^(F53/10)/10^(F63/10)+10^((F53-F62-F63)/10)*(10^((F43+Network!H277)/10)-1))</f>
        <v>66.462794292829898</v>
      </c>
      <c r="G80" s="90">
        <f>G32-G69-10*LOG10(10^(G26/10)+(10^(G53/10)-1)/10^(G63/10)+(10^(G18/10)-1)*10^(G53/10)/10^(G63/10)+10^((G53-G62-G63)/10)*(10^((G43+Network!I277)/10)-1))</f>
        <v>48.551757989489573</v>
      </c>
      <c r="H80" s="90">
        <f>H32-H69-10*LOG10(10^(H26/10)+(10^(H53/10)-1)/10^(H63/10)+(10^(H18/10)-1)*10^(H53/10)/10^(H63/10)+10^((H53-H62-H63)/10)*(10^((H43+Network!J277)/10)-1))</f>
        <v>39.317056886435651</v>
      </c>
      <c r="I80" s="90">
        <f>I32-I69-10*LOG10(10^(I26/10)+(10^(I53/10)-1)/10^(I63/10)+(10^(I18/10)-1)*10^(I53/10)/10^(I63/10)+10^((I53-I62-I63)/10)*(10^((I43+Network!J277)/10)-1))</f>
        <v>39.320119560898569</v>
      </c>
      <c r="J80" s="90">
        <f>J32-J69-10*LOG10(10^(J26/10)+(10^(J53/10)-1)/10^(J63/10)+(10^(J18/10)-1)*10^(J53/10)/10^(J63/10)+10^((J53-J62-J63)/10)*(10^((J43+Network!J277)/10)-1))</f>
        <v>39.322851046292108</v>
      </c>
      <c r="K80" s="90">
        <f>K32-K69-10*LOG10(10^(K26/10)+(10^(K53/10)-1)/10^(K63/10)+(10^(K18/10)-1)*10^(K53/10)/10^(K63/10)+10^((K53-K62-K63)/10)*(10^((K43+Network!J277)/10)-1))</f>
        <v>39.324915794263475</v>
      </c>
      <c r="L80" s="90">
        <f>L32-L69-10*LOG10(10^(L26/10)+(10^(L53/10)-1)/10^(L63/10)+(10^(L18/10)-1)*10^(L53/10)/10^(L63/10)+10^((L53-L62-L63)/10)*(10^((L43+Network!K277)/10)-1))</f>
        <v>39.151287929154762</v>
      </c>
      <c r="M80" s="90">
        <f>M32-M69-10*LOG10(10^(M26/10)+(10^(M53/10)-1)/10^(M63/10)+(10^(M18/10)-1)*10^(M53/10)/10^(M63/10)+10^((M53-M62-M63)/10)*(10^((M43+Network!K277)/10)-1))</f>
        <v>39.153182508223914</v>
      </c>
      <c r="N80" s="169">
        <f>N32-N69-10*LOG10(10^(N26/10)+(10^(N53/10)-1)/10^(N63/10)+(10^(N18/10)-1)*10^(N53/10)/10^(N63/10)+10^((N53-N62-N63)/10)*(10^((N43+Network!K277)/10)-1))</f>
        <v>39.154871830401291</v>
      </c>
    </row>
    <row r="81" spans="1:15" ht="15" thickBot="1" x14ac:dyDescent="0.35">
      <c r="A81" s="151" t="s">
        <v>282</v>
      </c>
      <c r="F81" s="164" t="str">
        <f>IF(F80&gt;=F70,"OK","NO")</f>
        <v>OK</v>
      </c>
      <c r="G81" s="165" t="str">
        <f t="shared" ref="G81:N81" si="13">IF(G80&gt;=G70,"OK","NO")</f>
        <v>OK</v>
      </c>
      <c r="H81" s="165" t="str">
        <f t="shared" si="13"/>
        <v>OK</v>
      </c>
      <c r="I81" s="165" t="str">
        <f t="shared" si="13"/>
        <v>OK</v>
      </c>
      <c r="J81" s="165" t="str">
        <f t="shared" si="13"/>
        <v>OK</v>
      </c>
      <c r="K81" s="165" t="str">
        <f t="shared" si="13"/>
        <v>OK</v>
      </c>
      <c r="L81" s="165" t="str">
        <f t="shared" si="13"/>
        <v>OK</v>
      </c>
      <c r="M81" s="165" t="str">
        <f t="shared" si="13"/>
        <v>OK</v>
      </c>
      <c r="N81" s="166" t="str">
        <f t="shared" si="13"/>
        <v>OK</v>
      </c>
    </row>
    <row r="84" spans="1:15" ht="15" thickBot="1" x14ac:dyDescent="0.35"/>
    <row r="85" spans="1:15" ht="15" thickBot="1" x14ac:dyDescent="0.35">
      <c r="A85" s="127" t="s">
        <v>254</v>
      </c>
    </row>
    <row r="86" spans="1:15" x14ac:dyDescent="0.3">
      <c r="A86" s="149" t="s">
        <v>255</v>
      </c>
      <c r="F86" s="136">
        <v>30</v>
      </c>
      <c r="G86" s="137">
        <v>16</v>
      </c>
      <c r="H86" s="137">
        <v>1</v>
      </c>
      <c r="I86" s="137">
        <v>2</v>
      </c>
      <c r="J86" s="137">
        <v>1</v>
      </c>
      <c r="K86" s="137">
        <v>1</v>
      </c>
      <c r="L86" s="137">
        <v>1</v>
      </c>
      <c r="M86" s="137">
        <v>1</v>
      </c>
      <c r="N86" s="137">
        <v>1</v>
      </c>
      <c r="O86" s="138">
        <v>30</v>
      </c>
    </row>
    <row r="87" spans="1:15" ht="15" thickBot="1" x14ac:dyDescent="0.35">
      <c r="A87" s="150" t="s">
        <v>256</v>
      </c>
      <c r="F87" s="153">
        <f>7.5*LOG10((F86-1))</f>
        <v>10.96798498424217</v>
      </c>
      <c r="G87" s="154">
        <f>7.5*LOG10(G86-1)</f>
        <v>8.8206844429176101</v>
      </c>
      <c r="H87" s="144">
        <v>0</v>
      </c>
      <c r="I87" s="144">
        <f>7.5*LOG10(I86-1)</f>
        <v>0</v>
      </c>
      <c r="J87" s="144">
        <v>0</v>
      </c>
      <c r="K87" s="144">
        <v>0</v>
      </c>
      <c r="L87" s="144">
        <v>0</v>
      </c>
      <c r="M87" s="144">
        <v>0</v>
      </c>
      <c r="N87" s="144">
        <v>0</v>
      </c>
      <c r="O87" s="155">
        <f>7.5*LOG10(O86-1)</f>
        <v>10.96798498424217</v>
      </c>
    </row>
    <row r="88" spans="1:15" ht="15" thickBot="1" x14ac:dyDescent="0.35">
      <c r="A88" s="151" t="s">
        <v>257</v>
      </c>
      <c r="H88" s="139">
        <v>30</v>
      </c>
      <c r="I88" s="140">
        <v>30</v>
      </c>
      <c r="J88" s="140">
        <v>30</v>
      </c>
      <c r="K88" s="140">
        <v>30</v>
      </c>
      <c r="L88" s="140">
        <v>30</v>
      </c>
      <c r="M88" s="140">
        <v>30</v>
      </c>
      <c r="N88" s="140">
        <v>30</v>
      </c>
      <c r="O88" s="141">
        <v>18</v>
      </c>
    </row>
    <row r="89" spans="1:15" ht="15" thickBot="1" x14ac:dyDescent="0.35"/>
    <row r="90" spans="1:15" ht="15" thickBot="1" x14ac:dyDescent="0.35">
      <c r="A90" s="171" t="s">
        <v>266</v>
      </c>
    </row>
    <row r="91" spans="1:15" x14ac:dyDescent="0.3">
      <c r="A91" s="156" t="s">
        <v>283</v>
      </c>
      <c r="H91" s="160">
        <f>H28+2*(H27-H87-H44)</f>
        <v>33</v>
      </c>
      <c r="I91" s="162">
        <f t="shared" ref="I91" si="14">I28+2*(I27-H87-I44)</f>
        <v>34</v>
      </c>
      <c r="J91" s="162">
        <f>J28+2*(J27-J87-J44)</f>
        <v>35</v>
      </c>
      <c r="K91" s="162">
        <f>K28+2*(K27-K87-K44)</f>
        <v>36</v>
      </c>
      <c r="L91" s="162">
        <f>L28+2*(L27-L87-L44)</f>
        <v>37</v>
      </c>
      <c r="M91" s="162">
        <f>M28+2*(M27-M87-M44)</f>
        <v>38</v>
      </c>
      <c r="N91" s="181">
        <f>N28+2*(N27-N87-N44)</f>
        <v>39</v>
      </c>
      <c r="O91" s="163">
        <f>O20+2*(O19-O87-O44)</f>
        <v>51.064030031515671</v>
      </c>
    </row>
    <row r="92" spans="1:15" ht="15" thickBot="1" x14ac:dyDescent="0.35">
      <c r="A92" s="126" t="s">
        <v>284</v>
      </c>
      <c r="H92" s="164" t="str">
        <f>IF(H91&gt;=H88,"OK","NO")</f>
        <v>OK</v>
      </c>
      <c r="I92" s="165" t="str">
        <f t="shared" ref="I92:N92" si="15">IF(I91&gt;=I88,"OK","NO")</f>
        <v>OK</v>
      </c>
      <c r="J92" s="165" t="str">
        <f t="shared" si="15"/>
        <v>OK</v>
      </c>
      <c r="K92" s="165" t="str">
        <f t="shared" si="15"/>
        <v>OK</v>
      </c>
      <c r="L92" s="165" t="str">
        <f t="shared" si="15"/>
        <v>OK</v>
      </c>
      <c r="M92" s="165" t="str">
        <f t="shared" si="15"/>
        <v>OK</v>
      </c>
      <c r="N92" s="170" t="str">
        <f t="shared" si="15"/>
        <v>OK</v>
      </c>
      <c r="O92" s="166" t="str">
        <f>IF(O91&gt;=O88,"OK","NO")</f>
        <v>OK</v>
      </c>
    </row>
    <row r="93" spans="1:15" ht="15" thickBot="1" x14ac:dyDescent="0.35">
      <c r="O93" s="183"/>
    </row>
    <row r="94" spans="1:15" ht="15" thickBot="1" x14ac:dyDescent="0.35">
      <c r="A94" s="171" t="s">
        <v>269</v>
      </c>
      <c r="O94" s="183"/>
    </row>
    <row r="95" spans="1:15" x14ac:dyDescent="0.3">
      <c r="A95" s="150" t="s">
        <v>285</v>
      </c>
      <c r="H95" s="136">
        <f>H32+H63</f>
        <v>78</v>
      </c>
      <c r="I95" s="137">
        <f t="shared" ref="I95:L95" si="16">I32+I63</f>
        <v>78</v>
      </c>
      <c r="J95" s="137">
        <f t="shared" si="16"/>
        <v>78</v>
      </c>
      <c r="K95" s="137">
        <f t="shared" si="16"/>
        <v>78</v>
      </c>
      <c r="L95" s="137">
        <f t="shared" si="16"/>
        <v>78</v>
      </c>
      <c r="M95" s="184">
        <f>M32+M63</f>
        <v>78</v>
      </c>
      <c r="N95" s="138">
        <f>N32+N63</f>
        <v>78</v>
      </c>
      <c r="O95" s="186"/>
    </row>
    <row r="96" spans="1:15" x14ac:dyDescent="0.3">
      <c r="A96" s="156" t="s">
        <v>286</v>
      </c>
      <c r="H96" s="175">
        <f>-20*LOG10(10^(-H91/20)+10^(-(H28+2*(H27-7.5*LOG10(SUM(H86:N86)-1)-H32-H63))/20))</f>
        <v>32.953068544611554</v>
      </c>
      <c r="I96" s="174">
        <f>-20*LOG10(10^(-I91/20)+10^(-(I28+2*(I27-7.5*LOG10(SUM(H86:N86)-1)-I32-I63))/20))</f>
        <v>33.947359360533518</v>
      </c>
      <c r="J96" s="174">
        <f>-20*LOG10(10^(-J91/20)+10^(-(J28+2*(J27-7.5*LOG10(SUM(I86:O86)-1)-J32-J63))/20))</f>
        <v>34.799999274861314</v>
      </c>
      <c r="K96" s="174">
        <f>-20*LOG10(10^(-K91/20)+10^(-(K28+2*(K27-7.5*LOG10(SUM(H86:N86)-1)-K32-K63))/20))</f>
        <v>35.933781198644489</v>
      </c>
      <c r="L96" s="174">
        <f>-20*LOG10(10^(-L91/20)+10^(-(L28+2*(L27-7.5*LOG10(SUM(H86:N86)-1)-L32-L63))/20))</f>
        <v>36.925735731532804</v>
      </c>
      <c r="M96" s="185">
        <f>-20*LOG10(10^(-M91/20)+10^(-(M28+2*(M27-7.5*LOG10(SUM(H86:N86)-1)-M32-M63))/20))</f>
        <v>37.916717431794545</v>
      </c>
      <c r="N96" s="176">
        <f>-20*LOG10(10^(-N91/20)+10^(-(N28+2*(N27-7.5*LOG10(SUM(H86:N86)-1)-N32-N63))/20))</f>
        <v>38.906609867464191</v>
      </c>
      <c r="O96" s="187"/>
    </row>
    <row r="97" spans="1:14" ht="15" thickBot="1" x14ac:dyDescent="0.35">
      <c r="A97" s="126" t="s">
        <v>287</v>
      </c>
      <c r="H97" s="164" t="str">
        <f>IF(H96&gt;=H88,"OK","NO")</f>
        <v>OK</v>
      </c>
      <c r="I97" s="165" t="str">
        <f t="shared" ref="I97:N97" si="17">IF(I96&gt;=I88,"OK","NO")</f>
        <v>OK</v>
      </c>
      <c r="J97" s="165" t="str">
        <f t="shared" si="17"/>
        <v>OK</v>
      </c>
      <c r="K97" s="165" t="str">
        <f t="shared" si="17"/>
        <v>OK</v>
      </c>
      <c r="L97" s="165" t="str">
        <f t="shared" si="17"/>
        <v>OK</v>
      </c>
      <c r="M97" s="170" t="str">
        <f t="shared" si="17"/>
        <v>OK</v>
      </c>
      <c r="N97" s="166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topLeftCell="A12" zoomScale="97" zoomScaleNormal="70" workbookViewId="0">
      <selection activeCell="C35" sqref="C35"/>
    </sheetView>
  </sheetViews>
  <sheetFormatPr baseColWidth="10" defaultRowHeight="14.4" x14ac:dyDescent="0.3"/>
  <cols>
    <col min="1" max="1" width="20" customWidth="1"/>
    <col min="2" max="2" width="16.6640625" customWidth="1"/>
    <col min="3" max="3" width="16.33203125" customWidth="1"/>
  </cols>
  <sheetData>
    <row r="2" spans="1:7" x14ac:dyDescent="0.3">
      <c r="A2" s="32"/>
      <c r="B2" s="192" t="s">
        <v>205</v>
      </c>
      <c r="C2" s="193"/>
    </row>
    <row r="3" spans="1:7" x14ac:dyDescent="0.3">
      <c r="A3" s="197"/>
      <c r="B3" s="198" t="s">
        <v>206</v>
      </c>
      <c r="C3" s="198" t="s">
        <v>207</v>
      </c>
    </row>
    <row r="4" spans="1:7" x14ac:dyDescent="0.3">
      <c r="A4" s="119" t="s">
        <v>208</v>
      </c>
      <c r="B4" s="199">
        <v>39.49</v>
      </c>
      <c r="C4" s="199">
        <v>39.49</v>
      </c>
    </row>
    <row r="5" spans="1:7" x14ac:dyDescent="0.3">
      <c r="A5" s="119" t="s">
        <v>209</v>
      </c>
      <c r="B5" s="199">
        <v>30</v>
      </c>
      <c r="C5" s="199">
        <v>19.2</v>
      </c>
    </row>
    <row r="6" spans="1:7" x14ac:dyDescent="0.3">
      <c r="A6" s="119" t="s">
        <v>298</v>
      </c>
      <c r="B6" s="199">
        <f>30-0.36</f>
        <v>29.64</v>
      </c>
      <c r="C6" s="199">
        <f>-C5-0.36</f>
        <v>-19.559999999999999</v>
      </c>
      <c r="F6" s="194"/>
      <c r="G6" s="194"/>
    </row>
    <row r="7" spans="1:7" x14ac:dyDescent="0.3">
      <c r="A7" s="119" t="s">
        <v>292</v>
      </c>
      <c r="B7" s="200">
        <f>DEGREES(ACOS(COS(RADIANS(B6))*COS(RADIANS(B4))))</f>
        <v>47.874722541842957</v>
      </c>
      <c r="C7" s="200">
        <f>DEGREES(ACOS(COS(RADIANS(C6))*COS(RADIANS(C4))))</f>
        <v>43.347844323707463</v>
      </c>
    </row>
    <row r="8" spans="1:7" x14ac:dyDescent="0.3">
      <c r="A8" s="119" t="s">
        <v>293</v>
      </c>
      <c r="B8" s="199">
        <v>6378.16</v>
      </c>
      <c r="C8" s="199">
        <v>6378.16</v>
      </c>
    </row>
    <row r="9" spans="1:7" x14ac:dyDescent="0.3">
      <c r="A9" s="119" t="s">
        <v>294</v>
      </c>
      <c r="B9" s="199">
        <v>35786.300000000003</v>
      </c>
      <c r="C9" s="199">
        <v>35786.300000000003</v>
      </c>
      <c r="F9" s="196"/>
      <c r="G9" s="196"/>
    </row>
    <row r="10" spans="1:7" x14ac:dyDescent="0.3">
      <c r="A10" s="119" t="s">
        <v>295</v>
      </c>
      <c r="B10" s="201">
        <f>DEGREES(ATAN((COS(RADIANS(B7))-B8/(B9+B8))/SIN(RADIANS(B7))))</f>
        <v>35.008051729265496</v>
      </c>
      <c r="C10" s="201">
        <f>DEGREES(ATAN((COS(RADIANS(C7))-B8/(B9+B8))/SIN(RADIANS(C7))))</f>
        <v>39.997625557419383</v>
      </c>
      <c r="F10" s="194"/>
      <c r="G10" s="194"/>
    </row>
    <row r="11" spans="1:7" x14ac:dyDescent="0.3">
      <c r="A11" s="119" t="s">
        <v>296</v>
      </c>
      <c r="B11" s="200">
        <f>180 + DEGREES(ATAN(TAN(RADIANS(B6))/SIN(RADIANS(B4))))</f>
        <v>221.82020731856079</v>
      </c>
      <c r="C11" s="200">
        <f>180 + DEGREES(ATAN(TAN(RADIANS(C6))/SIN(RADIANS(C4))))</f>
        <v>150.80819109153012</v>
      </c>
      <c r="F11" s="194"/>
      <c r="G11" s="195"/>
    </row>
    <row r="12" spans="1:7" x14ac:dyDescent="0.3">
      <c r="A12" s="119" t="s">
        <v>297</v>
      </c>
      <c r="B12" s="200">
        <f>B9*SQRT(1+((2*B8*(B8+B9))/POWER(B9,2)*(1-COS(RADIANS(B7)))))</f>
        <v>38180.475101277909</v>
      </c>
      <c r="C12" s="202">
        <f>C9*SQRT(1+((2*C8*(C8+C9))/POWER(C9,2)*(1-COS(RADIANS(C7)))))</f>
        <v>37780.795202936883</v>
      </c>
    </row>
    <row r="13" spans="1:7" x14ac:dyDescent="0.3">
      <c r="A13" s="118"/>
      <c r="B13" s="118"/>
      <c r="C13" s="118"/>
    </row>
    <row r="15" spans="1:7" x14ac:dyDescent="0.3">
      <c r="A15" s="119" t="s">
        <v>217</v>
      </c>
      <c r="B15" s="120">
        <v>54</v>
      </c>
      <c r="C15" s="120">
        <v>51</v>
      </c>
    </row>
    <row r="16" spans="1:7" x14ac:dyDescent="0.3">
      <c r="A16" s="119" t="s">
        <v>210</v>
      </c>
      <c r="B16" s="120">
        <v>0.7</v>
      </c>
      <c r="C16" s="120">
        <v>0.7</v>
      </c>
    </row>
    <row r="17" spans="1:3" x14ac:dyDescent="0.3">
      <c r="A17" s="119" t="s">
        <v>216</v>
      </c>
      <c r="B17" s="120">
        <v>50</v>
      </c>
      <c r="C17" s="120">
        <v>50</v>
      </c>
    </row>
    <row r="18" spans="1:3" x14ac:dyDescent="0.3">
      <c r="A18" s="119" t="s">
        <v>215</v>
      </c>
      <c r="B18" s="120">
        <v>3</v>
      </c>
      <c r="C18" s="120">
        <v>3</v>
      </c>
    </row>
    <row r="19" spans="1:3" x14ac:dyDescent="0.3">
      <c r="A19" s="119" t="s">
        <v>211</v>
      </c>
      <c r="B19" s="120">
        <v>27</v>
      </c>
      <c r="C19" s="120">
        <v>27</v>
      </c>
    </row>
    <row r="20" spans="1:3" x14ac:dyDescent="0.3">
      <c r="A20" s="119" t="s">
        <v>212</v>
      </c>
      <c r="B20" s="120">
        <v>0.7</v>
      </c>
      <c r="C20" s="120">
        <v>0.7</v>
      </c>
    </row>
    <row r="21" spans="1:3" x14ac:dyDescent="0.3">
      <c r="A21" s="119" t="s">
        <v>213</v>
      </c>
      <c r="B21" s="120">
        <v>12.75</v>
      </c>
      <c r="C21" s="120">
        <v>12.75</v>
      </c>
    </row>
    <row r="22" spans="1:3" x14ac:dyDescent="0.3">
      <c r="A22" s="119" t="s">
        <v>218</v>
      </c>
      <c r="B22" s="120">
        <f>92.44+20*LOG10(B21)+20*LOG10(B12)</f>
        <v>206.18703026066953</v>
      </c>
      <c r="C22" s="120">
        <f>92.44+20*LOG10(C21)+20*LOG10(C12)</f>
        <v>206.09562558798024</v>
      </c>
    </row>
    <row r="23" spans="1:3" x14ac:dyDescent="0.3">
      <c r="A23" s="119" t="s">
        <v>219</v>
      </c>
      <c r="B23" s="120">
        <v>5.0999999999999996</v>
      </c>
      <c r="C23" s="120">
        <v>5.0999999999999996</v>
      </c>
    </row>
    <row r="24" spans="1:3" x14ac:dyDescent="0.3">
      <c r="A24" s="119" t="s">
        <v>225</v>
      </c>
      <c r="B24" s="121">
        <v>1.3800000000000001E-23</v>
      </c>
      <c r="C24" s="121">
        <v>1.3800000000000001E-23</v>
      </c>
    </row>
    <row r="25" spans="1:3" x14ac:dyDescent="0.3">
      <c r="A25" s="119" t="s">
        <v>220</v>
      </c>
      <c r="B25" s="120">
        <f>B17+290*(POWER(10,B20/10)-1)</f>
        <v>100.72029093246357</v>
      </c>
      <c r="C25" s="120">
        <f>C17+290*(POWER(10,C20/10)-1)</f>
        <v>100.72029093246357</v>
      </c>
    </row>
    <row r="26" spans="1:3" x14ac:dyDescent="0.3">
      <c r="A26" s="119" t="s">
        <v>221</v>
      </c>
      <c r="B26" s="122">
        <f>11+B18</f>
        <v>14</v>
      </c>
      <c r="C26" s="120">
        <f>11+C18</f>
        <v>14</v>
      </c>
    </row>
    <row r="27" spans="1:3" x14ac:dyDescent="0.3">
      <c r="A27" s="119" t="s">
        <v>214</v>
      </c>
      <c r="B27" s="121">
        <f>10*LOG10(B24*B25*B19*1000000)</f>
        <v>-134.25640177870341</v>
      </c>
      <c r="C27" s="121">
        <f>10*LOG10(C24*C25*C19*1000000)</f>
        <v>-134.25640177870341</v>
      </c>
    </row>
    <row r="28" spans="1:3" x14ac:dyDescent="0.3">
      <c r="A28" s="119" t="s">
        <v>222</v>
      </c>
      <c r="B28" s="121">
        <f>B26-B15+B22+B23+B27</f>
        <v>37.030628481966119</v>
      </c>
      <c r="C28" s="121">
        <f>C26-C15+C22+C23+C27</f>
        <v>39.939223809276825</v>
      </c>
    </row>
    <row r="29" spans="1:3" x14ac:dyDescent="0.3">
      <c r="A29" s="119" t="s">
        <v>223</v>
      </c>
      <c r="B29" s="120">
        <f>300000000/(B21*1000000000)</f>
        <v>2.3529411764705882E-2</v>
      </c>
      <c r="C29" s="120">
        <f>300000000/(C21*1000000000)</f>
        <v>2.3529411764705882E-2</v>
      </c>
    </row>
    <row r="31" spans="1:3" x14ac:dyDescent="0.3">
      <c r="A31" s="119"/>
      <c r="B31" s="121">
        <f>B29*POWER(10,(B28/20))</f>
        <v>1.6716389969050396</v>
      </c>
      <c r="C31" s="121">
        <f>C29*POWER(10,(C28/20))</f>
        <v>2.3365348359815972</v>
      </c>
    </row>
    <row r="32" spans="1:3" x14ac:dyDescent="0.3">
      <c r="A32" s="119" t="s">
        <v>342</v>
      </c>
      <c r="B32" s="121">
        <f>B31/(PI()*SQRT(B16))</f>
        <v>0.63598020936830035</v>
      </c>
      <c r="C32" s="121">
        <f>C31/(PI()*SQRT(C16))</f>
        <v>0.88894188095344961</v>
      </c>
    </row>
    <row r="33" spans="1:7" x14ac:dyDescent="0.3">
      <c r="A33" s="119" t="s">
        <v>224</v>
      </c>
      <c r="B33" s="121">
        <f>B28-10*LOG10(B25)</f>
        <v>16.999458766271765</v>
      </c>
      <c r="C33" s="121">
        <f>C28-10*LOG10(C25)</f>
        <v>19.908054093582471</v>
      </c>
    </row>
    <row r="34" spans="1:7" x14ac:dyDescent="0.3">
      <c r="A34" s="204" t="s">
        <v>344</v>
      </c>
      <c r="B34" s="205">
        <f>B15-B23-B22+B28</f>
        <v>-120.25640177870341</v>
      </c>
      <c r="C34" s="205">
        <f>C15-C23-C22+C28</f>
        <v>-120.25640177870341</v>
      </c>
      <c r="D34" s="203"/>
      <c r="E34" s="203"/>
      <c r="F34" s="203"/>
      <c r="G34" s="203">
        <f>(G13-G21-G22+G30)-G29</f>
        <v>0</v>
      </c>
    </row>
    <row r="35" spans="1:7" x14ac:dyDescent="0.3">
      <c r="A35" t="s">
        <v>343</v>
      </c>
      <c r="B35" s="203">
        <f>(B15-B23-B22+B28)-B27</f>
        <v>14</v>
      </c>
      <c r="C35" s="203">
        <f>(C15-C23-C22+C28)-C27</f>
        <v>14</v>
      </c>
    </row>
    <row r="36" spans="1:7" x14ac:dyDescent="0.3">
      <c r="A36" t="s">
        <v>338</v>
      </c>
      <c r="B36">
        <f>B34+60-(29.6*0.2)</f>
        <v>-66.176401778703408</v>
      </c>
      <c r="C36">
        <f>C34+60-(29.6*0.2)</f>
        <v>-66.176401778703408</v>
      </c>
    </row>
    <row r="37" spans="1:7" x14ac:dyDescent="0.3">
      <c r="A37" t="s">
        <v>339</v>
      </c>
      <c r="B37">
        <f>SQRT(POWER(10,(B36/10))*75)*1000000</f>
        <v>4253.1484633272221</v>
      </c>
      <c r="C37">
        <f>SQRT(POWER(10,(C36/10))*75)*1000000</f>
        <v>4253.1484633272221</v>
      </c>
    </row>
    <row r="38" spans="1:7" x14ac:dyDescent="0.3">
      <c r="A38" t="s">
        <v>340</v>
      </c>
      <c r="B38">
        <f>20*LOG10(B37)</f>
        <v>72.574210855213593</v>
      </c>
      <c r="C38">
        <f>20*LOG10(C37)</f>
        <v>72.574210855213593</v>
      </c>
    </row>
    <row r="40" spans="1:7" x14ac:dyDescent="0.3">
      <c r="A40" t="s">
        <v>341</v>
      </c>
      <c r="B40">
        <f>123-B38</f>
        <v>50.425789144786407</v>
      </c>
      <c r="C40">
        <f>123-C38</f>
        <v>50.425789144786407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zoomScale="85" zoomScaleNormal="85" workbookViewId="0">
      <selection activeCell="M28" sqref="M28"/>
    </sheetView>
  </sheetViews>
  <sheetFormatPr baseColWidth="10" defaultRowHeight="14.4" x14ac:dyDescent="0.3"/>
  <cols>
    <col min="1" max="1" width="23" customWidth="1"/>
    <col min="3" max="3" width="20.88671875" customWidth="1"/>
    <col min="7" max="7" width="17.44140625" customWidth="1"/>
    <col min="8" max="8" width="20.33203125" customWidth="1"/>
  </cols>
  <sheetData>
    <row r="1" spans="1:12" x14ac:dyDescent="0.3">
      <c r="B1" t="s">
        <v>325</v>
      </c>
      <c r="E1" t="s">
        <v>321</v>
      </c>
    </row>
    <row r="2" spans="1:12" x14ac:dyDescent="0.3">
      <c r="A2" t="s">
        <v>303</v>
      </c>
      <c r="B2">
        <f>B3*B6</f>
        <v>523.20000000000005</v>
      </c>
      <c r="E2" t="s">
        <v>322</v>
      </c>
      <c r="F2">
        <v>3</v>
      </c>
    </row>
    <row r="3" spans="1:12" x14ac:dyDescent="0.3">
      <c r="A3" t="s">
        <v>302</v>
      </c>
      <c r="B3">
        <f>((B4)^2/16)*B5</f>
        <v>799.52256944444457</v>
      </c>
      <c r="E3" t="s">
        <v>324</v>
      </c>
      <c r="F3">
        <v>3</v>
      </c>
    </row>
    <row r="4" spans="1:12" x14ac:dyDescent="0.3">
      <c r="A4" t="s">
        <v>299</v>
      </c>
      <c r="B4">
        <f>130*(1000/3600)</f>
        <v>36.111111111111114</v>
      </c>
      <c r="E4" t="s">
        <v>327</v>
      </c>
      <c r="F4">
        <v>0.27200000000000002</v>
      </c>
    </row>
    <row r="5" spans="1:12" x14ac:dyDescent="0.3">
      <c r="A5" t="s">
        <v>300</v>
      </c>
      <c r="B5">
        <v>9.81</v>
      </c>
    </row>
    <row r="6" spans="1:12" x14ac:dyDescent="0.3">
      <c r="A6" t="s">
        <v>301</v>
      </c>
      <c r="B6">
        <f>523.2/B3</f>
        <v>0.65439053254437862</v>
      </c>
    </row>
    <row r="8" spans="1:12" x14ac:dyDescent="0.3">
      <c r="A8" t="s">
        <v>307</v>
      </c>
    </row>
    <row r="9" spans="1:12" x14ac:dyDescent="0.3">
      <c r="A9" t="s">
        <v>326</v>
      </c>
      <c r="B9">
        <v>4.4999999999999998E-2</v>
      </c>
      <c r="E9">
        <v>4.4999999999999998E-2</v>
      </c>
    </row>
    <row r="10" spans="1:12" x14ac:dyDescent="0.3">
      <c r="A10" t="s">
        <v>304</v>
      </c>
      <c r="B10">
        <v>6</v>
      </c>
      <c r="E10">
        <v>3</v>
      </c>
    </row>
    <row r="11" spans="1:12" x14ac:dyDescent="0.3">
      <c r="A11" t="s">
        <v>305</v>
      </c>
      <c r="B11">
        <v>0.7</v>
      </c>
      <c r="E11">
        <v>0.7</v>
      </c>
    </row>
    <row r="12" spans="1:12" x14ac:dyDescent="0.3">
      <c r="A12" t="s">
        <v>306</v>
      </c>
      <c r="B12">
        <f>B9*B10*B11</f>
        <v>0.189</v>
      </c>
      <c r="E12">
        <f>E9*E10*E11</f>
        <v>9.4500000000000001E-2</v>
      </c>
    </row>
    <row r="13" spans="1:12" x14ac:dyDescent="0.3">
      <c r="A13" t="s">
        <v>329</v>
      </c>
      <c r="B13">
        <f>800*B12</f>
        <v>151.19999999999999</v>
      </c>
      <c r="E13">
        <f>800*E12</f>
        <v>75.599999999999994</v>
      </c>
    </row>
    <row r="16" spans="1:12" x14ac:dyDescent="0.3">
      <c r="A16" t="s">
        <v>308</v>
      </c>
      <c r="C16" t="s">
        <v>328</v>
      </c>
      <c r="E16" t="s">
        <v>308</v>
      </c>
      <c r="F16" t="s">
        <v>328</v>
      </c>
      <c r="H16" t="s">
        <v>333</v>
      </c>
      <c r="K16" t="s">
        <v>336</v>
      </c>
      <c r="L16" t="s">
        <v>337</v>
      </c>
    </row>
    <row r="17" spans="1:11" x14ac:dyDescent="0.3">
      <c r="A17" t="s">
        <v>309</v>
      </c>
      <c r="B17">
        <v>93</v>
      </c>
      <c r="C17">
        <f>B17*B18</f>
        <v>558</v>
      </c>
      <c r="E17">
        <v>93</v>
      </c>
      <c r="F17">
        <f>E17*E18</f>
        <v>558</v>
      </c>
      <c r="H17">
        <v>93</v>
      </c>
      <c r="K17">
        <f>2*B5</f>
        <v>19.62</v>
      </c>
    </row>
    <row r="18" spans="1:11" x14ac:dyDescent="0.3">
      <c r="A18" t="s">
        <v>310</v>
      </c>
      <c r="B18">
        <v>6</v>
      </c>
      <c r="E18">
        <v>6</v>
      </c>
    </row>
    <row r="19" spans="1:11" x14ac:dyDescent="0.3">
      <c r="A19" t="s">
        <v>311</v>
      </c>
      <c r="B19">
        <v>36.5</v>
      </c>
      <c r="C19">
        <f t="shared" ref="C19:C23" si="0">B19*B20</f>
        <v>146</v>
      </c>
      <c r="E19">
        <v>36.5</v>
      </c>
      <c r="F19">
        <f>E19*E20</f>
        <v>146</v>
      </c>
      <c r="H19">
        <v>36.5</v>
      </c>
      <c r="K19">
        <f>1.5*B5</f>
        <v>14.715</v>
      </c>
    </row>
    <row r="20" spans="1:11" x14ac:dyDescent="0.3">
      <c r="A20" t="s">
        <v>312</v>
      </c>
      <c r="B20">
        <v>4</v>
      </c>
      <c r="E20">
        <v>4</v>
      </c>
    </row>
    <row r="21" spans="1:11" x14ac:dyDescent="0.3">
      <c r="A21" t="s">
        <v>316</v>
      </c>
      <c r="B21">
        <v>27</v>
      </c>
      <c r="C21">
        <f>B21*B22</f>
        <v>54</v>
      </c>
      <c r="E21">
        <v>27</v>
      </c>
      <c r="F21">
        <f>E21*E22</f>
        <v>54</v>
      </c>
      <c r="H21">
        <v>27</v>
      </c>
      <c r="K21">
        <f>1.2*B5</f>
        <v>11.772</v>
      </c>
    </row>
    <row r="22" spans="1:11" x14ac:dyDescent="0.3">
      <c r="A22" t="s">
        <v>313</v>
      </c>
      <c r="B22">
        <v>2</v>
      </c>
      <c r="E22">
        <v>2</v>
      </c>
    </row>
    <row r="23" spans="1:11" x14ac:dyDescent="0.3">
      <c r="A23" t="s">
        <v>314</v>
      </c>
      <c r="B23">
        <v>523.20000000000005</v>
      </c>
      <c r="C23">
        <f>B23*B24</f>
        <v>261.60000000000002</v>
      </c>
      <c r="E23">
        <v>523.20000000000005</v>
      </c>
      <c r="F23">
        <f>E23*E24</f>
        <v>261.60000000000002</v>
      </c>
      <c r="H23">
        <v>523.20000000000005</v>
      </c>
      <c r="K23">
        <f>5*9.81</f>
        <v>49.050000000000004</v>
      </c>
    </row>
    <row r="24" spans="1:11" x14ac:dyDescent="0.3">
      <c r="A24" t="s">
        <v>315</v>
      </c>
      <c r="B24">
        <v>0.5</v>
      </c>
      <c r="E24">
        <v>0.5</v>
      </c>
      <c r="H24">
        <f>E13</f>
        <v>75.599999999999994</v>
      </c>
      <c r="I24" t="s">
        <v>335</v>
      </c>
      <c r="K24">
        <f>2*B5</f>
        <v>19.62</v>
      </c>
    </row>
    <row r="25" spans="1:11" x14ac:dyDescent="0.3">
      <c r="K25">
        <f>2.5*B5</f>
        <v>24.525000000000002</v>
      </c>
    </row>
    <row r="26" spans="1:11" x14ac:dyDescent="0.3">
      <c r="A26" t="s">
        <v>317</v>
      </c>
      <c r="B26">
        <f>SUM(C17,C19,C21,C23)</f>
        <v>1019.6</v>
      </c>
      <c r="E26">
        <f>SUM(F17,F21,F19,F23)</f>
        <v>1019.6</v>
      </c>
      <c r="H26" t="s">
        <v>334</v>
      </c>
      <c r="I26">
        <f>-SUM(H17,H19,H21,H23,H24)</f>
        <v>-755.30000000000007</v>
      </c>
      <c r="K26">
        <f>-SUM(K24,K25,K23,K21,K19,K17)</f>
        <v>-139.30200000000002</v>
      </c>
    </row>
    <row r="27" spans="1:11" x14ac:dyDescent="0.3">
      <c r="A27" t="s">
        <v>318</v>
      </c>
      <c r="B27">
        <f>0.045*280*((B10)^2-(3)^2)</f>
        <v>340.2</v>
      </c>
      <c r="E27">
        <f>(0.045*280*((E10)^2))*6</f>
        <v>680.4</v>
      </c>
    </row>
    <row r="28" spans="1:11" x14ac:dyDescent="0.3">
      <c r="A28" t="s">
        <v>319</v>
      </c>
      <c r="B28">
        <f>B26+B27</f>
        <v>1359.8</v>
      </c>
      <c r="E28">
        <f>E26+E27</f>
        <v>1700</v>
      </c>
    </row>
    <row r="29" spans="1:11" x14ac:dyDescent="0.3">
      <c r="A29" t="s">
        <v>320</v>
      </c>
      <c r="B29">
        <f>B28-355</f>
        <v>1004.8</v>
      </c>
      <c r="C29" t="s">
        <v>323</v>
      </c>
      <c r="E29">
        <f>E28-355</f>
        <v>1345</v>
      </c>
    </row>
    <row r="33" spans="1:5" x14ac:dyDescent="0.3">
      <c r="A33" t="s">
        <v>332</v>
      </c>
      <c r="E33" t="s">
        <v>330</v>
      </c>
    </row>
    <row r="34" spans="1:5" x14ac:dyDescent="0.3">
      <c r="E34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Network</vt:lpstr>
      <vt:lpstr>Antenna + Headend</vt:lpstr>
      <vt:lpstr>Satellite</vt:lpstr>
      <vt:lpstr>Mast +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Lenovo</cp:lastModifiedBy>
  <dcterms:created xsi:type="dcterms:W3CDTF">2022-11-21T18:37:15Z</dcterms:created>
  <dcterms:modified xsi:type="dcterms:W3CDTF">2023-01-15T17:36:58Z</dcterms:modified>
</cp:coreProperties>
</file>