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hp\Desktop\all\project 2\"/>
    </mc:Choice>
  </mc:AlternateContent>
  <xr:revisionPtr revIDLastSave="0" documentId="13_ncr:1_{5665A5A2-F5B8-4BFA-94E1-7984C42AEDF6}" xr6:coauthVersionLast="47" xr6:coauthVersionMax="47" xr10:uidLastSave="{00000000-0000-0000-0000-000000000000}"/>
  <bookViews>
    <workbookView xWindow="-108" yWindow="-108" windowWidth="23256" windowHeight="13176" firstSheet="2" activeTab="9" xr2:uid="{26D4546B-D2A1-4444-8EAF-A6228F96F0C1}"/>
  </bookViews>
  <sheets>
    <sheet name="Data" sheetId="3" r:id="rId1"/>
    <sheet name="India Staff" sheetId="2" r:id="rId2"/>
    <sheet name="all" sheetId="4" r:id="rId3"/>
    <sheet name="EIF" sheetId="5" r:id="rId4"/>
    <sheet name="salary spread" sheetId="11" r:id="rId5"/>
    <sheet name="salary vs rating" sheetId="13" r:id="rId6"/>
    <sheet name="mapping " sheetId="15" r:id="rId7"/>
    <sheet name="company growth" sheetId="16" r:id="rId8"/>
    <sheet name="Report Card" sheetId="17" r:id="rId9"/>
    <sheet name="report card pivot" sheetId="18" r:id="rId10"/>
  </sheets>
  <definedNames>
    <definedName name="_xlnm._FilterDatabase" localSheetId="1" hidden="1">'India Staff'!$B$2:$H$114</definedName>
    <definedName name="_xlchart.v1.0" hidden="1">all!$G$1</definedName>
    <definedName name="_xlchart.v1.1" hidden="1">all!$G$2:$G$186</definedName>
    <definedName name="_xlchart.v1.2" hidden="1">all!$G$1</definedName>
    <definedName name="_xlchart.v1.3" hidden="1">all!$G$2:$G$186</definedName>
    <definedName name="_xlcn.WorksheetConnection_IndiaVsNZ.xlsxStaff" hidden="1">Staff[]</definedName>
    <definedName name="ExternalData_1" localSheetId="2" hidden="1">all!$A$1:$H$184</definedName>
    <definedName name="Slicer_country">#N/A</definedName>
  </definedNames>
  <calcPr calcId="191029"/>
  <pivotCaches>
    <pivotCache cacheId="0" r:id="rId11"/>
    <pivotCache cacheId="1" r:id="rId12"/>
    <pivotCache cacheId="2" r:id="rId13"/>
    <pivotCache cacheId="3" r:id="rId14"/>
    <pivotCache cacheId="8" r:id="rId15"/>
  </pivotCaches>
  <extLst>
    <ext xmlns:x14="http://schemas.microsoft.com/office/spreadsheetml/2009/9/main" uri="{876F7934-8845-4945-9796-88D515C7AA90}">
      <x14:pivotCaches>
        <pivotCache cacheId="5"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India Vs NZ.xlsx!Staff"/>
        </x15:modelTables>
        <x15:extLst>
          <ext xmlns:x16="http://schemas.microsoft.com/office/spreadsheetml/2014/11/main" uri="{9835A34E-60A6-4A7C-AAB8-D5F71C897F49}">
            <x16:modelTimeGroupings>
              <x16:modelTimeGrouping tableName="Staff"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Lst>
</workbook>
</file>

<file path=xl/calcChain.xml><?xml version="1.0" encoding="utf-8"?>
<calcChain xmlns="http://schemas.openxmlformats.org/spreadsheetml/2006/main">
  <c r="L3" i="17" l="1"/>
  <c r="N3" i="17"/>
  <c r="G3" i="17"/>
  <c r="E3" i="17"/>
  <c r="J3" i="17"/>
  <c r="C3" i="17" s="1"/>
  <c r="Y5" i="16"/>
  <c r="Y6" i="16"/>
  <c r="Y7" i="16"/>
  <c r="Y8" i="16"/>
  <c r="Y9" i="16"/>
  <c r="Y10" i="16"/>
  <c r="Y11" i="16"/>
  <c r="Y12" i="16"/>
  <c r="Y13" i="16"/>
  <c r="Y14" i="16"/>
  <c r="Y15" i="16"/>
  <c r="Y16" i="16"/>
  <c r="Y17" i="16"/>
  <c r="Y18" i="16"/>
  <c r="Y19" i="16"/>
  <c r="Y20" i="16"/>
  <c r="Y21" i="16"/>
  <c r="Y22" i="16"/>
  <c r="Y23" i="16"/>
  <c r="Y24" i="16"/>
  <c r="Y25" i="16"/>
  <c r="Y26" i="16"/>
  <c r="Y27" i="16"/>
  <c r="Y28" i="16"/>
  <c r="Y29" i="16"/>
  <c r="Y30" i="16"/>
  <c r="Y31" i="16"/>
  <c r="Y32" i="16"/>
  <c r="Y33" i="16"/>
  <c r="Y34" i="16"/>
  <c r="Y35" i="16"/>
  <c r="Y36" i="16"/>
  <c r="Y37" i="16"/>
  <c r="Y38" i="16"/>
  <c r="Y39" i="16"/>
  <c r="Y4" i="16"/>
  <c r="X5" i="16"/>
  <c r="X6" i="16"/>
  <c r="X7" i="16"/>
  <c r="X8" i="16"/>
  <c r="X9" i="16"/>
  <c r="X10" i="16"/>
  <c r="X11" i="16"/>
  <c r="X12" i="16"/>
  <c r="X13" i="16"/>
  <c r="X14" i="16"/>
  <c r="X15" i="16"/>
  <c r="X16" i="16"/>
  <c r="X17" i="16"/>
  <c r="X18" i="16"/>
  <c r="X19" i="16"/>
  <c r="X20" i="16"/>
  <c r="X21" i="16"/>
  <c r="X22" i="16"/>
  <c r="X23" i="16"/>
  <c r="X24" i="16"/>
  <c r="X25" i="16"/>
  <c r="X26" i="16"/>
  <c r="X27" i="16"/>
  <c r="X28" i="16"/>
  <c r="X29" i="16"/>
  <c r="X30" i="16"/>
  <c r="X31" i="16"/>
  <c r="X32" i="16"/>
  <c r="X33" i="16"/>
  <c r="X34" i="16"/>
  <c r="X35" i="16"/>
  <c r="X36" i="16"/>
  <c r="X37" i="16"/>
  <c r="X38" i="16"/>
  <c r="X39" i="16"/>
  <c r="X4" i="16"/>
  <c r="W5" i="16"/>
  <c r="W6" i="16"/>
  <c r="W7" i="16"/>
  <c r="W8" i="16"/>
  <c r="W9" i="16"/>
  <c r="W10" i="16"/>
  <c r="W11" i="16"/>
  <c r="W12" i="16"/>
  <c r="W13" i="16"/>
  <c r="W14" i="16"/>
  <c r="W15" i="16"/>
  <c r="W16" i="16"/>
  <c r="W17" i="16"/>
  <c r="W18" i="16"/>
  <c r="W19" i="16"/>
  <c r="W20" i="16"/>
  <c r="W21" i="16"/>
  <c r="W22" i="16"/>
  <c r="W23" i="16"/>
  <c r="W24" i="16"/>
  <c r="W25" i="16"/>
  <c r="W26" i="16"/>
  <c r="W27" i="16"/>
  <c r="W28" i="16"/>
  <c r="W29" i="16"/>
  <c r="W30" i="16"/>
  <c r="W31" i="16"/>
  <c r="W32" i="16"/>
  <c r="W33" i="16"/>
  <c r="W34" i="16"/>
  <c r="W35" i="16"/>
  <c r="W36" i="16"/>
  <c r="W37" i="16"/>
  <c r="W38" i="16"/>
  <c r="W39" i="16"/>
  <c r="W4" i="16"/>
  <c r="K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N19" i="4"/>
  <c r="N23" i="4"/>
  <c r="N22" i="4"/>
  <c r="N21" i="4"/>
  <c r="N20" i="4"/>
  <c r="N18" i="4"/>
  <c r="N17" i="4"/>
  <c r="P9" i="4"/>
  <c r="P7" i="4"/>
  <c r="I2" i="4"/>
  <c r="I3" i="4"/>
  <c r="I4" i="4"/>
  <c r="I5" i="4"/>
  <c r="J5" i="4" s="1"/>
  <c r="I6" i="4"/>
  <c r="I7" i="4"/>
  <c r="I8" i="4"/>
  <c r="I9" i="4"/>
  <c r="J9" i="4" s="1"/>
  <c r="I10" i="4"/>
  <c r="I11" i="4"/>
  <c r="I12" i="4"/>
  <c r="I13" i="4"/>
  <c r="J13" i="4" s="1"/>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J163" i="4" s="1"/>
  <c r="I164" i="4"/>
  <c r="I165" i="4"/>
  <c r="I166" i="4"/>
  <c r="I167" i="4"/>
  <c r="J167" i="4" s="1"/>
  <c r="I168" i="4"/>
  <c r="I169" i="4"/>
  <c r="I170" i="4"/>
  <c r="J170" i="4" s="1"/>
  <c r="I171" i="4"/>
  <c r="J171" i="4" s="1"/>
  <c r="I172" i="4"/>
  <c r="I173" i="4"/>
  <c r="I174" i="4"/>
  <c r="J174" i="4" s="1"/>
  <c r="I175" i="4"/>
  <c r="J175" i="4" s="1"/>
  <c r="I176" i="4"/>
  <c r="J176" i="4" s="1"/>
  <c r="I177" i="4"/>
  <c r="I178" i="4"/>
  <c r="I179" i="4"/>
  <c r="J179" i="4" s="1"/>
  <c r="I180" i="4"/>
  <c r="J180" i="4" s="1"/>
  <c r="I181" i="4"/>
  <c r="I182" i="4"/>
  <c r="I183" i="4"/>
  <c r="J183" i="4" s="1"/>
  <c r="I184" i="4"/>
  <c r="J184" i="4" s="1"/>
  <c r="Q4" i="4"/>
  <c r="Q3" i="4"/>
  <c r="P4" i="4"/>
  <c r="P3" i="4"/>
  <c r="P2" i="4"/>
  <c r="H115" i="2"/>
  <c r="D104" i="3"/>
  <c r="F104" i="3"/>
  <c r="G104" i="3"/>
  <c r="J178" i="4" l="1"/>
  <c r="J181" i="4"/>
  <c r="J173" i="4"/>
  <c r="J169" i="4"/>
  <c r="J165" i="4"/>
  <c r="J157" i="4"/>
  <c r="J149" i="4"/>
  <c r="J141" i="4"/>
  <c r="J137" i="4"/>
  <c r="J133" i="4"/>
  <c r="J125" i="4"/>
  <c r="J121" i="4"/>
  <c r="J113" i="4"/>
  <c r="J105" i="4"/>
  <c r="J101" i="4"/>
  <c r="J93" i="4"/>
  <c r="J85" i="4"/>
  <c r="J73" i="4"/>
  <c r="J69" i="4"/>
  <c r="J61" i="4"/>
  <c r="J53" i="4"/>
  <c r="J45" i="4"/>
  <c r="J41" i="4"/>
  <c r="J37" i="4"/>
  <c r="J29" i="4"/>
  <c r="J17" i="4"/>
  <c r="J182" i="4"/>
  <c r="J177" i="4"/>
  <c r="J153" i="4"/>
  <c r="J145" i="4"/>
  <c r="J117" i="4"/>
  <c r="J109" i="4"/>
  <c r="J89" i="4"/>
  <c r="J81" i="4"/>
  <c r="J77" i="4"/>
  <c r="J57" i="4"/>
  <c r="J49" i="4"/>
  <c r="J25" i="4"/>
  <c r="J21" i="4"/>
  <c r="J172" i="4"/>
  <c r="J168" i="4"/>
  <c r="J164" i="4"/>
  <c r="J160" i="4"/>
  <c r="J156" i="4"/>
  <c r="J152" i="4"/>
  <c r="J148" i="4"/>
  <c r="J144" i="4"/>
  <c r="J140" i="4"/>
  <c r="J136" i="4"/>
  <c r="J132" i="4"/>
  <c r="J128" i="4"/>
  <c r="J124" i="4"/>
  <c r="J120" i="4"/>
  <c r="J116" i="4"/>
  <c r="J112" i="4"/>
  <c r="J108" i="4"/>
  <c r="J104" i="4"/>
  <c r="J100" i="4"/>
  <c r="J96" i="4"/>
  <c r="J92" i="4"/>
  <c r="J88" i="4"/>
  <c r="J84" i="4"/>
  <c r="J80" i="4"/>
  <c r="J76" i="4"/>
  <c r="J72" i="4"/>
  <c r="J68" i="4"/>
  <c r="J64" i="4"/>
  <c r="J60" i="4"/>
  <c r="J56" i="4"/>
  <c r="J52" i="4"/>
  <c r="J48" i="4"/>
  <c r="J44" i="4"/>
  <c r="J40" i="4"/>
  <c r="J36" i="4"/>
  <c r="J32" i="4"/>
  <c r="J28" i="4"/>
  <c r="J24" i="4"/>
  <c r="J20" i="4"/>
  <c r="J16" i="4"/>
  <c r="J12" i="4"/>
  <c r="J8" i="4"/>
  <c r="J4" i="4"/>
  <c r="J161" i="4"/>
  <c r="J33" i="4"/>
  <c r="J65" i="4"/>
  <c r="J159" i="4"/>
  <c r="J155" i="4"/>
  <c r="J151" i="4"/>
  <c r="J147" i="4"/>
  <c r="J143" i="4"/>
  <c r="J139" i="4"/>
  <c r="J135" i="4"/>
  <c r="J131" i="4"/>
  <c r="J127" i="4"/>
  <c r="J123" i="4"/>
  <c r="J119" i="4"/>
  <c r="J115" i="4"/>
  <c r="J111" i="4"/>
  <c r="J107" i="4"/>
  <c r="J103" i="4"/>
  <c r="J99" i="4"/>
  <c r="J95" i="4"/>
  <c r="J91" i="4"/>
  <c r="J87" i="4"/>
  <c r="J83" i="4"/>
  <c r="J79" i="4"/>
  <c r="J75" i="4"/>
  <c r="J71" i="4"/>
  <c r="J67" i="4"/>
  <c r="J63" i="4"/>
  <c r="J59" i="4"/>
  <c r="J55" i="4"/>
  <c r="J51" i="4"/>
  <c r="J47" i="4"/>
  <c r="J43" i="4"/>
  <c r="J39" i="4"/>
  <c r="J35" i="4"/>
  <c r="J31" i="4"/>
  <c r="J27" i="4"/>
  <c r="J23" i="4"/>
  <c r="J19" i="4"/>
  <c r="J15" i="4"/>
  <c r="J11" i="4"/>
  <c r="J7" i="4"/>
  <c r="J3" i="4"/>
  <c r="J129" i="4"/>
  <c r="J166" i="4"/>
  <c r="J162" i="4"/>
  <c r="J158" i="4"/>
  <c r="J154" i="4"/>
  <c r="J150" i="4"/>
  <c r="J146" i="4"/>
  <c r="J142" i="4"/>
  <c r="J138" i="4"/>
  <c r="J134" i="4"/>
  <c r="J130" i="4"/>
  <c r="J126" i="4"/>
  <c r="J122" i="4"/>
  <c r="J118" i="4"/>
  <c r="J114" i="4"/>
  <c r="J110" i="4"/>
  <c r="J106" i="4"/>
  <c r="J102" i="4"/>
  <c r="J98" i="4"/>
  <c r="J94" i="4"/>
  <c r="J90" i="4"/>
  <c r="J86" i="4"/>
  <c r="J82" i="4"/>
  <c r="J78" i="4"/>
  <c r="J74" i="4"/>
  <c r="J70" i="4"/>
  <c r="J66" i="4"/>
  <c r="J62" i="4"/>
  <c r="J58" i="4"/>
  <c r="J54" i="4"/>
  <c r="J50" i="4"/>
  <c r="J46" i="4"/>
  <c r="J42" i="4"/>
  <c r="J38" i="4"/>
  <c r="J34" i="4"/>
  <c r="J30" i="4"/>
  <c r="J26" i="4"/>
  <c r="J22" i="4"/>
  <c r="J18" i="4"/>
  <c r="J14" i="4"/>
  <c r="J10" i="4"/>
  <c r="J6" i="4"/>
  <c r="J97" i="4"/>
  <c r="J2" i="4"/>
  <c r="P8" i="4"/>
  <c r="N24" i="4"/>
  <c r="P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C95587-6BCF-49F9-AEB3-2A7ED2FF6A38}" keepAlive="1" name="Query - India Staff" description="Connection to the 'India Staff' query in the workbook." type="5" refreshedVersion="0" background="1">
    <dbPr connection="Provider=Microsoft.Mashup.OleDb.1;Data Source=$Workbook$;Location=&quot;India Staff&quot;;Extended Properties=&quot;&quot;" command="SELECT * FROM [India Staff]"/>
  </connection>
  <connection id="2" xr16:uid="{8257F2C4-9FE4-4A11-B07F-53CBD3C9CCB4}" keepAlive="1" name="Query - NZ" description="Connection to the 'NZ' query in the workbook." type="5" refreshedVersion="0" background="1">
    <dbPr connection="Provider=Microsoft.Mashup.OleDb.1;Data Source=$Workbook$;Location=NZ;Extended Properties=&quot;&quot;" command="SELECT * FROM [NZ]"/>
  </connection>
  <connection id="3" xr16:uid="{19928D9F-8AE3-42C0-964E-34EEE8ABF337}" keepAlive="1" name="Query - Staff" description="Connection to the 'Staff' query in the workbook." type="5" refreshedVersion="8" background="1" saveData="1">
    <dbPr connection="Provider=Microsoft.Mashup.OleDb.1;Data Source=$Workbook$;Location=Staff;Extended Properties=&quot;&quot;" command="SELECT * FROM [Staff]"/>
  </connection>
  <connection id="4" xr16:uid="{FE6D4153-EB7C-4B69-9F6D-DC254B1C6981}" keepAlive="1" name="Query - Staff (2)" description="Connection to the 'Staff (2)' query in the workbook." type="5" refreshedVersion="8" background="1" saveData="1">
    <dbPr connection="Provider=Microsoft.Mashup.OleDb.1;Data Source=$Workbook$;Location=&quot;Staff (2)&quot;;Extended Properties=&quot;&quot;" command="SELECT * FROM [Staff (2)]"/>
  </connection>
  <connection id="5" xr16:uid="{17800713-BDE3-4ADB-AC3B-B0002F97A87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D7DC14F2-BE4F-4C4D-B9E3-3D8976D78015}" name="WorksheetConnection_India Vs NZ.xlsx!Staff" type="102" refreshedVersion="8" minRefreshableVersion="5">
    <extLst>
      <ext xmlns:x15="http://schemas.microsoft.com/office/spreadsheetml/2010/11/main" uri="{DE250136-89BD-433C-8126-D09CA5730AF9}">
        <x15:connection id="Staff" autoDelete="1">
          <x15:rangePr sourceName="_xlcn.WorksheetConnection_IndiaVsNZ.xlsxStaff"/>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Staff].[country].&amp;[India]}"/>
    <s v="{[Staff].[country].&amp;[NZ]}"/>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<sst xmlns="http://schemas.openxmlformats.org/spreadsheetml/2006/main" count="1947" uniqueCount="258">
  <si>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</si>
  <si>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</si>
  <si>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</si>
  <si>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</si>
  <si>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</si>
  <si>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</si>
  <si>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</si>
  <si>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</si>
  <si>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</si>
  <si>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</si>
  <si>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</si>
  <si>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</si>
  <si>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</si>
  <si>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</si>
  <si>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</si>
  <si>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</si>
  <si>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</si>
  <si>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</si>
  <si>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</si>
  <si>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</si>
  <si>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</si>
  <si>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</si>
  <si>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</si>
  <si>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</si>
  <si>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</si>
  <si>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</si>
  <si>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</si>
  <si>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</si>
  <si>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</si>
  <si>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</si>
  <si>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</si>
  <si>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</si>
  <si>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</si>
  <si>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</si>
  <si>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</si>
  <si>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</si>
  <si>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</si>
  <si>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</si>
  <si>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</si>
  <si>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</si>
  <si>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</si>
  <si>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</si>
  <si>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</si>
  <si>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</si>
  <si>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</si>
  <si>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</si>
  <si>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</si>
  <si>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</si>
  <si>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</si>
  <si>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</si>
  <si>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</si>
  <si>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</si>
  <si>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</si>
  <si>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</si>
  <si>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</si>
  <si>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</si>
  <si>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</si>
  <si>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</si>
  <si>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</si>
  <si>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</si>
  <si>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</si>
  <si>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</si>
  <si>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</si>
  <si>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</si>
  <si>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</si>
  <si>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</si>
  <si>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</si>
  <si>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</si>
  <si>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</si>
  <si>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</si>
  <si>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</si>
  <si>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</si>
  <si>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</si>
  <si>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</si>
  <si>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</si>
  <si>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</si>
  <si>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</si>
  <si>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</si>
  <si>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</si>
  <si>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</si>
  <si>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</si>
  <si>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</si>
  <si>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</si>
  <si>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</si>
  <si>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</si>
  <si>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</si>
  <si>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</si>
  <si>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</si>
  <si>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</si>
  <si>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</si>
  <si>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</si>
  <si>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</si>
  <si>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</si>
  <si>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</si>
  <si>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</si>
  <si>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</si>
  <si>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</si>
  <si>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</si>
  <si>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</si>
  <si>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</si>
  <si>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</si>
  <si>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</si>
  <si>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</si>
  <si>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</si>
  <si>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</si>
  <si>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</si>
  <si>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</si>
  <si>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</si>
  <si>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</si>
  <si>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</si>
  <si>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</si>
  <si>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</si>
  <si>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</si>
  <si>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</si>
  <si>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</si>
  <si>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</si>
  <si>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</si>
  <si>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</si>
  <si>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</si>
  <si>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</si>
  <si>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</si>
  <si>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</si>
  <si>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</si>
  <si>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</si>
  <si>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</si>
  <si>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</si>
  <si>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</si>
  <si>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</si>
  <si>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</si>
  <si>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</si>
  <si>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</si>
  <si>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</si>
  <si>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</si>
  <si>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</si>
  <si>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</si>
  <si>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</si>
  <si>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</si>
  <si>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</si>
  <si>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</si>
  <si>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</si>
  <si>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</si>
  <si>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</si>
  <si>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</si>
  <si>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</si>
  <si>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</si>
  <si>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</si>
  <si>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</si>
  <si>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</si>
  <si>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</si>
  <si>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</si>
  <si>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</si>
  <si>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</si>
  <si>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</si>
  <si>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</si>
  <si>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</si>
  <si>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</si>
  <si>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</si>
  <si>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</si>
  <si>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</si>
  <si>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</si>
  <si>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</si>
  <si>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</si>
  <si>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</si>
  <si>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</si>
  <si>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</si>
  <si>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</si>
  <si>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</si>
  <si>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</si>
  <si>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</si>
  <si>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</si>
  <si>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</si>
  <si>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</si>
  <si>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</si>
  <si>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</si>
  <si>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</si>
  <si>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</si>
  <si>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</si>
  <si>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</si>
  <si>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</si>
  <si>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</si>
  <si>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</si>
  <si>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</si>
  <si>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</si>
  <si>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</si>
  <si>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</si>
  <si>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</si>
  <si>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</si>
  <si>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</si>
  <si>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</si>
  <si>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</si>
  <si>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</si>
  <si>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</si>
  <si>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</si>
  <si>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</si>
  <si>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</si>
  <si>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</si>
  <si>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</si>
  <si>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</si>
  <si>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</si>
  <si>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</si>
  <si>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</si>
  <si>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</si>
  <si>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</si>
  <si>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</si>
  <si>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country</t>
  </si>
  <si>
    <t>India</t>
  </si>
  <si>
    <t>other</t>
  </si>
  <si>
    <t>NZ</t>
  </si>
  <si>
    <t>Count of employee</t>
  </si>
  <si>
    <t>Average salary</t>
  </si>
  <si>
    <t>Average age</t>
  </si>
  <si>
    <t>Average Tenure</t>
  </si>
  <si>
    <t>Female Rtaio%</t>
  </si>
  <si>
    <t>Tenure</t>
  </si>
  <si>
    <t>Female count</t>
  </si>
  <si>
    <t>Ratio%</t>
  </si>
  <si>
    <t>ratio of 90,000&gt;</t>
  </si>
  <si>
    <t>gender</t>
  </si>
  <si>
    <t>age</t>
  </si>
  <si>
    <t>rating</t>
  </si>
  <si>
    <t>doj</t>
  </si>
  <si>
    <t>dep</t>
  </si>
  <si>
    <t>sal</t>
  </si>
  <si>
    <t>tenure</t>
  </si>
  <si>
    <t>Male vs Female comparision</t>
  </si>
  <si>
    <t>Column Labels</t>
  </si>
  <si>
    <t>Grand Total</t>
  </si>
  <si>
    <t>Count of Name</t>
  </si>
  <si>
    <t>Average of Age</t>
  </si>
  <si>
    <t>Values</t>
  </si>
  <si>
    <t>Average of Salary</t>
  </si>
  <si>
    <t>Average of Tenure</t>
  </si>
  <si>
    <t>Bonus</t>
  </si>
  <si>
    <t>Top 10 emplyee with bonus</t>
  </si>
  <si>
    <t>Row Labels</t>
  </si>
  <si>
    <t>Rating in number</t>
  </si>
  <si>
    <t>2020</t>
  </si>
  <si>
    <t>May</t>
  </si>
  <si>
    <t>Jun</t>
  </si>
  <si>
    <t>Jul</t>
  </si>
  <si>
    <t>Aug</t>
  </si>
  <si>
    <t>Sep</t>
  </si>
  <si>
    <t>Oct</t>
  </si>
  <si>
    <t>Nov</t>
  </si>
  <si>
    <t>Dec</t>
  </si>
  <si>
    <t>2021</t>
  </si>
  <si>
    <t>Jan</t>
  </si>
  <si>
    <t>Feb</t>
  </si>
  <si>
    <t>Mar</t>
  </si>
  <si>
    <t>Apr</t>
  </si>
  <si>
    <t>2022</t>
  </si>
  <si>
    <t>2023</t>
  </si>
  <si>
    <t>Month</t>
  </si>
  <si>
    <t>Running total</t>
  </si>
  <si>
    <t xml:space="preserve"> </t>
  </si>
  <si>
    <t>Headcount</t>
  </si>
  <si>
    <t>Headcount by Department</t>
  </si>
  <si>
    <t>New  Zealand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</si>
</sst>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 #,##0.00;[Red]&quot;₹&quot;\ \-#,##0.00"/>
    <numFmt numFmtId="164" formatCode="0.0"/>
    <numFmt numFmtId="165" formatCode="&quot;₹&quot;\ #,##0.00"/>
    <numFmt numFmtId="166" formatCode="&quot;₹&quot;\ #,##0"/>
    <numFmt numFmtId="167" formatCode="[$-F800]dddd\,\ mmmm\ dd\,\ yyyy"/>
  </numFmts>
  <fonts count="10">
    <font>
      <sz val="11"/>
      <color theme="1"/>
      <name val="Calibri"/>
      <family val="2"/>
      <scheme val="minor"/>
    </font>
    <font>
      <sz val="28"/>
      <color theme="1"/>
      <name val="Segoe UI Light"/>
      <family val="2"/>
    </font>
    <font>
      <b/>
      <sz val="11"/>
      <color theme="0"/>
      <name val="Calibri"/>
      <family val="2"/>
      <scheme val="minor"/>
    </font>
    <font>
      <b/>
      <sz val="11"/>
      <color theme="1"/>
      <name val="Calibri"/>
      <family val="2"/>
      <scheme val="minor"/>
    </font>
    <font>
      <sz val="10"/>
      <color theme="1"/>
      <name val="Arial Unicode MS"/>
    </font>
    <font>
      <sz val="8"/>
      <name val="Calibri"/>
      <family val="2"/>
      <scheme val="minor"/>
    </font>
    <font>
      <b/>
      <sz val="20"/>
      <color theme="1"/>
      <name val="Calibri"/>
      <family val="2"/>
      <scheme val="minor"/>
    </font>
    <font>
      <b/>
      <sz val="20"/>
      <color theme="0"/>
      <name val="Calibri"/>
      <family val="2"/>
      <scheme val="minor"/>
    </font>
    <font>
      <sz val="24"/>
      <color theme="1"/>
      <name val="Calibri"/>
      <family val="2"/>
      <scheme val="minor"/>
    </font>
    <font>
      <b/>
      <sz val="24"/>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0000"/>
        <bgColor indexed="64"/>
      </patternFill>
    </fill>
    <fill>
      <patternFill patternType="solid">
        <fgColor theme="7"/>
        <bgColor indexed="64"/>
      </patternFill>
    </fill>
    <fill>
      <patternFill patternType="solid">
        <fgColor theme="5"/>
        <bgColor indexed="64"/>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46">
    <xf numFmtId="0" fontId="0" fillId="0" borderId="0" xfId="0"/>
    <xf numFmtId="0" fontId="0" fillId="3" borderId="0" xfId="0" applyFill="1"/>
    <xf numFmtId="0" fontId="1" fillId="3" borderId="0" xfId="0" applyFont="1" applyFill="1" applyAlignment="1">
      <alignment vertical="center"/>
    </xf>
    <xf numFmtId="15" fontId="0" fillId="0" borderId="0" xfId="0" applyNumberFormat="1"/>
    <xf numFmtId="8" fontId="0" fillId="0" borderId="0" xfId="0" applyNumberFormat="1"/>
    <xf numFmtId="0" fontId="2" fillId="4" borderId="1" xfId="0" applyFont="1" applyFill="1" applyBorder="1"/>
    <xf numFmtId="0" fontId="2" fillId="4" borderId="2" xfId="0" applyFont="1" applyFill="1" applyBorder="1"/>
    <xf numFmtId="0" fontId="0" fillId="5" borderId="2" xfId="0" applyFill="1" applyBorder="1"/>
    <xf numFmtId="0" fontId="0" fillId="0" borderId="2" xfId="0" applyBorder="1"/>
    <xf numFmtId="14" fontId="0" fillId="0" borderId="0" xfId="0" applyNumberFormat="1"/>
    <xf numFmtId="2" fontId="0" fillId="0" borderId="0" xfId="0" applyNumberFormat="1"/>
    <xf numFmtId="9" fontId="0" fillId="0" borderId="0" xfId="0" applyNumberFormat="1"/>
    <xf numFmtId="0" fontId="3" fillId="6" borderId="0" xfId="0" applyFont="1" applyFill="1" applyAlignment="1">
      <alignment horizontal="center"/>
    </xf>
    <xf numFmtId="0" fontId="0" fillId="7" borderId="0" xfId="0" applyFill="1"/>
    <xf numFmtId="1" fontId="0" fillId="0" borderId="0" xfId="0" applyNumberFormat="1"/>
    <xf numFmtId="0" fontId="0" fillId="0" borderId="0" xfId="0" applyAlignment="1">
      <alignment horizontal="center"/>
    </xf>
    <xf numFmtId="0" fontId="4" fillId="0" borderId="0" xfId="0" applyFont="1" applyAlignment="1">
      <alignment horizontal="center"/>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5" borderId="1" xfId="0" applyFill="1" applyBorder="1"/>
    <xf numFmtId="1" fontId="0" fillId="5" borderId="2" xfId="0" applyNumberFormat="1" applyFill="1" applyBorder="1"/>
    <xf numFmtId="14" fontId="0" fillId="5" borderId="2" xfId="0" applyNumberFormat="1" applyFill="1" applyBorder="1"/>
    <xf numFmtId="2" fontId="0" fillId="5" borderId="2" xfId="0" applyNumberFormat="1" applyFill="1" applyBorder="1"/>
    <xf numFmtId="0" fontId="0" fillId="0" borderId="1" xfId="0" applyBorder="1"/>
    <xf numFmtId="1" fontId="0" fillId="0" borderId="2" xfId="0" applyNumberFormat="1" applyBorder="1"/>
    <xf numFmtId="14" fontId="0" fillId="0" borderId="2" xfId="0" applyNumberFormat="1" applyBorder="1"/>
    <xf numFmtId="2" fontId="0" fillId="0" borderId="2" xfId="0" applyNumberFormat="1" applyBorder="1"/>
    <xf numFmtId="165" fontId="0" fillId="0" borderId="3" xfId="0" applyNumberFormat="1" applyBorder="1"/>
    <xf numFmtId="165" fontId="0" fillId="5" borderId="3" xfId="0" applyNumberFormat="1" applyFill="1" applyBorder="1"/>
    <xf numFmtId="1" fontId="2" fillId="4" borderId="2" xfId="0" applyNumberFormat="1" applyFont="1" applyFill="1" applyBorder="1"/>
    <xf numFmtId="2" fontId="2" fillId="4" borderId="2" xfId="0" applyNumberFormat="1" applyFont="1" applyFill="1" applyBorder="1"/>
    <xf numFmtId="165" fontId="2" fillId="4" borderId="3" xfId="0" applyNumberFormat="1" applyFont="1" applyFill="1" applyBorder="1"/>
    <xf numFmtId="166" fontId="0" fillId="0" borderId="0" xfId="0" applyNumberFormat="1"/>
    <xf numFmtId="0" fontId="0" fillId="0" borderId="0" xfId="0" applyAlignment="1">
      <alignment horizontal="left" indent="1"/>
    </xf>
    <xf numFmtId="167" fontId="0" fillId="0" borderId="0" xfId="0" applyNumberFormat="1"/>
    <xf numFmtId="8" fontId="7" fillId="2" borderId="0" xfId="0" applyNumberFormat="1" applyFont="1" applyFill="1" applyAlignment="1">
      <alignment horizontal="center" vertical="center"/>
    </xf>
    <xf numFmtId="9" fontId="7" fillId="2" borderId="0" xfId="0" applyNumberFormat="1" applyFont="1" applyFill="1" applyAlignment="1">
      <alignment horizontal="center" vertical="center"/>
    </xf>
    <xf numFmtId="0" fontId="7" fillId="2" borderId="0" xfId="0" applyFont="1" applyFill="1" applyAlignment="1">
      <alignment horizontal="center" vertical="center"/>
    </xf>
    <xf numFmtId="0" fontId="6" fillId="8" borderId="0" xfId="0" applyFont="1" applyFill="1" applyAlignment="1">
      <alignment horizontal="center" vertical="center"/>
    </xf>
    <xf numFmtId="8" fontId="6" fillId="8" borderId="0" xfId="0" applyNumberFormat="1" applyFont="1" applyFill="1" applyAlignment="1">
      <alignment horizontal="center" vertical="center"/>
    </xf>
    <xf numFmtId="9" fontId="6" fillId="8" borderId="0" xfId="0" applyNumberFormat="1" applyFont="1" applyFill="1" applyAlignment="1">
      <alignment horizontal="center" vertical="center"/>
    </xf>
    <xf numFmtId="0" fontId="9" fillId="3" borderId="0" xfId="0" applyFont="1" applyFill="1"/>
    <xf numFmtId="0" fontId="8" fillId="0" borderId="0" xfId="0" applyFont="1"/>
    <xf numFmtId="0" fontId="0" fillId="0" borderId="0" xfId="0" applyNumberFormat="1"/>
  </cellXfs>
  <cellStyles count="1">
    <cellStyle name="Normal" xfId="0" builtinId="0"/>
  </cellStyles>
  <dxfs count="21">
    <dxf>
      <numFmt numFmtId="12" formatCode="&quot;₹&quot;\ #,##0.00;[Red]&quot;₹&quot;\ \-#,##0.00"/>
    </dxf>
    <dxf>
      <numFmt numFmtId="164" formatCode="0.0"/>
    </dxf>
    <dxf>
      <numFmt numFmtId="12" formatCode="&quot;₹&quot;\ #,##0.00;[Red]&quot;₹&quot;\ \-#,##0.00"/>
    </dxf>
    <dxf>
      <numFmt numFmtId="12" formatCode="&quot;₹&quot;\ #,##0.00;[Red]&quot;₹&quot;\ \-#,##0.00"/>
    </dxf>
    <dxf>
      <font>
        <color rgb="FF9C0006"/>
      </font>
      <fill>
        <patternFill>
          <bgColor rgb="FFFFC7CE"/>
        </patternFill>
      </fill>
    </dxf>
    <dxf>
      <numFmt numFmtId="12" formatCode="&quot;₹&quot;\ #,##0.00;[Red]&quot;₹&quot;\ \-#,##0.00"/>
    </dxf>
    <dxf>
      <numFmt numFmtId="12" formatCode="&quot;₹&quot;\ #,##0.00;[Red]&quot;₹&quot;\ \-#,##0.00"/>
    </dxf>
    <dxf>
      <numFmt numFmtId="164" formatCode="0.0"/>
    </dxf>
    <dxf>
      <numFmt numFmtId="12" formatCode="&quot;₹&quot;\ #,##0.00;[Red]&quot;₹&quot;\ \-#,##0.00"/>
    </dxf>
    <dxf>
      <numFmt numFmtId="0" formatCode="General"/>
    </dxf>
    <dxf>
      <numFmt numFmtId="165" formatCode="&quot;₹&quot;\ #,##0.00"/>
    </dxf>
    <dxf>
      <numFmt numFmtId="2" formatCode="0.00"/>
    </dxf>
    <dxf>
      <numFmt numFmtId="0" formatCode="General"/>
    </dxf>
    <dxf>
      <numFmt numFmtId="19" formatCode="dd/mm/yyyy"/>
    </dxf>
    <dxf>
      <numFmt numFmtId="0" formatCode="General"/>
    </dxf>
    <dxf>
      <numFmt numFmtId="1" formatCode="0"/>
    </dxf>
    <dxf>
      <numFmt numFmtId="0" formatCode="General"/>
    </dxf>
    <dxf>
      <numFmt numFmtId="0" formatCode="General"/>
    </dxf>
    <dxf>
      <numFmt numFmtId="20" formatCode="dd/mmm/yy"/>
    </dxf>
    <dxf>
      <numFmt numFmtId="12" formatCode="&quot;₹&quot;\ #,##0.00;[Red]&quot;₹&quot;\ \-#,##0.00"/>
    </dxf>
    <dxf>
      <numFmt numFmtId="12" formatCode="&quot;₹&quot;\ #,##0.00;[Red]&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vs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all!$K$1</c:f>
              <c:strCache>
                <c:ptCount val="1"/>
                <c:pt idx="0">
                  <c:v>Rating in number</c:v>
                </c:pt>
              </c:strCache>
            </c:strRef>
          </c:tx>
          <c:spPr>
            <a:ln w="19050" cap="rnd">
              <a:noFill/>
              <a:round/>
            </a:ln>
            <a:effectLst/>
          </c:spPr>
          <c:marker>
            <c:symbol val="circle"/>
            <c:size val="5"/>
            <c:spPr>
              <a:solidFill>
                <a:schemeClr val="accent1"/>
              </a:solidFill>
              <a:ln w="9525">
                <a:solidFill>
                  <a:schemeClr val="accent1"/>
                </a:solidFill>
              </a:ln>
              <a:effectLst/>
            </c:spPr>
          </c:marker>
          <c:xVal>
            <c:numRef>
              <c:f>all!$G$2:$G$184</c:f>
              <c:numCache>
                <c:formatCode>General</c:formatCode>
                <c:ptCount val="183"/>
                <c:pt idx="0">
                  <c:v>112650</c:v>
                </c:pt>
                <c:pt idx="1">
                  <c:v>43840</c:v>
                </c:pt>
                <c:pt idx="2">
                  <c:v>103550</c:v>
                </c:pt>
                <c:pt idx="3">
                  <c:v>45510</c:v>
                </c:pt>
                <c:pt idx="4">
                  <c:v>115440</c:v>
                </c:pt>
                <c:pt idx="5">
                  <c:v>56870</c:v>
                </c:pt>
                <c:pt idx="6">
                  <c:v>92700</c:v>
                </c:pt>
                <c:pt idx="7">
                  <c:v>91310</c:v>
                </c:pt>
                <c:pt idx="8">
                  <c:v>74550</c:v>
                </c:pt>
                <c:pt idx="9">
                  <c:v>109190</c:v>
                </c:pt>
                <c:pt idx="10">
                  <c:v>104410</c:v>
                </c:pt>
                <c:pt idx="11">
                  <c:v>96800</c:v>
                </c:pt>
                <c:pt idx="12">
                  <c:v>48170</c:v>
                </c:pt>
                <c:pt idx="13">
                  <c:v>37920</c:v>
                </c:pt>
                <c:pt idx="14">
                  <c:v>112650</c:v>
                </c:pt>
                <c:pt idx="15">
                  <c:v>49630</c:v>
                </c:pt>
                <c:pt idx="16">
                  <c:v>118840</c:v>
                </c:pt>
                <c:pt idx="17">
                  <c:v>69710</c:v>
                </c:pt>
                <c:pt idx="18">
                  <c:v>79570</c:v>
                </c:pt>
                <c:pt idx="19">
                  <c:v>76900</c:v>
                </c:pt>
                <c:pt idx="20">
                  <c:v>54970</c:v>
                </c:pt>
                <c:pt idx="21">
                  <c:v>88050</c:v>
                </c:pt>
                <c:pt idx="22">
                  <c:v>36040</c:v>
                </c:pt>
                <c:pt idx="23">
                  <c:v>75000</c:v>
                </c:pt>
                <c:pt idx="24">
                  <c:v>40400</c:v>
                </c:pt>
                <c:pt idx="25">
                  <c:v>100420</c:v>
                </c:pt>
                <c:pt idx="26">
                  <c:v>58100</c:v>
                </c:pt>
                <c:pt idx="27">
                  <c:v>114870</c:v>
                </c:pt>
                <c:pt idx="28">
                  <c:v>41570</c:v>
                </c:pt>
                <c:pt idx="29">
                  <c:v>112570</c:v>
                </c:pt>
                <c:pt idx="30">
                  <c:v>47360</c:v>
                </c:pt>
                <c:pt idx="31">
                  <c:v>65920</c:v>
                </c:pt>
                <c:pt idx="32">
                  <c:v>99970</c:v>
                </c:pt>
                <c:pt idx="33">
                  <c:v>80700</c:v>
                </c:pt>
                <c:pt idx="34">
                  <c:v>52610</c:v>
                </c:pt>
                <c:pt idx="35">
                  <c:v>112110</c:v>
                </c:pt>
                <c:pt idx="36">
                  <c:v>119110</c:v>
                </c:pt>
                <c:pt idx="37">
                  <c:v>112780</c:v>
                </c:pt>
                <c:pt idx="38">
                  <c:v>114890</c:v>
                </c:pt>
                <c:pt idx="39">
                  <c:v>48980</c:v>
                </c:pt>
                <c:pt idx="40">
                  <c:v>75880</c:v>
                </c:pt>
                <c:pt idx="41">
                  <c:v>53240</c:v>
                </c:pt>
                <c:pt idx="42">
                  <c:v>85000</c:v>
                </c:pt>
                <c:pt idx="43">
                  <c:v>33920</c:v>
                </c:pt>
                <c:pt idx="44">
                  <c:v>75280</c:v>
                </c:pt>
                <c:pt idx="45">
                  <c:v>58940</c:v>
                </c:pt>
                <c:pt idx="46">
                  <c:v>104770</c:v>
                </c:pt>
                <c:pt idx="47">
                  <c:v>57090</c:v>
                </c:pt>
                <c:pt idx="48">
                  <c:v>91650</c:v>
                </c:pt>
                <c:pt idx="49">
                  <c:v>70270</c:v>
                </c:pt>
                <c:pt idx="50">
                  <c:v>75970</c:v>
                </c:pt>
                <c:pt idx="51">
                  <c:v>90700</c:v>
                </c:pt>
                <c:pt idx="52">
                  <c:v>60570</c:v>
                </c:pt>
                <c:pt idx="53">
                  <c:v>115920</c:v>
                </c:pt>
                <c:pt idx="54">
                  <c:v>65360</c:v>
                </c:pt>
                <c:pt idx="55">
                  <c:v>64000</c:v>
                </c:pt>
                <c:pt idx="56">
                  <c:v>92450</c:v>
                </c:pt>
                <c:pt idx="57">
                  <c:v>48950</c:v>
                </c:pt>
                <c:pt idx="58">
                  <c:v>83750</c:v>
                </c:pt>
                <c:pt idx="59">
                  <c:v>87620</c:v>
                </c:pt>
                <c:pt idx="60">
                  <c:v>68900</c:v>
                </c:pt>
                <c:pt idx="61">
                  <c:v>53540</c:v>
                </c:pt>
                <c:pt idx="62">
                  <c:v>43510</c:v>
                </c:pt>
                <c:pt idx="63">
                  <c:v>109160</c:v>
                </c:pt>
                <c:pt idx="64">
                  <c:v>99750</c:v>
                </c:pt>
                <c:pt idx="65">
                  <c:v>41980</c:v>
                </c:pt>
                <c:pt idx="66">
                  <c:v>71380</c:v>
                </c:pt>
                <c:pt idx="67">
                  <c:v>113280</c:v>
                </c:pt>
                <c:pt idx="68">
                  <c:v>86570</c:v>
                </c:pt>
                <c:pt idx="69">
                  <c:v>53540</c:v>
                </c:pt>
                <c:pt idx="70">
                  <c:v>69070</c:v>
                </c:pt>
                <c:pt idx="71">
                  <c:v>67910</c:v>
                </c:pt>
                <c:pt idx="72">
                  <c:v>69120</c:v>
                </c:pt>
                <c:pt idx="73">
                  <c:v>60130</c:v>
                </c:pt>
                <c:pt idx="74">
                  <c:v>106460</c:v>
                </c:pt>
                <c:pt idx="75">
                  <c:v>118100</c:v>
                </c:pt>
                <c:pt idx="76">
                  <c:v>78390</c:v>
                </c:pt>
                <c:pt idx="77">
                  <c:v>114180</c:v>
                </c:pt>
                <c:pt idx="78">
                  <c:v>104120</c:v>
                </c:pt>
                <c:pt idx="79">
                  <c:v>67950</c:v>
                </c:pt>
                <c:pt idx="80">
                  <c:v>34980</c:v>
                </c:pt>
                <c:pt idx="81">
                  <c:v>62780</c:v>
                </c:pt>
                <c:pt idx="82">
                  <c:v>107700</c:v>
                </c:pt>
                <c:pt idx="83">
                  <c:v>65700</c:v>
                </c:pt>
                <c:pt idx="84">
                  <c:v>75480</c:v>
                </c:pt>
                <c:pt idx="85">
                  <c:v>53870</c:v>
                </c:pt>
                <c:pt idx="86">
                  <c:v>78540</c:v>
                </c:pt>
                <c:pt idx="87">
                  <c:v>58960</c:v>
                </c:pt>
                <c:pt idx="88">
                  <c:v>70610</c:v>
                </c:pt>
                <c:pt idx="89">
                  <c:v>59430</c:v>
                </c:pt>
                <c:pt idx="90">
                  <c:v>48530</c:v>
                </c:pt>
                <c:pt idx="91">
                  <c:v>96140</c:v>
                </c:pt>
                <c:pt idx="92">
                  <c:v>112780</c:v>
                </c:pt>
                <c:pt idx="93">
                  <c:v>70610</c:v>
                </c:pt>
                <c:pt idx="94">
                  <c:v>53240</c:v>
                </c:pt>
                <c:pt idx="95">
                  <c:v>115440</c:v>
                </c:pt>
                <c:pt idx="96">
                  <c:v>53540</c:v>
                </c:pt>
                <c:pt idx="97">
                  <c:v>112570</c:v>
                </c:pt>
                <c:pt idx="98">
                  <c:v>48530</c:v>
                </c:pt>
                <c:pt idx="99">
                  <c:v>62780</c:v>
                </c:pt>
                <c:pt idx="100">
                  <c:v>53870</c:v>
                </c:pt>
                <c:pt idx="101">
                  <c:v>119110</c:v>
                </c:pt>
                <c:pt idx="102">
                  <c:v>112110</c:v>
                </c:pt>
                <c:pt idx="103">
                  <c:v>65700</c:v>
                </c:pt>
                <c:pt idx="104">
                  <c:v>69070</c:v>
                </c:pt>
                <c:pt idx="105">
                  <c:v>107700</c:v>
                </c:pt>
                <c:pt idx="106">
                  <c:v>43840</c:v>
                </c:pt>
                <c:pt idx="107">
                  <c:v>99750</c:v>
                </c:pt>
                <c:pt idx="108">
                  <c:v>37920</c:v>
                </c:pt>
                <c:pt idx="109">
                  <c:v>57090</c:v>
                </c:pt>
                <c:pt idx="110">
                  <c:v>41980</c:v>
                </c:pt>
                <c:pt idx="111">
                  <c:v>75880</c:v>
                </c:pt>
                <c:pt idx="112">
                  <c:v>58940</c:v>
                </c:pt>
                <c:pt idx="113">
                  <c:v>67910</c:v>
                </c:pt>
                <c:pt idx="114">
                  <c:v>58100</c:v>
                </c:pt>
                <c:pt idx="115">
                  <c:v>48980</c:v>
                </c:pt>
                <c:pt idx="116">
                  <c:v>64000</c:v>
                </c:pt>
                <c:pt idx="117">
                  <c:v>75000</c:v>
                </c:pt>
                <c:pt idx="118">
                  <c:v>87620</c:v>
                </c:pt>
                <c:pt idx="119">
                  <c:v>34980</c:v>
                </c:pt>
                <c:pt idx="120">
                  <c:v>75970</c:v>
                </c:pt>
                <c:pt idx="121">
                  <c:v>60130</c:v>
                </c:pt>
                <c:pt idx="122">
                  <c:v>75480</c:v>
                </c:pt>
                <c:pt idx="123">
                  <c:v>115920</c:v>
                </c:pt>
                <c:pt idx="124">
                  <c:v>78540</c:v>
                </c:pt>
                <c:pt idx="125">
                  <c:v>109190</c:v>
                </c:pt>
                <c:pt idx="126">
                  <c:v>49630</c:v>
                </c:pt>
                <c:pt idx="127">
                  <c:v>99970</c:v>
                </c:pt>
                <c:pt idx="128">
                  <c:v>96140</c:v>
                </c:pt>
                <c:pt idx="129">
                  <c:v>103550</c:v>
                </c:pt>
                <c:pt idx="130">
                  <c:v>48950</c:v>
                </c:pt>
                <c:pt idx="131">
                  <c:v>52610</c:v>
                </c:pt>
                <c:pt idx="132">
                  <c:v>78390</c:v>
                </c:pt>
                <c:pt idx="133">
                  <c:v>86570</c:v>
                </c:pt>
                <c:pt idx="134">
                  <c:v>83750</c:v>
                </c:pt>
                <c:pt idx="135">
                  <c:v>92450</c:v>
                </c:pt>
                <c:pt idx="136">
                  <c:v>112650</c:v>
                </c:pt>
                <c:pt idx="137">
                  <c:v>79570</c:v>
                </c:pt>
                <c:pt idx="138">
                  <c:v>68900</c:v>
                </c:pt>
                <c:pt idx="139">
                  <c:v>80700</c:v>
                </c:pt>
                <c:pt idx="140">
                  <c:v>58960</c:v>
                </c:pt>
                <c:pt idx="141">
                  <c:v>118840</c:v>
                </c:pt>
                <c:pt idx="142">
                  <c:v>48170</c:v>
                </c:pt>
                <c:pt idx="143">
                  <c:v>45510</c:v>
                </c:pt>
                <c:pt idx="144">
                  <c:v>114890</c:v>
                </c:pt>
                <c:pt idx="145">
                  <c:v>69710</c:v>
                </c:pt>
                <c:pt idx="146">
                  <c:v>71380</c:v>
                </c:pt>
                <c:pt idx="147">
                  <c:v>109160</c:v>
                </c:pt>
                <c:pt idx="148">
                  <c:v>113280</c:v>
                </c:pt>
                <c:pt idx="149">
                  <c:v>69120</c:v>
                </c:pt>
                <c:pt idx="150">
                  <c:v>118100</c:v>
                </c:pt>
                <c:pt idx="151">
                  <c:v>76900</c:v>
                </c:pt>
                <c:pt idx="152">
                  <c:v>114870</c:v>
                </c:pt>
                <c:pt idx="153">
                  <c:v>91310</c:v>
                </c:pt>
                <c:pt idx="154">
                  <c:v>104770</c:v>
                </c:pt>
                <c:pt idx="155">
                  <c:v>54970</c:v>
                </c:pt>
                <c:pt idx="156">
                  <c:v>90700</c:v>
                </c:pt>
                <c:pt idx="157">
                  <c:v>56870</c:v>
                </c:pt>
                <c:pt idx="158">
                  <c:v>92700</c:v>
                </c:pt>
                <c:pt idx="159">
                  <c:v>65920</c:v>
                </c:pt>
                <c:pt idx="160">
                  <c:v>47360</c:v>
                </c:pt>
                <c:pt idx="161">
                  <c:v>60570</c:v>
                </c:pt>
                <c:pt idx="162">
                  <c:v>104120</c:v>
                </c:pt>
                <c:pt idx="163">
                  <c:v>88050</c:v>
                </c:pt>
                <c:pt idx="164">
                  <c:v>100420</c:v>
                </c:pt>
                <c:pt idx="165">
                  <c:v>114180</c:v>
                </c:pt>
                <c:pt idx="166">
                  <c:v>33920</c:v>
                </c:pt>
                <c:pt idx="167">
                  <c:v>106460</c:v>
                </c:pt>
                <c:pt idx="168">
                  <c:v>40400</c:v>
                </c:pt>
                <c:pt idx="169">
                  <c:v>91650</c:v>
                </c:pt>
                <c:pt idx="170">
                  <c:v>36040</c:v>
                </c:pt>
                <c:pt idx="171">
                  <c:v>104410</c:v>
                </c:pt>
                <c:pt idx="172">
                  <c:v>96800</c:v>
                </c:pt>
                <c:pt idx="173">
                  <c:v>85000</c:v>
                </c:pt>
                <c:pt idx="174">
                  <c:v>43510</c:v>
                </c:pt>
                <c:pt idx="175">
                  <c:v>59430</c:v>
                </c:pt>
                <c:pt idx="176">
                  <c:v>65360</c:v>
                </c:pt>
                <c:pt idx="177">
                  <c:v>41570</c:v>
                </c:pt>
                <c:pt idx="178">
                  <c:v>75280</c:v>
                </c:pt>
                <c:pt idx="179">
                  <c:v>74550</c:v>
                </c:pt>
                <c:pt idx="180">
                  <c:v>67950</c:v>
                </c:pt>
                <c:pt idx="181">
                  <c:v>70270</c:v>
                </c:pt>
                <c:pt idx="182">
                  <c:v>53540</c:v>
                </c:pt>
              </c:numCache>
            </c:numRef>
          </c:xVal>
          <c:yVal>
            <c:numRef>
              <c:f>all!$K$2:$K$184</c:f>
              <c:numCache>
                <c:formatCode>General</c:formatCode>
                <c:ptCount val="183"/>
                <c:pt idx="0">
                  <c:v>3</c:v>
                </c:pt>
                <c:pt idx="1">
                  <c:v>4</c:v>
                </c:pt>
                <c:pt idx="2">
                  <c:v>3</c:v>
                </c:pt>
                <c:pt idx="3">
                  <c:v>3</c:v>
                </c:pt>
                <c:pt idx="4">
                  <c:v>2</c:v>
                </c:pt>
                <c:pt idx="5">
                  <c:v>4</c:v>
                </c:pt>
                <c:pt idx="6">
                  <c:v>3</c:v>
                </c:pt>
                <c:pt idx="7">
                  <c:v>3</c:v>
                </c:pt>
                <c:pt idx="8">
                  <c:v>3</c:v>
                </c:pt>
                <c:pt idx="9">
                  <c:v>4</c:v>
                </c:pt>
                <c:pt idx="10">
                  <c:v>3</c:v>
                </c:pt>
                <c:pt idx="11">
                  <c:v>3</c:v>
                </c:pt>
                <c:pt idx="12">
                  <c:v>4</c:v>
                </c:pt>
                <c:pt idx="13">
                  <c:v>3</c:v>
                </c:pt>
                <c:pt idx="14">
                  <c:v>3</c:v>
                </c:pt>
                <c:pt idx="15">
                  <c:v>2</c:v>
                </c:pt>
                <c:pt idx="16">
                  <c:v>3</c:v>
                </c:pt>
                <c:pt idx="17">
                  <c:v>3</c:v>
                </c:pt>
                <c:pt idx="18">
                  <c:v>3</c:v>
                </c:pt>
                <c:pt idx="19">
                  <c:v>4</c:v>
                </c:pt>
                <c:pt idx="20">
                  <c:v>3</c:v>
                </c:pt>
                <c:pt idx="21">
                  <c:v>2</c:v>
                </c:pt>
                <c:pt idx="22">
                  <c:v>3</c:v>
                </c:pt>
                <c:pt idx="23">
                  <c:v>5</c:v>
                </c:pt>
                <c:pt idx="24">
                  <c:v>3</c:v>
                </c:pt>
                <c:pt idx="25">
                  <c:v>3</c:v>
                </c:pt>
                <c:pt idx="26">
                  <c:v>3</c:v>
                </c:pt>
                <c:pt idx="27">
                  <c:v>3</c:v>
                </c:pt>
                <c:pt idx="28">
                  <c:v>3</c:v>
                </c:pt>
                <c:pt idx="29">
                  <c:v>3</c:v>
                </c:pt>
                <c:pt idx="30">
                  <c:v>3</c:v>
                </c:pt>
                <c:pt idx="31">
                  <c:v>3</c:v>
                </c:pt>
                <c:pt idx="32">
                  <c:v>3</c:v>
                </c:pt>
                <c:pt idx="33">
                  <c:v>4</c:v>
                </c:pt>
                <c:pt idx="34">
                  <c:v>2</c:v>
                </c:pt>
                <c:pt idx="35">
                  <c:v>2</c:v>
                </c:pt>
                <c:pt idx="36">
                  <c:v>3</c:v>
                </c:pt>
                <c:pt idx="37">
                  <c:v>4</c:v>
                </c:pt>
                <c:pt idx="38">
                  <c:v>3</c:v>
                </c:pt>
                <c:pt idx="39">
                  <c:v>3</c:v>
                </c:pt>
                <c:pt idx="40">
                  <c:v>3</c:v>
                </c:pt>
                <c:pt idx="41">
                  <c:v>3</c:v>
                </c:pt>
                <c:pt idx="42">
                  <c:v>3</c:v>
                </c:pt>
                <c:pt idx="43">
                  <c:v>3</c:v>
                </c:pt>
                <c:pt idx="44">
                  <c:v>3</c:v>
                </c:pt>
                <c:pt idx="45">
                  <c:v>3</c:v>
                </c:pt>
                <c:pt idx="46">
                  <c:v>3</c:v>
                </c:pt>
                <c:pt idx="47">
                  <c:v>3</c:v>
                </c:pt>
                <c:pt idx="48">
                  <c:v>4</c:v>
                </c:pt>
                <c:pt idx="49">
                  <c:v>2</c:v>
                </c:pt>
                <c:pt idx="50">
                  <c:v>3</c:v>
                </c:pt>
                <c:pt idx="51">
                  <c:v>4</c:v>
                </c:pt>
                <c:pt idx="52">
                  <c:v>3</c:v>
                </c:pt>
                <c:pt idx="53">
                  <c:v>3</c:v>
                </c:pt>
                <c:pt idx="54">
                  <c:v>3</c:v>
                </c:pt>
                <c:pt idx="55">
                  <c:v>3</c:v>
                </c:pt>
                <c:pt idx="56">
                  <c:v>3</c:v>
                </c:pt>
                <c:pt idx="57">
                  <c:v>3</c:v>
                </c:pt>
                <c:pt idx="58">
                  <c:v>3</c:v>
                </c:pt>
                <c:pt idx="59">
                  <c:v>3</c:v>
                </c:pt>
                <c:pt idx="60">
                  <c:v>2</c:v>
                </c:pt>
                <c:pt idx="61">
                  <c:v>3</c:v>
                </c:pt>
                <c:pt idx="62">
                  <c:v>1</c:v>
                </c:pt>
                <c:pt idx="63">
                  <c:v>5</c:v>
                </c:pt>
                <c:pt idx="64">
                  <c:v>3</c:v>
                </c:pt>
                <c:pt idx="65">
                  <c:v>3</c:v>
                </c:pt>
                <c:pt idx="66">
                  <c:v>3</c:v>
                </c:pt>
                <c:pt idx="67">
                  <c:v>1</c:v>
                </c:pt>
                <c:pt idx="68">
                  <c:v>3</c:v>
                </c:pt>
                <c:pt idx="69">
                  <c:v>3</c:v>
                </c:pt>
                <c:pt idx="70">
                  <c:v>3</c:v>
                </c:pt>
                <c:pt idx="71">
                  <c:v>2</c:v>
                </c:pt>
                <c:pt idx="72">
                  <c:v>3</c:v>
                </c:pt>
                <c:pt idx="73">
                  <c:v>3</c:v>
                </c:pt>
                <c:pt idx="74">
                  <c:v>3</c:v>
                </c:pt>
                <c:pt idx="75">
                  <c:v>3</c:v>
                </c:pt>
                <c:pt idx="76">
                  <c:v>3</c:v>
                </c:pt>
                <c:pt idx="77">
                  <c:v>3</c:v>
                </c:pt>
                <c:pt idx="78">
                  <c:v>3</c:v>
                </c:pt>
                <c:pt idx="79">
                  <c:v>3</c:v>
                </c:pt>
                <c:pt idx="80">
                  <c:v>3</c:v>
                </c:pt>
                <c:pt idx="81">
                  <c:v>3</c:v>
                </c:pt>
                <c:pt idx="82">
                  <c:v>3</c:v>
                </c:pt>
                <c:pt idx="83">
                  <c:v>3</c:v>
                </c:pt>
                <c:pt idx="84">
                  <c:v>1</c:v>
                </c:pt>
                <c:pt idx="85">
                  <c:v>3</c:v>
                </c:pt>
                <c:pt idx="86">
                  <c:v>3</c:v>
                </c:pt>
                <c:pt idx="87">
                  <c:v>3</c:v>
                </c:pt>
                <c:pt idx="88">
                  <c:v>3</c:v>
                </c:pt>
                <c:pt idx="89">
                  <c:v>3</c:v>
                </c:pt>
                <c:pt idx="90">
                  <c:v>4</c:v>
                </c:pt>
                <c:pt idx="91">
                  <c:v>3</c:v>
                </c:pt>
                <c:pt idx="92">
                  <c:v>4</c:v>
                </c:pt>
                <c:pt idx="93">
                  <c:v>3</c:v>
                </c:pt>
                <c:pt idx="94">
                  <c:v>3</c:v>
                </c:pt>
                <c:pt idx="95">
                  <c:v>2</c:v>
                </c:pt>
                <c:pt idx="96">
                  <c:v>3</c:v>
                </c:pt>
                <c:pt idx="97">
                  <c:v>3</c:v>
                </c:pt>
                <c:pt idx="98">
                  <c:v>4</c:v>
                </c:pt>
                <c:pt idx="99">
                  <c:v>3</c:v>
                </c:pt>
                <c:pt idx="100">
                  <c:v>3</c:v>
                </c:pt>
                <c:pt idx="101">
                  <c:v>3</c:v>
                </c:pt>
                <c:pt idx="102">
                  <c:v>2</c:v>
                </c:pt>
                <c:pt idx="103">
                  <c:v>3</c:v>
                </c:pt>
                <c:pt idx="104">
                  <c:v>3</c:v>
                </c:pt>
                <c:pt idx="105">
                  <c:v>3</c:v>
                </c:pt>
                <c:pt idx="106">
                  <c:v>4</c:v>
                </c:pt>
                <c:pt idx="107">
                  <c:v>3</c:v>
                </c:pt>
                <c:pt idx="108">
                  <c:v>3</c:v>
                </c:pt>
                <c:pt idx="109">
                  <c:v>3</c:v>
                </c:pt>
                <c:pt idx="110">
                  <c:v>3</c:v>
                </c:pt>
                <c:pt idx="111">
                  <c:v>3</c:v>
                </c:pt>
                <c:pt idx="112">
                  <c:v>3</c:v>
                </c:pt>
                <c:pt idx="113">
                  <c:v>2</c:v>
                </c:pt>
                <c:pt idx="114">
                  <c:v>3</c:v>
                </c:pt>
                <c:pt idx="115">
                  <c:v>3</c:v>
                </c:pt>
                <c:pt idx="116">
                  <c:v>3</c:v>
                </c:pt>
                <c:pt idx="117">
                  <c:v>5</c:v>
                </c:pt>
                <c:pt idx="118">
                  <c:v>3</c:v>
                </c:pt>
                <c:pt idx="119">
                  <c:v>3</c:v>
                </c:pt>
                <c:pt idx="120">
                  <c:v>3</c:v>
                </c:pt>
                <c:pt idx="121">
                  <c:v>3</c:v>
                </c:pt>
                <c:pt idx="122">
                  <c:v>1</c:v>
                </c:pt>
                <c:pt idx="123">
                  <c:v>3</c:v>
                </c:pt>
                <c:pt idx="124">
                  <c:v>3</c:v>
                </c:pt>
                <c:pt idx="125">
                  <c:v>4</c:v>
                </c:pt>
                <c:pt idx="126">
                  <c:v>2</c:v>
                </c:pt>
                <c:pt idx="127">
                  <c:v>3</c:v>
                </c:pt>
                <c:pt idx="128">
                  <c:v>3</c:v>
                </c:pt>
                <c:pt idx="129">
                  <c:v>3</c:v>
                </c:pt>
                <c:pt idx="130">
                  <c:v>3</c:v>
                </c:pt>
                <c:pt idx="131">
                  <c:v>2</c:v>
                </c:pt>
                <c:pt idx="132">
                  <c:v>3</c:v>
                </c:pt>
                <c:pt idx="133">
                  <c:v>3</c:v>
                </c:pt>
                <c:pt idx="134">
                  <c:v>3</c:v>
                </c:pt>
                <c:pt idx="135">
                  <c:v>3</c:v>
                </c:pt>
                <c:pt idx="136">
                  <c:v>3</c:v>
                </c:pt>
                <c:pt idx="137">
                  <c:v>3</c:v>
                </c:pt>
                <c:pt idx="138">
                  <c:v>2</c:v>
                </c:pt>
                <c:pt idx="139">
                  <c:v>4</c:v>
                </c:pt>
                <c:pt idx="140">
                  <c:v>3</c:v>
                </c:pt>
                <c:pt idx="141">
                  <c:v>3</c:v>
                </c:pt>
                <c:pt idx="142">
                  <c:v>4</c:v>
                </c:pt>
                <c:pt idx="143">
                  <c:v>3</c:v>
                </c:pt>
                <c:pt idx="144">
                  <c:v>3</c:v>
                </c:pt>
                <c:pt idx="145">
                  <c:v>3</c:v>
                </c:pt>
                <c:pt idx="146">
                  <c:v>3</c:v>
                </c:pt>
                <c:pt idx="147">
                  <c:v>5</c:v>
                </c:pt>
                <c:pt idx="148">
                  <c:v>1</c:v>
                </c:pt>
                <c:pt idx="149">
                  <c:v>3</c:v>
                </c:pt>
                <c:pt idx="150">
                  <c:v>3</c:v>
                </c:pt>
                <c:pt idx="151">
                  <c:v>4</c:v>
                </c:pt>
                <c:pt idx="152">
                  <c:v>3</c:v>
                </c:pt>
                <c:pt idx="153">
                  <c:v>3</c:v>
                </c:pt>
                <c:pt idx="154">
                  <c:v>3</c:v>
                </c:pt>
                <c:pt idx="155">
                  <c:v>3</c:v>
                </c:pt>
                <c:pt idx="156">
                  <c:v>4</c:v>
                </c:pt>
                <c:pt idx="157">
                  <c:v>4</c:v>
                </c:pt>
                <c:pt idx="158">
                  <c:v>3</c:v>
                </c:pt>
                <c:pt idx="159">
                  <c:v>3</c:v>
                </c:pt>
                <c:pt idx="160">
                  <c:v>3</c:v>
                </c:pt>
                <c:pt idx="161">
                  <c:v>3</c:v>
                </c:pt>
                <c:pt idx="162">
                  <c:v>3</c:v>
                </c:pt>
                <c:pt idx="163">
                  <c:v>2</c:v>
                </c:pt>
                <c:pt idx="164">
                  <c:v>3</c:v>
                </c:pt>
                <c:pt idx="165">
                  <c:v>3</c:v>
                </c:pt>
                <c:pt idx="166">
                  <c:v>3</c:v>
                </c:pt>
                <c:pt idx="167">
                  <c:v>3</c:v>
                </c:pt>
                <c:pt idx="168">
                  <c:v>3</c:v>
                </c:pt>
                <c:pt idx="169">
                  <c:v>4</c:v>
                </c:pt>
                <c:pt idx="170">
                  <c:v>3</c:v>
                </c:pt>
                <c:pt idx="171">
                  <c:v>3</c:v>
                </c:pt>
                <c:pt idx="172">
                  <c:v>3</c:v>
                </c:pt>
                <c:pt idx="173">
                  <c:v>3</c:v>
                </c:pt>
                <c:pt idx="174">
                  <c:v>1</c:v>
                </c:pt>
                <c:pt idx="175">
                  <c:v>3</c:v>
                </c:pt>
                <c:pt idx="176">
                  <c:v>3</c:v>
                </c:pt>
                <c:pt idx="177">
                  <c:v>3</c:v>
                </c:pt>
                <c:pt idx="178">
                  <c:v>3</c:v>
                </c:pt>
                <c:pt idx="179">
                  <c:v>3</c:v>
                </c:pt>
                <c:pt idx="180">
                  <c:v>3</c:v>
                </c:pt>
                <c:pt idx="181">
                  <c:v>2</c:v>
                </c:pt>
                <c:pt idx="182">
                  <c:v>3</c:v>
                </c:pt>
              </c:numCache>
            </c:numRef>
          </c:yVal>
          <c:smooth val="0"/>
          <c:extLst>
            <c:ext xmlns:c16="http://schemas.microsoft.com/office/drawing/2014/chart" uri="{C3380CC4-5D6E-409C-BE32-E72D297353CC}">
              <c16:uniqueId val="{00000000-E435-4889-B222-2744B05F3EDA}"/>
            </c:ext>
          </c:extLst>
        </c:ser>
        <c:dLbls>
          <c:showLegendKey val="0"/>
          <c:showVal val="0"/>
          <c:showCatName val="0"/>
          <c:showSerName val="0"/>
          <c:showPercent val="0"/>
          <c:showBubbleSize val="0"/>
        </c:dLbls>
        <c:axId val="1530710288"/>
        <c:axId val="1530710768"/>
      </c:scatterChart>
      <c:valAx>
        <c:axId val="1530710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10768"/>
        <c:crosses val="autoZero"/>
        <c:crossBetween val="midCat"/>
      </c:valAx>
      <c:valAx>
        <c:axId val="153071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10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 Vs NZ.xlsx]company growth!PivotTable5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36482939632549E-2"/>
          <c:y val="0.16708333333333336"/>
          <c:w val="0.90286351706036749"/>
          <c:h val="0.72088764946048411"/>
        </c:manualLayout>
      </c:layout>
      <c:lineChart>
        <c:grouping val="standard"/>
        <c:varyColors val="0"/>
        <c:ser>
          <c:idx val="0"/>
          <c:order val="0"/>
          <c:tx>
            <c:strRef>
              <c:f>'company growth'!$C$3</c:f>
              <c:strCache>
                <c:ptCount val="1"/>
                <c:pt idx="0">
                  <c:v>Total</c:v>
                </c:pt>
              </c:strCache>
            </c:strRef>
          </c:tx>
          <c:spPr>
            <a:ln w="28575" cap="rnd">
              <a:solidFill>
                <a:schemeClr val="accent1"/>
              </a:solidFill>
              <a:round/>
            </a:ln>
            <a:effectLst/>
          </c:spPr>
          <c:marker>
            <c:symbol val="none"/>
          </c:marker>
          <c:cat>
            <c:multiLvlStrRef>
              <c:f>'company growth'!$B$4:$B$40</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'company growth'!$C$4:$C$40</c:f>
              <c:numCache>
                <c:formatCode>General</c:formatCode>
                <c:ptCount val="32"/>
                <c:pt idx="0">
                  <c:v>3</c:v>
                </c:pt>
                <c:pt idx="1">
                  <c:v>4</c:v>
                </c:pt>
                <c:pt idx="2">
                  <c:v>9</c:v>
                </c:pt>
                <c:pt idx="3">
                  <c:v>12</c:v>
                </c:pt>
                <c:pt idx="4">
                  <c:v>18</c:v>
                </c:pt>
                <c:pt idx="5">
                  <c:v>24</c:v>
                </c:pt>
                <c:pt idx="6">
                  <c:v>30</c:v>
                </c:pt>
                <c:pt idx="7">
                  <c:v>37</c:v>
                </c:pt>
                <c:pt idx="8">
                  <c:v>6</c:v>
                </c:pt>
                <c:pt idx="9">
                  <c:v>10</c:v>
                </c:pt>
                <c:pt idx="10">
                  <c:v>19</c:v>
                </c:pt>
                <c:pt idx="11">
                  <c:v>24</c:v>
                </c:pt>
                <c:pt idx="12">
                  <c:v>34</c:v>
                </c:pt>
                <c:pt idx="13">
                  <c:v>40</c:v>
                </c:pt>
                <c:pt idx="14">
                  <c:v>53</c:v>
                </c:pt>
                <c:pt idx="15">
                  <c:v>57</c:v>
                </c:pt>
                <c:pt idx="16">
                  <c:v>68</c:v>
                </c:pt>
                <c:pt idx="17">
                  <c:v>71</c:v>
                </c:pt>
                <c:pt idx="18">
                  <c:v>75</c:v>
                </c:pt>
                <c:pt idx="19">
                  <c:v>82</c:v>
                </c:pt>
                <c:pt idx="20">
                  <c:v>3</c:v>
                </c:pt>
                <c:pt idx="21">
                  <c:v>13</c:v>
                </c:pt>
                <c:pt idx="22">
                  <c:v>22</c:v>
                </c:pt>
                <c:pt idx="23">
                  <c:v>31</c:v>
                </c:pt>
                <c:pt idx="24">
                  <c:v>40</c:v>
                </c:pt>
                <c:pt idx="25">
                  <c:v>47</c:v>
                </c:pt>
                <c:pt idx="26">
                  <c:v>52</c:v>
                </c:pt>
                <c:pt idx="27">
                  <c:v>57</c:v>
                </c:pt>
                <c:pt idx="28">
                  <c:v>59</c:v>
                </c:pt>
                <c:pt idx="29">
                  <c:v>62</c:v>
                </c:pt>
                <c:pt idx="30">
                  <c:v>1</c:v>
                </c:pt>
                <c:pt idx="31">
                  <c:v>2</c:v>
                </c:pt>
              </c:numCache>
            </c:numRef>
          </c:val>
          <c:smooth val="0"/>
          <c:extLst>
            <c:ext xmlns:c16="http://schemas.microsoft.com/office/drawing/2014/chart" uri="{C3380CC4-5D6E-409C-BE32-E72D297353CC}">
              <c16:uniqueId val="{00000000-E3BF-4F34-9357-7AB6F503D21C}"/>
            </c:ext>
          </c:extLst>
        </c:ser>
        <c:dLbls>
          <c:showLegendKey val="0"/>
          <c:showVal val="0"/>
          <c:showCatName val="0"/>
          <c:showSerName val="0"/>
          <c:showPercent val="0"/>
          <c:showBubbleSize val="0"/>
        </c:dLbls>
        <c:smooth val="0"/>
        <c:axId val="1924991248"/>
        <c:axId val="1924998448"/>
      </c:lineChart>
      <c:catAx>
        <c:axId val="1924991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998448"/>
        <c:crosses val="autoZero"/>
        <c:auto val="1"/>
        <c:lblAlgn val="ctr"/>
        <c:lblOffset val="100"/>
        <c:noMultiLvlLbl val="0"/>
      </c:catAx>
      <c:valAx>
        <c:axId val="192499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99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'company growth'!$Y$2</c:f>
              <c:strCache>
                <c:ptCount val="1"/>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'company growth'!$W$3:$W$40</c:f>
              <c:strCache>
                <c:ptCount val="37"/>
                <c:pt idx="0">
                  <c:v>Month</c:v>
                </c:pt>
                <c:pt idx="1">
                  <c:v>01 May 2020</c:v>
                </c:pt>
                <c:pt idx="2">
                  <c:v>01 June 2020</c:v>
                </c:pt>
                <c:pt idx="3">
                  <c:v>01 July 2020</c:v>
                </c:pt>
                <c:pt idx="4">
                  <c:v>01 August 2020</c:v>
                </c:pt>
                <c:pt idx="5">
                  <c:v>01 September 2020</c:v>
                </c:pt>
                <c:pt idx="6">
                  <c:v>01 October 2020</c:v>
                </c:pt>
                <c:pt idx="7">
                  <c:v>01 November 2020</c:v>
                </c:pt>
                <c:pt idx="8">
                  <c:v>01 December 2020</c:v>
                </c:pt>
                <c:pt idx="9">
                  <c:v>01 January 2021</c:v>
                </c:pt>
                <c:pt idx="10">
                  <c:v>01 February 2021</c:v>
                </c:pt>
                <c:pt idx="11">
                  <c:v>01 March 2021</c:v>
                </c:pt>
                <c:pt idx="12">
                  <c:v>01 April 2021</c:v>
                </c:pt>
                <c:pt idx="13">
                  <c:v>01 May 2021</c:v>
                </c:pt>
                <c:pt idx="14">
                  <c:v>01 June 2021</c:v>
                </c:pt>
                <c:pt idx="15">
                  <c:v>01 July 2021</c:v>
                </c:pt>
                <c:pt idx="16">
                  <c:v>01 August 2021</c:v>
                </c:pt>
                <c:pt idx="17">
                  <c:v>01 September 2021</c:v>
                </c:pt>
                <c:pt idx="18">
                  <c:v>01 October 2021</c:v>
                </c:pt>
                <c:pt idx="19">
                  <c:v>01 November 2021</c:v>
                </c:pt>
                <c:pt idx="20">
                  <c:v>01 December 2021</c:v>
                </c:pt>
                <c:pt idx="21">
                  <c:v>01 January 2022</c:v>
                </c:pt>
                <c:pt idx="22">
                  <c:v>01 February 2022</c:v>
                </c:pt>
                <c:pt idx="23">
                  <c:v>01 March 2022</c:v>
                </c:pt>
                <c:pt idx="24">
                  <c:v>01 April 2022</c:v>
                </c:pt>
                <c:pt idx="25">
                  <c:v>01 May 2022</c:v>
                </c:pt>
                <c:pt idx="26">
                  <c:v>01 June 2022</c:v>
                </c:pt>
                <c:pt idx="27">
                  <c:v>01 July 2022</c:v>
                </c:pt>
                <c:pt idx="28">
                  <c:v>01 August 2022</c:v>
                </c:pt>
                <c:pt idx="29">
                  <c:v>01 September 2022</c:v>
                </c:pt>
                <c:pt idx="30">
                  <c:v>01 October 2022</c:v>
                </c:pt>
                <c:pt idx="31">
                  <c:v>01 November 2022</c:v>
                </c:pt>
                <c:pt idx="32">
                  <c:v>01 December 2022</c:v>
                </c:pt>
                <c:pt idx="33">
                  <c:v>01 January 2023</c:v>
                </c:pt>
                <c:pt idx="34">
                  <c:v>01 February 2023</c:v>
                </c:pt>
                <c:pt idx="35">
                  <c:v>01 March 2023</c:v>
                </c:pt>
                <c:pt idx="36">
                  <c:v>01 April 2023</c:v>
                </c:pt>
              </c:strCache>
            </c:strRef>
          </c:cat>
          <c:val>
            <c:numRef>
              <c:f>'company growth'!$Y$3:$Y$40</c:f>
              <c:numCache>
                <c:formatCode>General</c:formatCode>
                <c:ptCount val="38"/>
                <c:pt idx="0">
                  <c:v>0</c:v>
                </c:pt>
                <c:pt idx="1">
                  <c:v>3</c:v>
                </c:pt>
                <c:pt idx="2">
                  <c:v>4</c:v>
                </c:pt>
                <c:pt idx="3">
                  <c:v>9</c:v>
                </c:pt>
                <c:pt idx="4">
                  <c:v>12</c:v>
                </c:pt>
                <c:pt idx="5">
                  <c:v>18</c:v>
                </c:pt>
                <c:pt idx="6">
                  <c:v>24</c:v>
                </c:pt>
                <c:pt idx="7">
                  <c:v>30</c:v>
                </c:pt>
                <c:pt idx="8">
                  <c:v>37</c:v>
                </c:pt>
                <c:pt idx="9">
                  <c:v>43</c:v>
                </c:pt>
                <c:pt idx="10">
                  <c:v>47</c:v>
                </c:pt>
                <c:pt idx="11">
                  <c:v>56</c:v>
                </c:pt>
                <c:pt idx="12">
                  <c:v>61</c:v>
                </c:pt>
                <c:pt idx="13">
                  <c:v>71</c:v>
                </c:pt>
                <c:pt idx="14">
                  <c:v>77</c:v>
                </c:pt>
                <c:pt idx="15">
                  <c:v>90</c:v>
                </c:pt>
                <c:pt idx="16">
                  <c:v>94</c:v>
                </c:pt>
                <c:pt idx="17">
                  <c:v>105</c:v>
                </c:pt>
                <c:pt idx="18">
                  <c:v>108</c:v>
                </c:pt>
                <c:pt idx="19">
                  <c:v>112</c:v>
                </c:pt>
                <c:pt idx="20">
                  <c:v>119</c:v>
                </c:pt>
                <c:pt idx="21">
                  <c:v>122</c:v>
                </c:pt>
                <c:pt idx="22">
                  <c:v>132</c:v>
                </c:pt>
                <c:pt idx="23">
                  <c:v>141</c:v>
                </c:pt>
                <c:pt idx="24">
                  <c:v>150</c:v>
                </c:pt>
                <c:pt idx="25">
                  <c:v>159</c:v>
                </c:pt>
                <c:pt idx="26">
                  <c:v>166</c:v>
                </c:pt>
                <c:pt idx="27">
                  <c:v>171</c:v>
                </c:pt>
                <c:pt idx="28">
                  <c:v>176</c:v>
                </c:pt>
                <c:pt idx="29">
                  <c:v>178</c:v>
                </c:pt>
                <c:pt idx="30">
                  <c:v>181</c:v>
                </c:pt>
                <c:pt idx="31">
                  <c:v>181</c:v>
                </c:pt>
                <c:pt idx="32">
                  <c:v>181</c:v>
                </c:pt>
                <c:pt idx="33">
                  <c:v>181</c:v>
                </c:pt>
                <c:pt idx="34">
                  <c:v>182</c:v>
                </c:pt>
                <c:pt idx="35">
                  <c:v>182</c:v>
                </c:pt>
                <c:pt idx="36">
                  <c:v>183</c:v>
                </c:pt>
              </c:numCache>
            </c:numRef>
          </c:val>
          <c:smooth val="0"/>
          <c:extLst>
            <c:ext xmlns:c16="http://schemas.microsoft.com/office/drawing/2014/chart" uri="{C3380CC4-5D6E-409C-BE32-E72D297353CC}">
              <c16:uniqueId val="{00000000-40CE-43C3-A218-E56A48680990}"/>
            </c:ext>
          </c:extLst>
        </c:ser>
        <c:dLbls>
          <c:showLegendKey val="0"/>
          <c:showVal val="0"/>
          <c:showCatName val="0"/>
          <c:showSerName val="0"/>
          <c:showPercent val="0"/>
          <c:showBubbleSize val="0"/>
        </c:dLbls>
        <c:smooth val="0"/>
        <c:axId val="144526719"/>
        <c:axId val="144523359"/>
      </c:lineChart>
      <c:catAx>
        <c:axId val="14452671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523359"/>
        <c:crosses val="autoZero"/>
        <c:auto val="1"/>
        <c:lblAlgn val="ctr"/>
        <c:lblOffset val="100"/>
        <c:noMultiLvlLbl val="0"/>
      </c:catAx>
      <c:valAx>
        <c:axId val="1445233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52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 Vs NZ.xlsx]report card pivot!PivotTable7</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 card pivot'!$I$4</c:f>
              <c:strCache>
                <c:ptCount val="1"/>
                <c:pt idx="0">
                  <c:v>Total</c:v>
                </c:pt>
              </c:strCache>
            </c:strRef>
          </c:tx>
          <c:spPr>
            <a:solidFill>
              <a:schemeClr val="accent1"/>
            </a:solidFill>
            <a:ln>
              <a:noFill/>
            </a:ln>
            <a:effectLst/>
          </c:spPr>
          <c:invertIfNegative val="0"/>
          <c:cat>
            <c:strRef>
              <c:f>'report card pivot'!$H$5:$H$10</c:f>
              <c:strCache>
                <c:ptCount val="5"/>
                <c:pt idx="0">
                  <c:v>Website</c:v>
                </c:pt>
                <c:pt idx="1">
                  <c:v>Procurement</c:v>
                </c:pt>
                <c:pt idx="2">
                  <c:v>Finance</c:v>
                </c:pt>
                <c:pt idx="3">
                  <c:v>Sales</c:v>
                </c:pt>
                <c:pt idx="4">
                  <c:v>HR</c:v>
                </c:pt>
              </c:strCache>
            </c:strRef>
          </c:cat>
          <c:val>
            <c:numRef>
              <c:f>'report card pivot'!$I$5:$I$10</c:f>
              <c:numCache>
                <c:formatCode>General</c:formatCode>
                <c:ptCount val="5"/>
                <c:pt idx="0">
                  <c:v>27</c:v>
                </c:pt>
                <c:pt idx="1">
                  <c:v>27</c:v>
                </c:pt>
                <c:pt idx="2">
                  <c:v>19</c:v>
                </c:pt>
                <c:pt idx="3">
                  <c:v>14</c:v>
                </c:pt>
                <c:pt idx="4">
                  <c:v>4</c:v>
                </c:pt>
              </c:numCache>
            </c:numRef>
          </c:val>
          <c:extLst>
            <c:ext xmlns:c16="http://schemas.microsoft.com/office/drawing/2014/chart" uri="{C3380CC4-5D6E-409C-BE32-E72D297353CC}">
              <c16:uniqueId val="{00000000-8252-4A8A-BC27-899896DFAA91}"/>
            </c:ext>
          </c:extLst>
        </c:ser>
        <c:dLbls>
          <c:showLegendKey val="0"/>
          <c:showVal val="0"/>
          <c:showCatName val="0"/>
          <c:showSerName val="0"/>
          <c:showPercent val="0"/>
          <c:showBubbleSize val="0"/>
        </c:dLbls>
        <c:gapWidth val="25"/>
        <c:axId val="1530932192"/>
        <c:axId val="1530933152"/>
      </c:barChart>
      <c:catAx>
        <c:axId val="15309321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933152"/>
        <c:crosses val="autoZero"/>
        <c:auto val="1"/>
        <c:lblAlgn val="ctr"/>
        <c:lblOffset val="100"/>
        <c:noMultiLvlLbl val="0"/>
      </c:catAx>
      <c:valAx>
        <c:axId val="1530933152"/>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93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 Vs NZ.xlsx]report card pivot!PivotTable6</c:name>
    <c:fmtId val="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 card pivot'!$C$3</c:f>
              <c:strCache>
                <c:ptCount val="1"/>
                <c:pt idx="0">
                  <c:v>Total</c:v>
                </c:pt>
              </c:strCache>
            </c:strRef>
          </c:tx>
          <c:spPr>
            <a:solidFill>
              <a:schemeClr val="accent2"/>
            </a:solidFill>
            <a:ln>
              <a:noFill/>
            </a:ln>
            <a:effectLst/>
          </c:spPr>
          <c:invertIfNegative val="0"/>
          <c:cat>
            <c:strRef>
              <c:f>'report card pivot'!$B$4:$B$9</c:f>
              <c:strCache>
                <c:ptCount val="5"/>
                <c:pt idx="0">
                  <c:v>Procurement</c:v>
                </c:pt>
                <c:pt idx="1">
                  <c:v>Website</c:v>
                </c:pt>
                <c:pt idx="2">
                  <c:v>Finance</c:v>
                </c:pt>
                <c:pt idx="3">
                  <c:v>Sales</c:v>
                </c:pt>
                <c:pt idx="4">
                  <c:v>HR</c:v>
                </c:pt>
              </c:strCache>
            </c:strRef>
          </c:cat>
          <c:val>
            <c:numRef>
              <c:f>'report card pivot'!$C$4:$C$9</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D3DA-4DBC-AF01-ACE18951E38B}"/>
            </c:ext>
          </c:extLst>
        </c:ser>
        <c:dLbls>
          <c:showLegendKey val="0"/>
          <c:showVal val="0"/>
          <c:showCatName val="0"/>
          <c:showSerName val="0"/>
          <c:showPercent val="0"/>
          <c:showBubbleSize val="0"/>
        </c:dLbls>
        <c:gapWidth val="25"/>
        <c:axId val="1608262288"/>
        <c:axId val="1608262768"/>
      </c:barChart>
      <c:catAx>
        <c:axId val="16082622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262768"/>
        <c:crosses val="autoZero"/>
        <c:auto val="1"/>
        <c:lblAlgn val="ctr"/>
        <c:lblOffset val="100"/>
        <c:noMultiLvlLbl val="0"/>
      </c:catAx>
      <c:valAx>
        <c:axId val="160826276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26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931644C1-70F6-42E0-8836-A24199607FE3}">
          <cx:tx>
            <cx:txData>
              <cx:f>_xlchart.v1.0</cx:f>
              <cx:v>Salary</cx:v>
            </cx:txData>
          </cx:tx>
          <cx:dataId val="0"/>
          <cx:layoutPr>
            <cx:binning intervalClosed="r" underflow="40000">
              <cx:binSize val="1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 salary spread</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159EF389-5D29-40EF-A081-CF411CA9A6FD}">
          <cx:tx>
            <cx:txData>
              <cx:f>_xlchart.v1.2</cx:f>
              <cx:v>Salary</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365760</xdr:colOff>
      <xdr:row>3</xdr:row>
      <xdr:rowOff>137161</xdr:rowOff>
    </xdr:from>
    <xdr:to>
      <xdr:col>6</xdr:col>
      <xdr:colOff>525780</xdr:colOff>
      <xdr:row>10</xdr:row>
      <xdr:rowOff>45721</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491687C-2B49-026A-92C1-5B438510241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855720" y="685801"/>
              <a:ext cx="172212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0</xdr:rowOff>
    </xdr:from>
    <xdr:to>
      <xdr:col>10</xdr:col>
      <xdr:colOff>586740</xdr:colOff>
      <xdr:row>24</xdr:row>
      <xdr:rowOff>175260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89EDD75-BC0D-4EB9-950B-0BB3A7719B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19200" y="914400"/>
              <a:ext cx="5463540" cy="3649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594360</xdr:colOff>
      <xdr:row>1</xdr:row>
      <xdr:rowOff>121920</xdr:rowOff>
    </xdr:from>
    <xdr:to>
      <xdr:col>18</xdr:col>
      <xdr:colOff>441960</xdr:colOff>
      <xdr:row>26</xdr:row>
      <xdr:rowOff>121920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25DF79F-B6C2-4CF5-87B8-D616604B6C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909560" y="304800"/>
              <a:ext cx="3505200" cy="4572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251460</xdr:colOff>
      <xdr:row>2</xdr:row>
      <xdr:rowOff>99060</xdr:rowOff>
    </xdr:from>
    <xdr:to>
      <xdr:col>16</xdr:col>
      <xdr:colOff>365760</xdr:colOff>
      <xdr:row>23</xdr:row>
      <xdr:rowOff>91440</xdr:rowOff>
    </xdr:to>
    <xdr:graphicFrame macro="">
      <xdr:nvGraphicFramePr>
        <xdr:cNvPr id="2" name="Chart 1">
          <a:extLst>
            <a:ext uri="{FF2B5EF4-FFF2-40B4-BE49-F238E27FC236}">
              <a16:creationId xmlns:a16="http://schemas.microsoft.com/office/drawing/2014/main" id="{8F174C35-2DBA-4AA1-BF90-18C543C1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175260</xdr:colOff>
      <xdr:row>2</xdr:row>
      <xdr:rowOff>0</xdr:rowOff>
    </xdr:from>
    <xdr:to>
      <xdr:col>14</xdr:col>
      <xdr:colOff>441960</xdr:colOff>
      <xdr:row>29</xdr:row>
      <xdr:rowOff>45720</xdr:rowOff>
    </xdr:to>
    <xdr:graphicFrame macro="">
      <xdr:nvGraphicFramePr>
        <xdr:cNvPr id="2" name="Chart 1">
          <a:extLst>
            <a:ext uri="{FF2B5EF4-FFF2-40B4-BE49-F238E27FC236}">
              <a16:creationId xmlns:a16="http://schemas.microsoft.com/office/drawing/2014/main" id="{D88EC085-24F2-E34D-01F9-DF563C5DC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167640</xdr:colOff>
      <xdr:row>3</xdr:row>
      <xdr:rowOff>45720</xdr:rowOff>
    </xdr:from>
    <xdr:to>
      <xdr:col>32</xdr:col>
      <xdr:colOff>434340</xdr:colOff>
      <xdr:row>22</xdr:row>
      <xdr:rowOff>15240</xdr:rowOff>
    </xdr:to>
    <xdr:graphicFrame macro="">
      <xdr:nvGraphicFramePr>
        <xdr:cNvPr id="3" name="Chart 2">
          <a:extLst>
            <a:ext uri="{FF2B5EF4-FFF2-40B4-BE49-F238E27FC236}">
              <a16:creationId xmlns:a16="http://schemas.microsoft.com/office/drawing/2014/main" id="{0425652A-B8F2-41C7-B887-284DD5D29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7</xdr:row>
      <xdr:rowOff>22860</xdr:rowOff>
    </xdr:from>
    <xdr:to>
      <xdr:col>6</xdr:col>
      <xdr:colOff>1363980</xdr:colOff>
      <xdr:row>22</xdr:row>
      <xdr:rowOff>22860</xdr:rowOff>
    </xdr:to>
    <xdr:graphicFrame macro="">
      <xdr:nvGraphicFramePr>
        <xdr:cNvPr id="2" name="Chart 1">
          <a:extLst>
            <a:ext uri="{FF2B5EF4-FFF2-40B4-BE49-F238E27FC236}">
              <a16:creationId xmlns:a16="http://schemas.microsoft.com/office/drawing/2014/main" id="{09A8167B-547F-4C62-A8EF-CB9905F84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6</xdr:row>
      <xdr:rowOff>175260</xdr:rowOff>
    </xdr:from>
    <xdr:to>
      <xdr:col>13</xdr:col>
      <xdr:colOff>1318260</xdr:colOff>
      <xdr:row>21</xdr:row>
      <xdr:rowOff>175260</xdr:rowOff>
    </xdr:to>
    <xdr:graphicFrame macro="">
      <xdr:nvGraphicFramePr>
        <xdr:cNvPr id="3" name="Chart 2">
          <a:extLst>
            <a:ext uri="{FF2B5EF4-FFF2-40B4-BE49-F238E27FC236}">
              <a16:creationId xmlns:a16="http://schemas.microsoft.com/office/drawing/2014/main" id="{F79B4DD5-51D2-43B6-BB51-017BDFB93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xdr:colOff>
      <xdr:row>0</xdr:row>
      <xdr:rowOff>137160</xdr:rowOff>
    </xdr:from>
    <xdr:to>
      <xdr:col>8</xdr:col>
      <xdr:colOff>7620</xdr:colOff>
      <xdr:row>3</xdr:row>
      <xdr:rowOff>152400</xdr:rowOff>
    </xdr:to>
    <xdr:cxnSp macro="">
      <xdr:nvCxnSpPr>
        <xdr:cNvPr id="5" name="Straight Connector 4">
          <a:extLst>
            <a:ext uri="{FF2B5EF4-FFF2-40B4-BE49-F238E27FC236}">
              <a16:creationId xmlns:a16="http://schemas.microsoft.com/office/drawing/2014/main" id="{3223DC4B-5962-D81E-6062-BFADA625D84A}"/>
            </a:ext>
          </a:extLst>
        </xdr:cNvPr>
        <xdr:cNvCxnSpPr/>
      </xdr:nvCxnSpPr>
      <xdr:spPr>
        <a:xfrm>
          <a:off x="6934200" y="137160"/>
          <a:ext cx="0" cy="240792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586740</xdr:colOff>
      <xdr:row>5</xdr:row>
      <xdr:rowOff>22860</xdr:rowOff>
    </xdr:from>
    <xdr:to>
      <xdr:col>8</xdr:col>
      <xdr:colOff>15240</xdr:colOff>
      <xdr:row>22</xdr:row>
      <xdr:rowOff>22860</xdr:rowOff>
    </xdr:to>
    <xdr:cxnSp macro="">
      <xdr:nvCxnSpPr>
        <xdr:cNvPr id="7" name="Straight Connector 6">
          <a:extLst>
            <a:ext uri="{FF2B5EF4-FFF2-40B4-BE49-F238E27FC236}">
              <a16:creationId xmlns:a16="http://schemas.microsoft.com/office/drawing/2014/main" id="{95A77668-0E17-4DED-827A-859F73860E97}"/>
            </a:ext>
          </a:extLst>
        </xdr:cNvPr>
        <xdr:cNvCxnSpPr/>
      </xdr:nvCxnSpPr>
      <xdr:spPr>
        <a:xfrm>
          <a:off x="6903720" y="2956560"/>
          <a:ext cx="38100" cy="31089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27.655299999999" backgroundQuery="1" createdVersion="8" refreshedVersion="8" minRefreshableVersion="3" recordCount="0" supportSubquery="1" supportAdvancedDrill="1" xr:uid="{E591D99B-30F3-46A1-9D0F-674AA10D42C7}">
  <cacheSource type="external" connectionId="5"/>
  <cacheFields count="3">
    <cacheField name="[Staff].[Rating].[Rating]" caption="Rating" numFmtId="0" hierarchy="3" level="1">
      <sharedItems count="5">
        <s v="Above average"/>
        <s v="Average"/>
        <s v="Exceptional"/>
        <s v="Poor"/>
        <s v="Very poor"/>
      </sharedItems>
    </cacheField>
    <cacheField name="[Measures].[Count of Name]" caption="Count of Name" numFmtId="0" hierarchy="15" level="32767"/>
    <cacheField name="[Measures].[Average of Salary]" caption="Average of Salary" numFmtId="0" hierarchy="19" level="32767"/>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2" memberValueDatatype="130" unbalanced="0">
      <fieldsUsage count="2">
        <fieldUsage x="-1"/>
        <fieldUsage x="0"/>
      </fieldsUsage>
    </cacheHierarchy>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27.658328356483" backgroundQuery="1" createdVersion="8" refreshedVersion="8" minRefreshableVersion="3" recordCount="0" supportSubquery="1" supportAdvancedDrill="1" xr:uid="{F099D8B9-0B28-44A3-B866-63765B5C187E}">
  <cacheSource type="external" connectionId="5"/>
  <cacheFields count="3">
    <cacheField name="[Staff].[Date Joined (Month)].[Date Joined (Month)]" caption="Date Joined (Month)" numFmtId="0" hierarchy="11" level="1">
      <sharedItems count="12">
        <s v="May"/>
        <s v="Jun"/>
        <s v="Jul"/>
        <s v="Aug"/>
        <s v="Sep"/>
        <s v="Oct"/>
        <s v="Nov"/>
        <s v="Dec"/>
        <s v="Jan"/>
        <s v="Feb"/>
        <s v="Mar"/>
        <s v="Apr"/>
      </sharedItems>
    </cacheField>
    <cacheField name="[Staff].[Date Joined (Year)].[Date Joined (Year)]" caption="Date Joined (Year)" numFmtId="0" hierarchy="9" level="1">
      <sharedItems count="4">
        <s v="2020"/>
        <s v="2021"/>
        <s v="2022"/>
        <s v="2023"/>
      </sharedItems>
    </cacheField>
    <cacheField name="[Measures].[Count of Name]" caption="Count of Name" numFmtId="0" hierarchy="15" level="32767"/>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2"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2" memberValueDatatype="130" unbalanced="0">
      <fieldsUsage count="2">
        <fieldUsage x="-1"/>
        <fieldUsage x="1"/>
      </fieldsUsage>
    </cacheHierarchy>
    <cacheHierarchy uniqueName="[Staff].[Date Joined (Quarter)]" caption="Date Joined (Quarter)" attribute="1" defaultMemberUniqueName="[Staff].[Date Joined (Quarter)].[All]" allUniqueName="[Staff].[Date Joined (Quarter)].[All]" dimensionUniqueName="[Staff]" displayFolder="" count="2" memberValueDatatype="130" unbalanced="0"/>
    <cacheHierarchy uniqueName="[Staff].[Date Joined (Month)]" caption="Date Joined (Month)" attribute="1" defaultMemberUniqueName="[Staff].[Date Joined (Month)].[All]" allUniqueName="[Staff].[Date Joined (Month)].[All]" dimensionUniqueName="[Staff]" displayFolder="" count="2" memberValueDatatype="130" unbalanced="0">
      <fieldsUsage count="2">
        <fieldUsage x="-1"/>
        <fieldUsage x="0"/>
      </fieldsUsage>
    </cacheHierarchy>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27.698327430553" backgroundQuery="1" createdVersion="8" refreshedVersion="8" minRefreshableVersion="3" recordCount="0" supportSubquery="1" supportAdvancedDrill="1" xr:uid="{3C585E99-67A1-4768-82D1-E9D643EAD0EE}">
  <cacheSource type="external" connectionId="5"/>
  <cacheFields count="3">
    <cacheField name="[Staff].[Department].[Department]" caption="Department" numFmtId="0" hierarchy="5" level="1">
      <sharedItems count="5">
        <s v="Finance"/>
        <s v="HR"/>
        <s v="Procurement"/>
        <s v="Sales"/>
        <s v="Website"/>
      </sharedItems>
    </cacheField>
    <cacheField name="[Staff].[country].[country]" caption="country" numFmtId="0" hierarchy="7" level="1">
      <sharedItems containsSemiMixedTypes="0" containsNonDate="0" containsString="0"/>
    </cacheField>
    <cacheField name="[Measures].[Count of Name]" caption="Count of Name" numFmtId="0" hierarchy="15" level="32767"/>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1"/>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27.698393055558" backgroundQuery="1" createdVersion="8" refreshedVersion="8" minRefreshableVersion="3" recordCount="0" supportSubquery="1" supportAdvancedDrill="1" xr:uid="{BAC10ED8-700D-4A5B-B0D0-362BF47BD9CF}">
  <cacheSource type="external" connectionId="5"/>
  <cacheFields count="3">
    <cacheField name="[Staff].[Department].[Department]" caption="Department" numFmtId="0" hierarchy="5" level="1">
      <sharedItems count="5">
        <s v="Finance"/>
        <s v="HR"/>
        <s v="Procurement"/>
        <s v="Sales"/>
        <s v="Website"/>
      </sharedItems>
    </cacheField>
    <cacheField name="[Staff].[country].[country]" caption="country" numFmtId="0" hierarchy="7" level="1">
      <sharedItems containsSemiMixedTypes="0" containsNonDate="0" containsString="0"/>
    </cacheField>
    <cacheField name="[Measures].[Count of Name]" caption="Count of Name" numFmtId="0" hierarchy="15" level="32767"/>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1"/>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27.724672800927" backgroundQuery="1" createdVersion="8" refreshedVersion="8" minRefreshableVersion="3" recordCount="0" supportSubquery="1" supportAdvancedDrill="1" xr:uid="{F5CE832C-AD52-4DEC-98AB-E8E56DD9F98E}">
  <cacheSource type="external" connectionId="5"/>
  <cacheFields count="6">
    <cacheField name="[Staff].[Gender].[Gender]" caption="Gender" numFmtId="0" hierarchy="1" level="1">
      <sharedItems count="2">
        <s v="Female"/>
        <s v="Male"/>
      </sharedItems>
    </cacheField>
    <cacheField name="[Measures].[Count of Name]" caption="Count of Name" numFmtId="0" hierarchy="15" level="32767"/>
    <cacheField name="[Measures].[Average of Age]" caption="Average of Age" numFmtId="0" hierarchy="17" level="32767"/>
    <cacheField name="[Measures].[Average of Salary]" caption="Average of Salary" numFmtId="0" hierarchy="19" level="32767"/>
    <cacheField name="[Measures].[Average of Tenure]" caption="Average of Tenure" numFmtId="0" hierarchy="21" level="32767"/>
    <cacheField name="[Staff].[country].[country]" caption="country" numFmtId="0" hierarchy="7" level="1">
      <sharedItems containsSemiMixedTypes="0" containsNonDate="0" containsString="0"/>
    </cacheField>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5"/>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27.655300810184" backgroundQuery="1" createdVersion="3" refreshedVersion="8" minRefreshableVersion="3" recordCount="0" supportSubquery="1" supportAdvancedDrill="1" xr:uid="{14A569F3-9FD4-4044-9B29-B232AD33CC3D}">
  <cacheSource type="external" connectionId="5">
    <extLst>
      <ext xmlns:x14="http://schemas.microsoft.com/office/spreadsheetml/2009/9/main" uri="{F057638F-6D5F-4e77-A914-E7F072B9BCA8}">
        <x14:sourceConnection name="ThisWorkbookDataModel"/>
      </ext>
    </extLst>
  </cacheSource>
  <cacheFields count="0"/>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60107273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0B23E5-34C8-46C6-BEAF-A23D4749DA6B}" name="PivotTable1" cacheId="8"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6:D11" firstHeaderRow="1" firstDataRow="2" firstDataCol="1"/>
  <pivotFields count="6">
    <pivotField axis="axisCol"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Age" fld="2" subtotal="average" baseField="0" baseItem="0" numFmtId="164"/>
    <dataField name="Average of Salary" fld="3" subtotal="average" baseField="0" baseItem="0" numFmtId="164"/>
    <dataField name="Average of Tenure" fld="4" subtotal="average" baseField="0" baseItem="0" numFmtId="164"/>
  </dataFields>
  <formats count="4">
    <format dxfId="8">
      <pivotArea collapsedLevelsAreSubtotals="1" fieldPosition="0">
        <references count="2">
          <reference field="4294967294" count="1">
            <x v="2"/>
          </reference>
          <reference field="0" count="1" selected="0">
            <x v="0"/>
          </reference>
        </references>
      </pivotArea>
    </format>
    <format dxfId="7">
      <pivotArea outline="0" fieldPosition="0">
        <references count="1">
          <reference field="4294967294" count="1">
            <x v="3"/>
          </reference>
        </references>
      </pivotArea>
    </format>
    <format dxfId="6">
      <pivotArea collapsedLevelsAreSubtotals="1" fieldPosition="0">
        <references count="2">
          <reference field="4294967294" count="1">
            <x v="2"/>
          </reference>
          <reference field="0" count="1" selected="0">
            <x v="1"/>
          </reference>
        </references>
      </pivotArea>
    </format>
    <format dxfId="5">
      <pivotArea field="0" grandCol="1" collapsedLevelsAreSubtotals="1" axis="axisCol" fieldPosition="0">
        <references count="1">
          <reference field="4294967294" count="1">
            <x v="2"/>
          </reference>
        </references>
      </pivotArea>
    </format>
  </formats>
  <pivotHierarchies count="22">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country].&amp;[India]"/>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dia Vs NZ.xlsx!Staff">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E08A54-4154-4134-B42B-D90D528B016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D13" firstHeaderRow="0" firstDataRow="1" firstDataCol="1"/>
  <pivotFields count="3">
    <pivotField axis="axisRow" allDrilled="1" subtotalTop="0" showAll="0" defaultSubtotal="0" defaultAttributeDrillState="1">
      <items count="5">
        <item x="2"/>
        <item x="0"/>
        <item x="1"/>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Count of Name" fld="1" subtotal="count" baseField="0" baseItem="0"/>
    <dataField name="Average of Salary" fld="2" subtotal="average" baseField="0" baseItem="0" numFmtId="166"/>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8D2477-08E3-4AB2-AAED-B85103E4D8F3}"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3:C40"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4">
        <item x="0"/>
        <item x="1"/>
        <item x="2"/>
        <item x="3"/>
      </items>
    </pivotField>
    <pivotField dataField="1" subtotalTop="0" showAll="0" defaultSubtotal="0"/>
  </pivotFields>
  <rowFields count="2">
    <field x="1"/>
    <field x="0"/>
  </rowFields>
  <rowItems count="37">
    <i>
      <x/>
    </i>
    <i r="1">
      <x/>
    </i>
    <i r="1">
      <x v="1"/>
    </i>
    <i r="1">
      <x v="2"/>
    </i>
    <i r="1">
      <x v="3"/>
    </i>
    <i r="1">
      <x v="4"/>
    </i>
    <i r="1">
      <x v="5"/>
    </i>
    <i r="1">
      <x v="6"/>
    </i>
    <i r="1">
      <x v="7"/>
    </i>
    <i>
      <x v="1"/>
    </i>
    <i r="1">
      <x v="8"/>
    </i>
    <i r="1">
      <x v="9"/>
    </i>
    <i r="1">
      <x v="10"/>
    </i>
    <i r="1">
      <x v="11"/>
    </i>
    <i r="1">
      <x/>
    </i>
    <i r="1">
      <x v="1"/>
    </i>
    <i r="1">
      <x v="2"/>
    </i>
    <i r="1">
      <x v="3"/>
    </i>
    <i r="1">
      <x v="4"/>
    </i>
    <i r="1">
      <x v="5"/>
    </i>
    <i r="1">
      <x v="6"/>
    </i>
    <i r="1">
      <x v="7"/>
    </i>
    <i>
      <x v="2"/>
    </i>
    <i r="1">
      <x v="8"/>
    </i>
    <i r="1">
      <x v="9"/>
    </i>
    <i r="1">
      <x v="10"/>
    </i>
    <i r="1">
      <x v="11"/>
    </i>
    <i r="1">
      <x/>
    </i>
    <i r="1">
      <x v="1"/>
    </i>
    <i r="1">
      <x v="2"/>
    </i>
    <i r="1">
      <x v="3"/>
    </i>
    <i r="1">
      <x v="4"/>
    </i>
    <i r="1">
      <x v="5"/>
    </i>
    <i>
      <x v="3"/>
    </i>
    <i r="1">
      <x v="9"/>
    </i>
    <i r="1">
      <x v="11"/>
    </i>
    <i t="grand">
      <x/>
    </i>
  </rowItems>
  <colItems count="1">
    <i/>
  </colItems>
  <dataFields count="1">
    <dataField name="Count of Name" fld="2" subtotal="count" showDataAs="runTotal" baseField="0" baseItem="0"/>
  </dataFields>
  <chartFormats count="1">
    <chartFormat chart="1"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B1B2F5-346D-48F6-B082-25119BF46590}"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4:I10" firstHeaderRow="1" firstDataRow="1" firstDataCol="1" rowPageCount="1" colPageCount="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s>
  <rowFields count="1">
    <field x="0"/>
  </rowFields>
  <rowItems count="6">
    <i>
      <x v="4"/>
    </i>
    <i>
      <x v="2"/>
    </i>
    <i>
      <x/>
    </i>
    <i>
      <x v="3"/>
    </i>
    <i>
      <x v="1"/>
    </i>
    <i t="grand">
      <x/>
    </i>
  </rowItems>
  <colItems count="1">
    <i/>
  </colItems>
  <pageFields count="1">
    <pageField fld="1" hier="7" name="[Staff].[country].&amp;[NZ]" cap="NZ"/>
  </pageFields>
  <dataFields count="1">
    <dataField name="Count of Name" fld="2"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country].&amp;[NZ]"/>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AA6631-51C4-4BEB-A8EF-8A8C3BCEF6FF}"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C9" firstHeaderRow="1" firstDataRow="1" firstDataCol="1" rowPageCount="1" colPageCount="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s>
  <rowFields count="1">
    <field x="0"/>
  </rowFields>
  <rowItems count="6">
    <i>
      <x v="2"/>
    </i>
    <i>
      <x v="4"/>
    </i>
    <i>
      <x/>
    </i>
    <i>
      <x v="3"/>
    </i>
    <i>
      <x v="1"/>
    </i>
    <i t="grand">
      <x/>
    </i>
  </rowItems>
  <colItems count="1">
    <i/>
  </colItems>
  <pageFields count="1">
    <pageField fld="1" hier="7" name="[Staff].[country].&amp;[India]" cap="India"/>
  </pageFields>
  <dataFields count="1">
    <dataField name="Count of Name" fld="2"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country].&amp;[India]"/>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5958E56A-66E2-42B4-A552-C0A75E19787D}" autoFormatId="16" applyNumberFormats="0" applyBorderFormats="0" applyFontFormats="0" applyPatternFormats="0" applyAlignmentFormats="0" applyWidthHeightFormats="0">
  <queryTableRefresh nextId="17" unboundColumnsRight="3">
    <queryTableFields count="11">
      <queryTableField id="1" name="Name" tableColumnId="1"/>
      <queryTableField id="2" name="Gender" tableColumnId="2"/>
      <queryTableField id="3" name="Age" tableColumnId="3"/>
      <queryTableField id="4" name="Rating" tableColumnId="4"/>
      <queryTableField id="5" name="Date Joined" tableColumnId="5"/>
      <queryTableField id="6" name="Department" tableColumnId="6"/>
      <queryTableField id="7" name="Salary" tableColumnId="7"/>
      <queryTableField id="8" name="country" tableColumnId="8"/>
      <queryTableField id="9" dataBound="0" tableColumnId="9"/>
      <queryTableField id="15" dataBound="0"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9B3BAA3-D19F-4999-97DF-BDB6157D489E}" sourceName="[Staff].[country]">
  <pivotTables>
    <pivotTable tabId="5" name="PivotTable1"/>
  </pivotTables>
  <data>
    <olap pivotCacheId="601072736">
      <levels count="2">
        <level uniqueName="[Staff].[country].[(All)]" sourceCaption="(All)" count="0"/>
        <level uniqueName="[Staff].[country].[country]" sourceCaption="country" count="2">
          <ranges>
            <range startItem="0">
              <i n="[Staff].[country].&amp;[India]" c="India"/>
              <i n="[Staff].[country].&amp;[NZ]" c="NZ"/>
            </range>
          </ranges>
        </level>
      </levels>
      <selections count="1">
        <selection n="[Staff].[country].&amp;[Ind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5D0EC94-2D6E-4437-8051-5823E83AF6B2}" cache="Slicer_country" caption="country" level="1"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813E60-CA9B-4023-9A9D-A156B87A17B2}" name="NZ" displayName="NZ" ref="A3:G104" totalsRowCount="1">
  <autoFilter ref="A3:G103" xr:uid="{56813E60-CA9B-4023-9A9D-A156B87A17B2}"/>
  <tableColumns count="7">
    <tableColumn id="1" xr3:uid="{416FBE66-84FC-4868-ACB0-949500BBF8F4}" name="Name" totalsRowLabel="Total"/>
    <tableColumn id="2" xr3:uid="{6EA14268-881E-45B7-AEAF-707E25C66043}" name="Gender"/>
    <tableColumn id="3" xr3:uid="{FF4E42C9-452F-42B3-92D1-6280DA937399}" name="Department"/>
    <tableColumn id="4" xr3:uid="{8DE12A92-316B-4E4C-A07C-5FF78AA144CA}" name="Age" totalsRowFunction="average"/>
    <tableColumn id="5" xr3:uid="{0AEAC69D-E93A-433B-A2BD-594F9F07A37F}" name="Date Joined"/>
    <tableColumn id="6" xr3:uid="{E9BE31B4-71FF-4E26-9756-B9B55C9A5AB7}" name="Salary" totalsRowFunction="average" dataDxfId="20" totalsRowDxfId="19"/>
    <tableColumn id="7" xr3:uid="{081F4500-F551-4B74-94B2-EAC2E05DC1D8}" name="Rating" totalsRowFunction="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8E8FE7-B42C-4342-97C9-63865F6E1FFE}" name="India" displayName="India" ref="B2:H115" totalsRowCount="1">
  <autoFilter ref="B2:H114" xr:uid="{F68E8FE7-B42C-4342-97C9-63865F6E1FFE}"/>
  <tableColumns count="7">
    <tableColumn id="1" xr3:uid="{BBC453C0-88DF-492B-BC06-D07E860CC8B4}" name="Name" totalsRowLabel="Total"/>
    <tableColumn id="2" xr3:uid="{19FA4F94-9046-47B5-877D-13A8BF70FBE9}" name="Gender"/>
    <tableColumn id="3" xr3:uid="{C6B694D4-428C-4120-8052-C253D0FED0E4}" name="Age"/>
    <tableColumn id="4" xr3:uid="{1C72686C-DDBD-40D7-A847-F935587C0B6A}" name="Rating"/>
    <tableColumn id="5" xr3:uid="{7557941C-ECBC-4089-A60A-9871768AF9C4}" name="Date Joined" dataDxfId="18"/>
    <tableColumn id="6" xr3:uid="{7A219D11-132E-4173-9E2E-003E36AD99A3}" name="Department"/>
    <tableColumn id="7" xr3:uid="{AC1FEAD6-DE00-4B60-8902-51B2A38D8440}" name="Salary" totalsRowFunction="sum"/>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FEBE3C-1F64-489F-9514-ED82DAE5DEBE}" name="Staff" displayName="Staff" ref="A1:K184" tableType="queryTable" totalsRowShown="0">
  <autoFilter ref="A1:K184" xr:uid="{89FEBE3C-1F64-489F-9514-ED82DAE5DEBE}"/>
  <tableColumns count="11">
    <tableColumn id="1" xr3:uid="{8D6048C9-E889-4A2F-9FA5-E7F58E6E15C8}" uniqueName="1" name="Name" queryTableFieldId="1" dataDxfId="17"/>
    <tableColumn id="2" xr3:uid="{77BC9299-5CD0-4131-A1C2-6487F60EDDBD}" uniqueName="2" name="Gender" queryTableFieldId="2" dataDxfId="16"/>
    <tableColumn id="3" xr3:uid="{47B3C937-2D28-4926-A496-89FFA1240C8E}" uniqueName="3" name="Age" queryTableFieldId="3" dataDxfId="15"/>
    <tableColumn id="4" xr3:uid="{F0AF94A1-6720-434C-B794-97336DB8730B}" uniqueName="4" name="Rating" queryTableFieldId="4" dataDxfId="14"/>
    <tableColumn id="5" xr3:uid="{F84B9D15-5271-437B-8531-224C3412CB03}" uniqueName="5" name="Date Joined" queryTableFieldId="5" dataDxfId="13"/>
    <tableColumn id="6" xr3:uid="{C991866F-B1F6-4C40-B8B0-BFE7F0661054}" uniqueName="6" name="Department" queryTableFieldId="6" dataDxfId="12"/>
    <tableColumn id="7" xr3:uid="{EA4D2171-72E1-4981-A0F6-7F26669F8115}" uniqueName="7" name="Salary" queryTableFieldId="7"/>
    <tableColumn id="8" xr3:uid="{1A38A33B-7EAD-45E5-BC35-57338FF7985E}" uniqueName="8" name="country" queryTableFieldId="8"/>
    <tableColumn id="9" xr3:uid="{297ED559-AC7D-4FEF-91AA-848C96C02B41}" uniqueName="9" name="Tenure" queryTableFieldId="9" dataDxfId="11">
      <calculatedColumnFormula>(TODAY()-Staff[[#This Row],[Date Joined]])/365</calculatedColumnFormula>
    </tableColumn>
    <tableColumn id="15" xr3:uid="{B2326C93-786D-46A3-9DDB-F455E3FF67EA}" uniqueName="15" name="Bonus" queryTableFieldId="15" dataDxfId="10">
      <calculatedColumnFormula>ROUNDUP(IF(Staff[[#This Row],[Tenure]]&gt;2,3%,2%)*Staff[[#This Row],[Salary]],0)</calculatedColumnFormula>
    </tableColumn>
    <tableColumn id="16" xr3:uid="{577178FA-C8F6-4B9F-A9BE-2F03FE60E4DB}" uniqueName="16" name="Rating in number" queryTableFieldId="16" dataDxfId="9">
      <calculatedColumnFormula>VLOOKUP(Staff[[#This Row],[Rating]], 'mapping '!$B$2:$C$6, 2, FALSE)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6F78F-DE26-4EC5-93D8-AEA6746D7902}">
  <dimension ref="A1:G104"/>
  <sheetViews>
    <sheetView workbookViewId="0">
      <selection activeCell="I17" sqref="I17"/>
    </sheetView>
  </sheetViews>
  <sheetFormatPr defaultRowHeight="14.4"/>
  <cols>
    <col min="1" max="1" width="19.6640625" bestFit="1" customWidth="1"/>
    <col min="2" max="2" width="35.77734375" bestFit="1" customWidth="1"/>
    <col min="3" max="3" width="13.33203125" bestFit="1" customWidth="1"/>
    <col min="4" max="4" width="6.44140625" bestFit="1" customWidth="1"/>
    <col min="5" max="5" width="13" bestFit="1" customWidth="1"/>
    <col min="6" max="6" width="11.88671875" bestFit="1" customWidth="1"/>
    <col min="7" max="7" width="13.109375" bestFit="1" customWidth="1"/>
  </cols>
  <sheetData>
    <row r="1" spans="1:7" ht="39.6">
      <c r="A1" s="1"/>
      <c r="B1" s="2" t="s">
        <v>110</v>
      </c>
      <c r="C1" s="1"/>
      <c r="D1" s="1"/>
      <c r="E1" s="1"/>
    </row>
    <row r="3" spans="1:7">
      <c r="A3" t="s">
        <v>0</v>
      </c>
      <c r="B3" t="s">
        <v>1</v>
      </c>
      <c r="C3" t="s">
        <v>2</v>
      </c>
      <c r="D3" t="s">
        <v>3</v>
      </c>
      <c r="E3" s="3" t="s">
        <v>4</v>
      </c>
      <c r="F3" t="s">
        <v>5</v>
      </c>
      <c r="G3" t="s">
        <v>6</v>
      </c>
    </row>
    <row r="4" spans="1:7">
      <c r="A4" t="s">
        <v>58</v>
      </c>
      <c r="B4" t="s">
        <v>15</v>
      </c>
      <c r="C4" t="s">
        <v>19</v>
      </c>
      <c r="D4">
        <v>22</v>
      </c>
      <c r="E4" s="3">
        <v>44446</v>
      </c>
      <c r="F4" s="4">
        <v>112780</v>
      </c>
      <c r="G4" t="s">
        <v>13</v>
      </c>
    </row>
    <row r="5" spans="1:7">
      <c r="A5" t="s">
        <v>70</v>
      </c>
      <c r="B5" t="s">
        <v>15</v>
      </c>
      <c r="C5" t="s">
        <v>9</v>
      </c>
      <c r="D5">
        <v>46</v>
      </c>
      <c r="E5" s="3">
        <v>44758</v>
      </c>
      <c r="F5" s="4">
        <v>70610</v>
      </c>
      <c r="G5" t="s">
        <v>16</v>
      </c>
    </row>
    <row r="6" spans="1:7">
      <c r="A6" t="s">
        <v>75</v>
      </c>
      <c r="B6" t="s">
        <v>8</v>
      </c>
      <c r="C6" t="s">
        <v>19</v>
      </c>
      <c r="D6">
        <v>28</v>
      </c>
      <c r="E6" s="3">
        <v>44357</v>
      </c>
      <c r="F6" s="4">
        <v>53240</v>
      </c>
      <c r="G6" t="s">
        <v>16</v>
      </c>
    </row>
    <row r="7" spans="1:7">
      <c r="A7" t="s">
        <v>49</v>
      </c>
      <c r="C7" t="s">
        <v>21</v>
      </c>
      <c r="D7">
        <v>37</v>
      </c>
      <c r="E7" s="3">
        <v>44146</v>
      </c>
      <c r="F7" s="4">
        <v>115440</v>
      </c>
      <c r="G7" t="s">
        <v>24</v>
      </c>
    </row>
    <row r="8" spans="1:7">
      <c r="A8" t="s">
        <v>65</v>
      </c>
      <c r="B8" t="s">
        <v>15</v>
      </c>
      <c r="C8" t="s">
        <v>19</v>
      </c>
      <c r="D8">
        <v>32</v>
      </c>
      <c r="E8" s="3">
        <v>44465</v>
      </c>
      <c r="F8" s="4">
        <v>53540</v>
      </c>
      <c r="G8" t="s">
        <v>16</v>
      </c>
    </row>
    <row r="9" spans="1:7">
      <c r="A9" t="s">
        <v>81</v>
      </c>
      <c r="B9" t="s">
        <v>8</v>
      </c>
      <c r="C9" t="s">
        <v>9</v>
      </c>
      <c r="D9">
        <v>30</v>
      </c>
      <c r="E9" s="3">
        <v>44861</v>
      </c>
      <c r="F9" s="4">
        <v>112570</v>
      </c>
      <c r="G9" t="s">
        <v>16</v>
      </c>
    </row>
    <row r="10" spans="1:7">
      <c r="A10" t="s">
        <v>51</v>
      </c>
      <c r="B10" t="s">
        <v>15</v>
      </c>
      <c r="C10" t="s">
        <v>9</v>
      </c>
      <c r="D10">
        <v>33</v>
      </c>
      <c r="E10" s="3">
        <v>44701</v>
      </c>
      <c r="F10" s="4">
        <v>48530</v>
      </c>
      <c r="G10" t="s">
        <v>13</v>
      </c>
    </row>
    <row r="11" spans="1:7">
      <c r="A11" t="s">
        <v>61</v>
      </c>
      <c r="B11" t="s">
        <v>8</v>
      </c>
      <c r="C11" t="s">
        <v>12</v>
      </c>
      <c r="D11">
        <v>24</v>
      </c>
      <c r="E11" s="3">
        <v>44148</v>
      </c>
      <c r="F11" s="4">
        <v>62780</v>
      </c>
      <c r="G11" t="s">
        <v>16</v>
      </c>
    </row>
    <row r="12" spans="1:7">
      <c r="A12" t="s">
        <v>82</v>
      </c>
      <c r="B12" t="s">
        <v>15</v>
      </c>
      <c r="C12" t="s">
        <v>12</v>
      </c>
      <c r="D12">
        <v>33</v>
      </c>
      <c r="E12" s="3">
        <v>44509</v>
      </c>
      <c r="F12" s="4">
        <v>53870</v>
      </c>
      <c r="G12" t="s">
        <v>16</v>
      </c>
    </row>
    <row r="13" spans="1:7">
      <c r="A13" t="s">
        <v>60</v>
      </c>
      <c r="B13" t="s">
        <v>8</v>
      </c>
      <c r="C13" t="s">
        <v>56</v>
      </c>
      <c r="D13">
        <v>27</v>
      </c>
      <c r="E13" s="3">
        <v>44122</v>
      </c>
      <c r="F13" s="4">
        <v>119110</v>
      </c>
      <c r="G13" t="s">
        <v>16</v>
      </c>
    </row>
    <row r="14" spans="1:7">
      <c r="A14" t="s">
        <v>87</v>
      </c>
      <c r="B14" t="s">
        <v>15</v>
      </c>
      <c r="C14" t="s">
        <v>12</v>
      </c>
      <c r="D14">
        <v>29</v>
      </c>
      <c r="E14" s="3">
        <v>44180</v>
      </c>
      <c r="F14" s="4">
        <v>112110</v>
      </c>
      <c r="G14" t="s">
        <v>24</v>
      </c>
    </row>
    <row r="15" spans="1:7">
      <c r="A15" t="s">
        <v>76</v>
      </c>
      <c r="B15" t="s">
        <v>15</v>
      </c>
      <c r="C15" t="s">
        <v>19</v>
      </c>
      <c r="D15">
        <v>25</v>
      </c>
      <c r="E15" s="3">
        <v>44383</v>
      </c>
      <c r="F15" s="4">
        <v>65700</v>
      </c>
      <c r="G15" t="s">
        <v>16</v>
      </c>
    </row>
    <row r="16" spans="1:7">
      <c r="A16" t="s">
        <v>97</v>
      </c>
      <c r="B16" t="s">
        <v>15</v>
      </c>
      <c r="C16" t="s">
        <v>12</v>
      </c>
      <c r="D16">
        <v>37</v>
      </c>
      <c r="E16" s="3">
        <v>44701</v>
      </c>
      <c r="F16" s="4">
        <v>69070</v>
      </c>
      <c r="G16" t="s">
        <v>16</v>
      </c>
    </row>
    <row r="17" spans="1:7">
      <c r="A17" t="s">
        <v>22</v>
      </c>
      <c r="B17" t="s">
        <v>15</v>
      </c>
      <c r="C17" t="s">
        <v>12</v>
      </c>
      <c r="D17">
        <v>20</v>
      </c>
      <c r="E17" s="3">
        <v>44459</v>
      </c>
      <c r="F17" s="4">
        <v>107700</v>
      </c>
      <c r="G17" t="s">
        <v>16</v>
      </c>
    </row>
    <row r="18" spans="1:7">
      <c r="A18" t="s">
        <v>84</v>
      </c>
      <c r="B18" t="s">
        <v>8</v>
      </c>
      <c r="C18" t="s">
        <v>12</v>
      </c>
      <c r="D18">
        <v>32</v>
      </c>
      <c r="E18" s="3">
        <v>44354</v>
      </c>
      <c r="F18" s="4">
        <v>43840</v>
      </c>
      <c r="G18" t="s">
        <v>13</v>
      </c>
    </row>
    <row r="19" spans="1:7">
      <c r="A19" t="s">
        <v>105</v>
      </c>
      <c r="B19" t="s">
        <v>15</v>
      </c>
      <c r="C19" t="s">
        <v>9</v>
      </c>
      <c r="D19">
        <v>40</v>
      </c>
      <c r="E19" s="3">
        <v>44263</v>
      </c>
      <c r="F19" s="4">
        <v>99750</v>
      </c>
      <c r="G19" t="s">
        <v>16</v>
      </c>
    </row>
    <row r="20" spans="1:7">
      <c r="A20" t="s">
        <v>47</v>
      </c>
      <c r="B20" t="s">
        <v>15</v>
      </c>
      <c r="C20" t="s">
        <v>9</v>
      </c>
      <c r="D20">
        <v>21</v>
      </c>
      <c r="E20" s="3">
        <v>44104</v>
      </c>
      <c r="F20" s="4">
        <v>37920</v>
      </c>
      <c r="G20" t="s">
        <v>16</v>
      </c>
    </row>
    <row r="21" spans="1:7">
      <c r="A21" t="s">
        <v>31</v>
      </c>
      <c r="B21" t="s">
        <v>15</v>
      </c>
      <c r="C21" t="s">
        <v>9</v>
      </c>
      <c r="D21">
        <v>21</v>
      </c>
      <c r="E21" s="3">
        <v>44762</v>
      </c>
      <c r="F21" s="4">
        <v>57090</v>
      </c>
      <c r="G21" t="s">
        <v>16</v>
      </c>
    </row>
    <row r="22" spans="1:7">
      <c r="A22" t="s">
        <v>30</v>
      </c>
      <c r="B22" t="s">
        <v>8</v>
      </c>
      <c r="C22" t="s">
        <v>12</v>
      </c>
      <c r="D22">
        <v>31</v>
      </c>
      <c r="E22" s="3">
        <v>44145</v>
      </c>
      <c r="F22" s="4">
        <v>41980</v>
      </c>
      <c r="G22" t="s">
        <v>16</v>
      </c>
    </row>
    <row r="23" spans="1:7">
      <c r="A23" t="s">
        <v>78</v>
      </c>
      <c r="B23" t="s">
        <v>15</v>
      </c>
      <c r="C23" t="s">
        <v>56</v>
      </c>
      <c r="D23">
        <v>21</v>
      </c>
      <c r="E23" s="3">
        <v>44242</v>
      </c>
      <c r="F23" s="4">
        <v>75880</v>
      </c>
      <c r="G23" t="s">
        <v>16</v>
      </c>
    </row>
    <row r="24" spans="1:7">
      <c r="A24" t="s">
        <v>36</v>
      </c>
      <c r="B24" t="s">
        <v>8</v>
      </c>
      <c r="C24" t="s">
        <v>21</v>
      </c>
      <c r="D24">
        <v>34</v>
      </c>
      <c r="E24" s="3">
        <v>44653</v>
      </c>
      <c r="F24" s="4">
        <v>58940</v>
      </c>
      <c r="G24" t="s">
        <v>16</v>
      </c>
    </row>
    <row r="25" spans="1:7">
      <c r="A25" t="s">
        <v>27</v>
      </c>
      <c r="B25" t="s">
        <v>8</v>
      </c>
      <c r="C25" t="s">
        <v>21</v>
      </c>
      <c r="D25">
        <v>30</v>
      </c>
      <c r="E25" s="3">
        <v>44389</v>
      </c>
      <c r="F25" s="4">
        <v>67910</v>
      </c>
      <c r="G25" t="s">
        <v>24</v>
      </c>
    </row>
    <row r="26" spans="1:7">
      <c r="A26" t="s">
        <v>26</v>
      </c>
      <c r="B26" t="s">
        <v>8</v>
      </c>
      <c r="C26" t="s">
        <v>12</v>
      </c>
      <c r="D26">
        <v>31</v>
      </c>
      <c r="E26" s="3">
        <v>44663</v>
      </c>
      <c r="F26" s="4">
        <v>58100</v>
      </c>
      <c r="G26" t="s">
        <v>16</v>
      </c>
    </row>
    <row r="27" spans="1:7">
      <c r="A27" t="s">
        <v>53</v>
      </c>
      <c r="B27" t="s">
        <v>15</v>
      </c>
      <c r="C27" t="s">
        <v>21</v>
      </c>
      <c r="D27">
        <v>27</v>
      </c>
      <c r="E27" s="3">
        <v>44567</v>
      </c>
      <c r="F27" s="4">
        <v>48980</v>
      </c>
      <c r="G27" t="s">
        <v>16</v>
      </c>
    </row>
    <row r="28" spans="1:7">
      <c r="A28" t="s">
        <v>20</v>
      </c>
      <c r="C28" t="s">
        <v>21</v>
      </c>
      <c r="D28">
        <v>30</v>
      </c>
      <c r="E28" s="3">
        <v>44597</v>
      </c>
      <c r="F28" s="4">
        <v>64000</v>
      </c>
      <c r="G28" t="s">
        <v>16</v>
      </c>
    </row>
    <row r="29" spans="1:7">
      <c r="A29" t="s">
        <v>7</v>
      </c>
      <c r="B29" t="s">
        <v>8</v>
      </c>
      <c r="C29" t="s">
        <v>9</v>
      </c>
      <c r="D29">
        <v>42</v>
      </c>
      <c r="E29" s="3">
        <v>44779</v>
      </c>
      <c r="F29" s="4">
        <v>75000</v>
      </c>
      <c r="G29" t="s">
        <v>10</v>
      </c>
    </row>
    <row r="30" spans="1:7">
      <c r="A30" t="s">
        <v>74</v>
      </c>
      <c r="B30" t="s">
        <v>8</v>
      </c>
      <c r="C30" t="s">
        <v>12</v>
      </c>
      <c r="D30">
        <v>40</v>
      </c>
      <c r="E30" s="3">
        <v>44337</v>
      </c>
      <c r="F30" s="4">
        <v>87620</v>
      </c>
      <c r="G30" t="s">
        <v>16</v>
      </c>
    </row>
    <row r="31" spans="1:7">
      <c r="A31" t="s">
        <v>44</v>
      </c>
      <c r="B31" t="s">
        <v>8</v>
      </c>
      <c r="C31" t="s">
        <v>12</v>
      </c>
      <c r="D31">
        <v>29</v>
      </c>
      <c r="E31" s="3">
        <v>44023</v>
      </c>
      <c r="F31" s="4">
        <v>34980</v>
      </c>
      <c r="G31" t="s">
        <v>16</v>
      </c>
    </row>
    <row r="32" spans="1:7">
      <c r="A32" t="s">
        <v>35</v>
      </c>
      <c r="B32" t="s">
        <v>8</v>
      </c>
      <c r="C32" t="s">
        <v>21</v>
      </c>
      <c r="D32">
        <v>28</v>
      </c>
      <c r="E32" s="3">
        <v>44185</v>
      </c>
      <c r="F32" s="4">
        <v>75970</v>
      </c>
      <c r="G32" t="s">
        <v>16</v>
      </c>
    </row>
    <row r="33" spans="1:7">
      <c r="A33" t="s">
        <v>38</v>
      </c>
      <c r="B33" t="s">
        <v>8</v>
      </c>
      <c r="C33" t="s">
        <v>21</v>
      </c>
      <c r="D33">
        <v>34</v>
      </c>
      <c r="E33" s="3">
        <v>44612</v>
      </c>
      <c r="F33" s="4">
        <v>60130</v>
      </c>
      <c r="G33" t="s">
        <v>16</v>
      </c>
    </row>
    <row r="34" spans="1:7">
      <c r="A34" t="s">
        <v>41</v>
      </c>
      <c r="B34" t="s">
        <v>8</v>
      </c>
      <c r="C34" t="s">
        <v>12</v>
      </c>
      <c r="D34">
        <v>33</v>
      </c>
      <c r="E34" s="3">
        <v>44374</v>
      </c>
      <c r="F34" s="4">
        <v>75480</v>
      </c>
      <c r="G34" t="s">
        <v>42</v>
      </c>
    </row>
    <row r="35" spans="1:7">
      <c r="A35" t="s">
        <v>40</v>
      </c>
      <c r="B35" t="s">
        <v>15</v>
      </c>
      <c r="C35" t="s">
        <v>9</v>
      </c>
      <c r="D35">
        <v>33</v>
      </c>
      <c r="E35" s="3">
        <v>44164</v>
      </c>
      <c r="F35" s="4">
        <v>115920</v>
      </c>
      <c r="G35" t="s">
        <v>16</v>
      </c>
    </row>
    <row r="36" spans="1:7">
      <c r="A36" t="s">
        <v>48</v>
      </c>
      <c r="B36" t="s">
        <v>8</v>
      </c>
      <c r="C36" t="s">
        <v>19</v>
      </c>
      <c r="D36">
        <v>36</v>
      </c>
      <c r="E36" s="3">
        <v>44494</v>
      </c>
      <c r="F36" s="4">
        <v>78540</v>
      </c>
      <c r="G36" t="s">
        <v>16</v>
      </c>
    </row>
    <row r="37" spans="1:7">
      <c r="A37" t="s">
        <v>34</v>
      </c>
      <c r="B37" t="s">
        <v>15</v>
      </c>
      <c r="C37" t="s">
        <v>9</v>
      </c>
      <c r="D37">
        <v>25</v>
      </c>
      <c r="E37" s="3">
        <v>44726</v>
      </c>
      <c r="F37" s="4">
        <v>109190</v>
      </c>
      <c r="G37" t="s">
        <v>13</v>
      </c>
    </row>
    <row r="38" spans="1:7">
      <c r="A38" t="s">
        <v>73</v>
      </c>
      <c r="B38" t="s">
        <v>8</v>
      </c>
      <c r="C38" t="s">
        <v>19</v>
      </c>
      <c r="D38">
        <v>34</v>
      </c>
      <c r="E38" s="3">
        <v>44721</v>
      </c>
      <c r="F38" s="4">
        <v>49630</v>
      </c>
      <c r="G38" t="s">
        <v>24</v>
      </c>
    </row>
    <row r="39" spans="1:7">
      <c r="A39" t="s">
        <v>107</v>
      </c>
      <c r="B39" t="s">
        <v>8</v>
      </c>
      <c r="C39" t="s">
        <v>9</v>
      </c>
      <c r="D39">
        <v>28</v>
      </c>
      <c r="E39" s="3">
        <v>44630</v>
      </c>
      <c r="F39" s="4">
        <v>99970</v>
      </c>
      <c r="G39" t="s">
        <v>16</v>
      </c>
    </row>
    <row r="40" spans="1:7">
      <c r="A40" t="s">
        <v>71</v>
      </c>
      <c r="B40" t="s">
        <v>8</v>
      </c>
      <c r="C40" t="s">
        <v>12</v>
      </c>
      <c r="D40">
        <v>33</v>
      </c>
      <c r="E40" s="3">
        <v>44190</v>
      </c>
      <c r="F40" s="4">
        <v>96140</v>
      </c>
      <c r="G40" t="s">
        <v>16</v>
      </c>
    </row>
    <row r="41" spans="1:7">
      <c r="A41" t="s">
        <v>50</v>
      </c>
      <c r="B41" t="s">
        <v>15</v>
      </c>
      <c r="C41" t="s">
        <v>9</v>
      </c>
      <c r="D41">
        <v>31</v>
      </c>
      <c r="E41" s="3">
        <v>44724</v>
      </c>
      <c r="F41" s="4">
        <v>103550</v>
      </c>
      <c r="G41" t="s">
        <v>16</v>
      </c>
    </row>
    <row r="42" spans="1:7">
      <c r="A42" t="s">
        <v>14</v>
      </c>
      <c r="B42" t="s">
        <v>15</v>
      </c>
      <c r="C42" t="s">
        <v>12</v>
      </c>
      <c r="D42">
        <v>31</v>
      </c>
      <c r="E42" s="3">
        <v>44511</v>
      </c>
      <c r="F42" s="4">
        <v>48950</v>
      </c>
      <c r="G42" t="s">
        <v>16</v>
      </c>
    </row>
    <row r="43" spans="1:7">
      <c r="A43" t="s">
        <v>63</v>
      </c>
      <c r="B43" t="s">
        <v>15</v>
      </c>
      <c r="C43" t="s">
        <v>21</v>
      </c>
      <c r="D43">
        <v>24</v>
      </c>
      <c r="E43" s="3">
        <v>44436</v>
      </c>
      <c r="F43" s="4">
        <v>52610</v>
      </c>
      <c r="G43" t="s">
        <v>24</v>
      </c>
    </row>
    <row r="44" spans="1:7">
      <c r="A44" t="s">
        <v>72</v>
      </c>
      <c r="B44" t="s">
        <v>8</v>
      </c>
      <c r="C44" t="s">
        <v>9</v>
      </c>
      <c r="D44">
        <v>36</v>
      </c>
      <c r="E44" s="3">
        <v>44529</v>
      </c>
      <c r="F44" s="4">
        <v>78390</v>
      </c>
      <c r="G44" t="s">
        <v>16</v>
      </c>
    </row>
    <row r="45" spans="1:7">
      <c r="A45" t="s">
        <v>88</v>
      </c>
      <c r="B45" t="s">
        <v>8</v>
      </c>
      <c r="C45" t="s">
        <v>21</v>
      </c>
      <c r="D45">
        <v>33</v>
      </c>
      <c r="E45" s="3">
        <v>44809</v>
      </c>
      <c r="F45" s="4">
        <v>86570</v>
      </c>
      <c r="G45" t="s">
        <v>16</v>
      </c>
    </row>
    <row r="46" spans="1:7">
      <c r="A46" t="s">
        <v>92</v>
      </c>
      <c r="B46" t="s">
        <v>8</v>
      </c>
      <c r="C46" t="s">
        <v>12</v>
      </c>
      <c r="D46">
        <v>27</v>
      </c>
      <c r="E46" s="3">
        <v>44686</v>
      </c>
      <c r="F46" s="4">
        <v>83750</v>
      </c>
      <c r="G46" t="s">
        <v>16</v>
      </c>
    </row>
    <row r="47" spans="1:7">
      <c r="A47" t="s">
        <v>102</v>
      </c>
      <c r="B47" t="s">
        <v>8</v>
      </c>
      <c r="C47" t="s">
        <v>21</v>
      </c>
      <c r="D47">
        <v>34</v>
      </c>
      <c r="E47" s="3">
        <v>44445</v>
      </c>
      <c r="F47" s="4">
        <v>92450</v>
      </c>
      <c r="G47" t="s">
        <v>16</v>
      </c>
    </row>
    <row r="48" spans="1:7">
      <c r="A48" t="s">
        <v>64</v>
      </c>
      <c r="B48" t="s">
        <v>15</v>
      </c>
      <c r="C48" t="s">
        <v>12</v>
      </c>
      <c r="D48">
        <v>20</v>
      </c>
      <c r="E48" s="3">
        <v>44183</v>
      </c>
      <c r="F48" s="4">
        <v>112650</v>
      </c>
      <c r="G48" t="s">
        <v>16</v>
      </c>
    </row>
    <row r="49" spans="1:7">
      <c r="A49" t="s">
        <v>104</v>
      </c>
      <c r="B49" t="s">
        <v>15</v>
      </c>
      <c r="C49" t="s">
        <v>9</v>
      </c>
      <c r="D49">
        <v>20</v>
      </c>
      <c r="E49" s="3">
        <v>44744</v>
      </c>
      <c r="F49" s="4">
        <v>79570</v>
      </c>
      <c r="G49" t="s">
        <v>16</v>
      </c>
    </row>
    <row r="50" spans="1:7">
      <c r="A50" t="s">
        <v>91</v>
      </c>
      <c r="B50" t="s">
        <v>8</v>
      </c>
      <c r="C50" t="s">
        <v>19</v>
      </c>
      <c r="D50">
        <v>20</v>
      </c>
      <c r="E50" s="3">
        <v>44537</v>
      </c>
      <c r="F50" s="4">
        <v>68900</v>
      </c>
      <c r="G50" t="s">
        <v>24</v>
      </c>
    </row>
    <row r="51" spans="1:7">
      <c r="A51" t="s">
        <v>39</v>
      </c>
      <c r="B51" t="s">
        <v>8</v>
      </c>
      <c r="C51" t="s">
        <v>12</v>
      </c>
      <c r="D51">
        <v>25</v>
      </c>
      <c r="E51" s="3">
        <v>44694</v>
      </c>
      <c r="F51" s="4">
        <v>80700</v>
      </c>
      <c r="G51" t="s">
        <v>13</v>
      </c>
    </row>
    <row r="52" spans="1:7">
      <c r="A52" t="s">
        <v>100</v>
      </c>
      <c r="B52" t="s">
        <v>15</v>
      </c>
      <c r="C52" t="s">
        <v>9</v>
      </c>
      <c r="D52">
        <v>19</v>
      </c>
      <c r="E52" s="3">
        <v>44277</v>
      </c>
      <c r="F52" s="4">
        <v>58960</v>
      </c>
      <c r="G52" t="s">
        <v>16</v>
      </c>
    </row>
    <row r="53" spans="1:7">
      <c r="A53" t="s">
        <v>106</v>
      </c>
      <c r="B53" t="s">
        <v>15</v>
      </c>
      <c r="C53" t="s">
        <v>12</v>
      </c>
      <c r="D53">
        <v>36</v>
      </c>
      <c r="E53" s="3">
        <v>44019</v>
      </c>
      <c r="F53" s="4">
        <v>118840</v>
      </c>
      <c r="G53" t="s">
        <v>16</v>
      </c>
    </row>
    <row r="54" spans="1:7">
      <c r="A54" t="s">
        <v>29</v>
      </c>
      <c r="B54" t="s">
        <v>15</v>
      </c>
      <c r="C54" t="s">
        <v>21</v>
      </c>
      <c r="D54">
        <v>28</v>
      </c>
      <c r="E54" s="3">
        <v>44041</v>
      </c>
      <c r="F54" s="4">
        <v>48170</v>
      </c>
      <c r="G54" t="s">
        <v>13</v>
      </c>
    </row>
    <row r="55" spans="1:7">
      <c r="A55" t="s">
        <v>108</v>
      </c>
      <c r="B55" t="s">
        <v>8</v>
      </c>
      <c r="C55" t="s">
        <v>56</v>
      </c>
      <c r="D55">
        <v>32</v>
      </c>
      <c r="E55" s="3">
        <v>44400</v>
      </c>
      <c r="F55" s="4">
        <v>45510</v>
      </c>
      <c r="G55" t="s">
        <v>16</v>
      </c>
    </row>
    <row r="56" spans="1:7">
      <c r="A56" t="s">
        <v>64</v>
      </c>
      <c r="B56" t="s">
        <v>15</v>
      </c>
      <c r="C56" t="s">
        <v>9</v>
      </c>
      <c r="D56">
        <v>34</v>
      </c>
      <c r="E56" s="3">
        <v>44703</v>
      </c>
      <c r="F56" s="4">
        <v>112650</v>
      </c>
      <c r="G56" t="s">
        <v>16</v>
      </c>
    </row>
    <row r="57" spans="1:7">
      <c r="A57" t="s">
        <v>83</v>
      </c>
      <c r="B57" t="s">
        <v>8</v>
      </c>
      <c r="C57" t="s">
        <v>9</v>
      </c>
      <c r="D57">
        <v>36</v>
      </c>
      <c r="E57" s="3">
        <v>44085</v>
      </c>
      <c r="F57" s="4">
        <v>114890</v>
      </c>
      <c r="G57" t="s">
        <v>16</v>
      </c>
    </row>
    <row r="58" spans="1:7">
      <c r="A58" t="s">
        <v>67</v>
      </c>
      <c r="B58" t="s">
        <v>15</v>
      </c>
      <c r="C58" t="s">
        <v>12</v>
      </c>
      <c r="D58">
        <v>30</v>
      </c>
      <c r="E58" s="3">
        <v>44850</v>
      </c>
      <c r="F58" s="4">
        <v>69710</v>
      </c>
      <c r="G58" t="s">
        <v>16</v>
      </c>
    </row>
    <row r="59" spans="1:7">
      <c r="A59" t="s">
        <v>94</v>
      </c>
      <c r="B59" t="s">
        <v>15</v>
      </c>
      <c r="C59" t="s">
        <v>21</v>
      </c>
      <c r="D59">
        <v>36</v>
      </c>
      <c r="E59" s="3">
        <v>44333</v>
      </c>
      <c r="F59" s="4">
        <v>71380</v>
      </c>
      <c r="G59" t="s">
        <v>16</v>
      </c>
    </row>
    <row r="60" spans="1:7">
      <c r="A60" t="s">
        <v>33</v>
      </c>
      <c r="B60" t="s">
        <v>8</v>
      </c>
      <c r="C60" t="s">
        <v>19</v>
      </c>
      <c r="D60">
        <v>38</v>
      </c>
      <c r="E60" s="3">
        <v>44377</v>
      </c>
      <c r="F60" s="4">
        <v>109160</v>
      </c>
      <c r="G60" t="s">
        <v>10</v>
      </c>
    </row>
    <row r="61" spans="1:7">
      <c r="A61" t="s">
        <v>98</v>
      </c>
      <c r="B61" t="s">
        <v>15</v>
      </c>
      <c r="C61" t="s">
        <v>9</v>
      </c>
      <c r="D61">
        <v>27</v>
      </c>
      <c r="E61" s="3">
        <v>44609</v>
      </c>
      <c r="F61" s="4">
        <v>113280</v>
      </c>
      <c r="G61" t="s">
        <v>42</v>
      </c>
    </row>
    <row r="62" spans="1:7">
      <c r="A62" t="s">
        <v>25</v>
      </c>
      <c r="B62" t="s">
        <v>15</v>
      </c>
      <c r="C62" t="s">
        <v>12</v>
      </c>
      <c r="D62">
        <v>30</v>
      </c>
      <c r="E62" s="3">
        <v>44273</v>
      </c>
      <c r="F62" s="4">
        <v>69120</v>
      </c>
      <c r="G62" t="s">
        <v>16</v>
      </c>
    </row>
    <row r="63" spans="1:7">
      <c r="A63" t="s">
        <v>55</v>
      </c>
      <c r="B63" t="s">
        <v>8</v>
      </c>
      <c r="C63" t="s">
        <v>56</v>
      </c>
      <c r="D63">
        <v>37</v>
      </c>
      <c r="E63" s="3">
        <v>44451</v>
      </c>
      <c r="F63" s="4">
        <v>118100</v>
      </c>
      <c r="G63" t="s">
        <v>16</v>
      </c>
    </row>
    <row r="64" spans="1:7">
      <c r="A64" t="s">
        <v>62</v>
      </c>
      <c r="B64" t="s">
        <v>8</v>
      </c>
      <c r="C64" t="s">
        <v>9</v>
      </c>
      <c r="D64">
        <v>22</v>
      </c>
      <c r="E64" s="3">
        <v>44450</v>
      </c>
      <c r="F64" s="4">
        <v>76900</v>
      </c>
      <c r="G64" t="s">
        <v>13</v>
      </c>
    </row>
    <row r="65" spans="1:7">
      <c r="A65" t="s">
        <v>17</v>
      </c>
      <c r="B65" t="s">
        <v>8</v>
      </c>
      <c r="C65" t="s">
        <v>12</v>
      </c>
      <c r="D65">
        <v>43</v>
      </c>
      <c r="E65" s="3">
        <v>45045</v>
      </c>
      <c r="F65" s="4">
        <v>114870</v>
      </c>
      <c r="G65" t="s">
        <v>16</v>
      </c>
    </row>
    <row r="66" spans="1:7">
      <c r="A66" t="s">
        <v>52</v>
      </c>
      <c r="C66" t="s">
        <v>12</v>
      </c>
      <c r="D66">
        <v>32</v>
      </c>
      <c r="E66" s="3">
        <v>44774</v>
      </c>
      <c r="F66" s="4">
        <v>91310</v>
      </c>
      <c r="G66" t="s">
        <v>16</v>
      </c>
    </row>
    <row r="67" spans="1:7">
      <c r="A67" t="s">
        <v>43</v>
      </c>
      <c r="B67" t="s">
        <v>8</v>
      </c>
      <c r="C67" t="s">
        <v>9</v>
      </c>
      <c r="D67">
        <v>28</v>
      </c>
      <c r="E67" s="3">
        <v>44486</v>
      </c>
      <c r="F67" s="4">
        <v>104770</v>
      </c>
      <c r="G67" t="s">
        <v>16</v>
      </c>
    </row>
    <row r="68" spans="1:7">
      <c r="A68" t="s">
        <v>89</v>
      </c>
      <c r="B68" t="s">
        <v>15</v>
      </c>
      <c r="C68" t="s">
        <v>19</v>
      </c>
      <c r="D68">
        <v>27</v>
      </c>
      <c r="E68" s="3">
        <v>44134</v>
      </c>
      <c r="F68" s="4">
        <v>54970</v>
      </c>
      <c r="G68" t="s">
        <v>16</v>
      </c>
    </row>
    <row r="69" spans="1:7">
      <c r="A69" t="s">
        <v>11</v>
      </c>
      <c r="C69" t="s">
        <v>12</v>
      </c>
      <c r="D69">
        <v>26</v>
      </c>
      <c r="E69" s="3">
        <v>44271</v>
      </c>
      <c r="F69" s="4">
        <v>90700</v>
      </c>
      <c r="G69" t="s">
        <v>13</v>
      </c>
    </row>
    <row r="70" spans="1:7">
      <c r="A70" t="s">
        <v>109</v>
      </c>
      <c r="B70" t="s">
        <v>8</v>
      </c>
      <c r="C70" t="s">
        <v>19</v>
      </c>
      <c r="D70">
        <v>38</v>
      </c>
      <c r="E70" s="3">
        <v>44329</v>
      </c>
      <c r="F70" s="4">
        <v>56870</v>
      </c>
      <c r="G70" t="s">
        <v>13</v>
      </c>
    </row>
    <row r="71" spans="1:7">
      <c r="A71" t="s">
        <v>77</v>
      </c>
      <c r="B71" t="s">
        <v>8</v>
      </c>
      <c r="C71" t="s">
        <v>19</v>
      </c>
      <c r="D71">
        <v>25</v>
      </c>
      <c r="E71" s="3">
        <v>44205</v>
      </c>
      <c r="F71" s="4">
        <v>92700</v>
      </c>
      <c r="G71" t="s">
        <v>16</v>
      </c>
    </row>
    <row r="72" spans="1:7">
      <c r="A72" t="s">
        <v>32</v>
      </c>
      <c r="B72" t="s">
        <v>8</v>
      </c>
      <c r="C72" t="s">
        <v>21</v>
      </c>
      <c r="D72">
        <v>21</v>
      </c>
      <c r="E72" s="3">
        <v>44317</v>
      </c>
      <c r="F72" s="4">
        <v>65920</v>
      </c>
      <c r="G72" t="s">
        <v>16</v>
      </c>
    </row>
    <row r="73" spans="1:7">
      <c r="A73" t="s">
        <v>59</v>
      </c>
      <c r="B73" t="s">
        <v>15</v>
      </c>
      <c r="C73" t="s">
        <v>9</v>
      </c>
      <c r="D73">
        <v>26</v>
      </c>
      <c r="E73" s="3">
        <v>44225</v>
      </c>
      <c r="F73" s="4">
        <v>47360</v>
      </c>
      <c r="G73" t="s">
        <v>16</v>
      </c>
    </row>
    <row r="74" spans="1:7">
      <c r="A74" t="s">
        <v>37</v>
      </c>
      <c r="B74" t="s">
        <v>15</v>
      </c>
      <c r="C74" t="s">
        <v>9</v>
      </c>
      <c r="D74">
        <v>30</v>
      </c>
      <c r="E74" s="3">
        <v>44666</v>
      </c>
      <c r="F74" s="4">
        <v>60570</v>
      </c>
      <c r="G74" t="s">
        <v>16</v>
      </c>
    </row>
    <row r="75" spans="1:7">
      <c r="A75" t="s">
        <v>96</v>
      </c>
      <c r="B75" t="s">
        <v>8</v>
      </c>
      <c r="C75" t="s">
        <v>9</v>
      </c>
      <c r="D75">
        <v>28</v>
      </c>
      <c r="E75" s="3">
        <v>44649</v>
      </c>
      <c r="F75" s="4">
        <v>104120</v>
      </c>
      <c r="G75" t="s">
        <v>16</v>
      </c>
    </row>
    <row r="76" spans="1:7">
      <c r="A76" t="s">
        <v>23</v>
      </c>
      <c r="B76" t="s">
        <v>15</v>
      </c>
      <c r="C76" t="s">
        <v>12</v>
      </c>
      <c r="D76">
        <v>37</v>
      </c>
      <c r="E76" s="3">
        <v>44338</v>
      </c>
      <c r="F76" s="4">
        <v>88050</v>
      </c>
      <c r="G76" t="s">
        <v>24</v>
      </c>
    </row>
    <row r="77" spans="1:7">
      <c r="A77" t="s">
        <v>103</v>
      </c>
      <c r="B77" t="s">
        <v>15</v>
      </c>
      <c r="C77" t="s">
        <v>12</v>
      </c>
      <c r="D77">
        <v>24</v>
      </c>
      <c r="E77" s="3">
        <v>44686</v>
      </c>
      <c r="F77" s="4">
        <v>100420</v>
      </c>
      <c r="G77" t="s">
        <v>16</v>
      </c>
    </row>
    <row r="78" spans="1:7">
      <c r="A78" t="s">
        <v>54</v>
      </c>
      <c r="B78" t="s">
        <v>8</v>
      </c>
      <c r="C78" t="s">
        <v>9</v>
      </c>
      <c r="D78">
        <v>30</v>
      </c>
      <c r="E78" s="3">
        <v>44850</v>
      </c>
      <c r="F78" s="4">
        <v>114180</v>
      </c>
      <c r="G78" t="s">
        <v>16</v>
      </c>
    </row>
    <row r="79" spans="1:7">
      <c r="A79" t="s">
        <v>86</v>
      </c>
      <c r="B79" t="s">
        <v>8</v>
      </c>
      <c r="C79" t="s">
        <v>12</v>
      </c>
      <c r="D79">
        <v>21</v>
      </c>
      <c r="E79" s="3">
        <v>44678</v>
      </c>
      <c r="F79" s="4">
        <v>33920</v>
      </c>
      <c r="G79" t="s">
        <v>16</v>
      </c>
    </row>
    <row r="80" spans="1:7">
      <c r="A80" t="s">
        <v>69</v>
      </c>
      <c r="B80" t="s">
        <v>15</v>
      </c>
      <c r="C80" t="s">
        <v>9</v>
      </c>
      <c r="D80">
        <v>23</v>
      </c>
      <c r="E80" s="3">
        <v>44440</v>
      </c>
      <c r="F80" s="4">
        <v>106460</v>
      </c>
      <c r="G80" t="s">
        <v>16</v>
      </c>
    </row>
    <row r="81" spans="1:7">
      <c r="A81" t="s">
        <v>57</v>
      </c>
      <c r="B81" t="s">
        <v>15</v>
      </c>
      <c r="C81" t="s">
        <v>9</v>
      </c>
      <c r="D81">
        <v>35</v>
      </c>
      <c r="E81" s="3">
        <v>44727</v>
      </c>
      <c r="F81" s="4">
        <v>40400</v>
      </c>
      <c r="G81" t="s">
        <v>16</v>
      </c>
    </row>
    <row r="82" spans="1:7">
      <c r="A82" t="s">
        <v>68</v>
      </c>
      <c r="B82" t="s">
        <v>15</v>
      </c>
      <c r="C82" t="s">
        <v>21</v>
      </c>
      <c r="D82">
        <v>27</v>
      </c>
      <c r="E82" s="3">
        <v>44236</v>
      </c>
      <c r="F82" s="4">
        <v>91650</v>
      </c>
      <c r="G82" t="s">
        <v>13</v>
      </c>
    </row>
    <row r="83" spans="1:7">
      <c r="A83" t="s">
        <v>99</v>
      </c>
      <c r="B83" t="s">
        <v>15</v>
      </c>
      <c r="C83" t="s">
        <v>19</v>
      </c>
      <c r="D83">
        <v>43</v>
      </c>
      <c r="E83" s="3">
        <v>44620</v>
      </c>
      <c r="F83" s="4">
        <v>36040</v>
      </c>
      <c r="G83" t="s">
        <v>16</v>
      </c>
    </row>
    <row r="84" spans="1:7">
      <c r="A84" t="s">
        <v>101</v>
      </c>
      <c r="B84" t="s">
        <v>8</v>
      </c>
      <c r="C84" t="s">
        <v>12</v>
      </c>
      <c r="D84">
        <v>40</v>
      </c>
      <c r="E84" s="3">
        <v>44381</v>
      </c>
      <c r="F84" s="4">
        <v>104410</v>
      </c>
      <c r="G84" t="s">
        <v>16</v>
      </c>
    </row>
    <row r="85" spans="1:7">
      <c r="A85" t="s">
        <v>85</v>
      </c>
      <c r="B85" t="s">
        <v>15</v>
      </c>
      <c r="C85" t="s">
        <v>21</v>
      </c>
      <c r="D85">
        <v>30</v>
      </c>
      <c r="E85" s="3">
        <v>44606</v>
      </c>
      <c r="F85" s="4">
        <v>96800</v>
      </c>
      <c r="G85" t="s">
        <v>16</v>
      </c>
    </row>
    <row r="86" spans="1:7">
      <c r="A86" t="s">
        <v>28</v>
      </c>
      <c r="B86" t="s">
        <v>8</v>
      </c>
      <c r="C86" t="s">
        <v>21</v>
      </c>
      <c r="D86">
        <v>34</v>
      </c>
      <c r="E86" s="3">
        <v>44459</v>
      </c>
      <c r="F86" s="4">
        <v>85000</v>
      </c>
      <c r="G86" t="s">
        <v>16</v>
      </c>
    </row>
    <row r="87" spans="1:7">
      <c r="A87" t="s">
        <v>80</v>
      </c>
      <c r="B87" t="s">
        <v>15</v>
      </c>
      <c r="C87" t="s">
        <v>19</v>
      </c>
      <c r="D87">
        <v>28</v>
      </c>
      <c r="E87" s="3">
        <v>44820</v>
      </c>
      <c r="F87" s="4">
        <v>43510</v>
      </c>
      <c r="G87" t="s">
        <v>42</v>
      </c>
    </row>
    <row r="88" spans="1:7">
      <c r="A88" t="s">
        <v>79</v>
      </c>
      <c r="B88" t="s">
        <v>15</v>
      </c>
      <c r="C88" t="s">
        <v>21</v>
      </c>
      <c r="D88">
        <v>33</v>
      </c>
      <c r="E88" s="3">
        <v>44243</v>
      </c>
      <c r="F88" s="4">
        <v>59430</v>
      </c>
      <c r="G88" t="s">
        <v>16</v>
      </c>
    </row>
    <row r="89" spans="1:7">
      <c r="A89" t="s">
        <v>93</v>
      </c>
      <c r="B89" t="s">
        <v>8</v>
      </c>
      <c r="C89" t="s">
        <v>21</v>
      </c>
      <c r="D89">
        <v>33</v>
      </c>
      <c r="E89" s="3">
        <v>44067</v>
      </c>
      <c r="F89" s="4">
        <v>65360</v>
      </c>
      <c r="G89" t="s">
        <v>16</v>
      </c>
    </row>
    <row r="90" spans="1:7">
      <c r="A90" t="s">
        <v>66</v>
      </c>
      <c r="B90" t="s">
        <v>8</v>
      </c>
      <c r="C90" t="s">
        <v>9</v>
      </c>
      <c r="D90">
        <v>32</v>
      </c>
      <c r="E90" s="3">
        <v>44611</v>
      </c>
      <c r="F90" s="4">
        <v>41570</v>
      </c>
      <c r="G90" t="s">
        <v>16</v>
      </c>
    </row>
    <row r="91" spans="1:7">
      <c r="A91" t="s">
        <v>95</v>
      </c>
      <c r="B91" t="s">
        <v>8</v>
      </c>
      <c r="C91" t="s">
        <v>12</v>
      </c>
      <c r="D91">
        <v>33</v>
      </c>
      <c r="E91" s="3">
        <v>44312</v>
      </c>
      <c r="F91" s="4">
        <v>75280</v>
      </c>
      <c r="G91" t="s">
        <v>16</v>
      </c>
    </row>
    <row r="92" spans="1:7">
      <c r="A92" t="s">
        <v>18</v>
      </c>
      <c r="B92" t="s">
        <v>15</v>
      </c>
      <c r="C92" t="s">
        <v>19</v>
      </c>
      <c r="D92">
        <v>33</v>
      </c>
      <c r="E92" s="3">
        <v>44385</v>
      </c>
      <c r="F92" s="4">
        <v>74550</v>
      </c>
      <c r="G92" t="s">
        <v>16</v>
      </c>
    </row>
    <row r="93" spans="1:7">
      <c r="A93" t="s">
        <v>45</v>
      </c>
      <c r="B93" t="s">
        <v>15</v>
      </c>
      <c r="C93" t="s">
        <v>9</v>
      </c>
      <c r="D93">
        <v>30</v>
      </c>
      <c r="E93" s="3">
        <v>44701</v>
      </c>
      <c r="F93" s="4">
        <v>67950</v>
      </c>
      <c r="G93" t="s">
        <v>16</v>
      </c>
    </row>
    <row r="94" spans="1:7">
      <c r="A94" t="s">
        <v>90</v>
      </c>
      <c r="B94" t="s">
        <v>15</v>
      </c>
      <c r="C94" t="s">
        <v>21</v>
      </c>
      <c r="D94">
        <v>42</v>
      </c>
      <c r="E94" s="3">
        <v>44731</v>
      </c>
      <c r="F94" s="4">
        <v>70270</v>
      </c>
      <c r="G94" t="s">
        <v>24</v>
      </c>
    </row>
    <row r="95" spans="1:7">
      <c r="A95" t="s">
        <v>46</v>
      </c>
      <c r="B95" t="s">
        <v>15</v>
      </c>
      <c r="C95" t="s">
        <v>9</v>
      </c>
      <c r="D95">
        <v>26</v>
      </c>
      <c r="E95" s="3">
        <v>44411</v>
      </c>
      <c r="F95" s="4">
        <v>53540</v>
      </c>
      <c r="G95" t="s">
        <v>16</v>
      </c>
    </row>
    <row r="96" spans="1:7">
      <c r="A96" t="s">
        <v>58</v>
      </c>
      <c r="B96" t="s">
        <v>15</v>
      </c>
      <c r="C96" t="s">
        <v>19</v>
      </c>
      <c r="D96">
        <v>22</v>
      </c>
      <c r="E96" s="3">
        <v>44446</v>
      </c>
      <c r="F96" s="4">
        <v>112780</v>
      </c>
      <c r="G96" t="s">
        <v>13</v>
      </c>
    </row>
    <row r="97" spans="1:7">
      <c r="A97" t="s">
        <v>70</v>
      </c>
      <c r="B97" t="s">
        <v>15</v>
      </c>
      <c r="C97" t="s">
        <v>9</v>
      </c>
      <c r="D97">
        <v>46</v>
      </c>
      <c r="E97" s="3">
        <v>44758</v>
      </c>
      <c r="F97" s="4">
        <v>70610</v>
      </c>
      <c r="G97" t="s">
        <v>16</v>
      </c>
    </row>
    <row r="98" spans="1:7">
      <c r="A98" t="s">
        <v>75</v>
      </c>
      <c r="B98" t="s">
        <v>8</v>
      </c>
      <c r="C98" t="s">
        <v>19</v>
      </c>
      <c r="D98">
        <v>28</v>
      </c>
      <c r="E98" s="3">
        <v>44357</v>
      </c>
      <c r="F98" s="4">
        <v>53240</v>
      </c>
      <c r="G98" t="s">
        <v>16</v>
      </c>
    </row>
    <row r="99" spans="1:7">
      <c r="A99" t="s">
        <v>49</v>
      </c>
      <c r="C99" t="s">
        <v>21</v>
      </c>
      <c r="D99">
        <v>37</v>
      </c>
      <c r="E99" s="3">
        <v>44146</v>
      </c>
      <c r="F99" s="4">
        <v>115440</v>
      </c>
      <c r="G99" t="s">
        <v>24</v>
      </c>
    </row>
    <row r="100" spans="1:7">
      <c r="A100" t="s">
        <v>65</v>
      </c>
      <c r="B100" t="s">
        <v>15</v>
      </c>
      <c r="C100" t="s">
        <v>19</v>
      </c>
      <c r="D100">
        <v>32</v>
      </c>
      <c r="E100" s="3">
        <v>44465</v>
      </c>
      <c r="F100" s="4">
        <v>53540</v>
      </c>
      <c r="G100" t="s">
        <v>16</v>
      </c>
    </row>
    <row r="101" spans="1:7">
      <c r="A101" t="s">
        <v>81</v>
      </c>
      <c r="B101" t="s">
        <v>8</v>
      </c>
      <c r="C101" t="s">
        <v>9</v>
      </c>
      <c r="D101">
        <v>30</v>
      </c>
      <c r="E101" s="3">
        <v>44861</v>
      </c>
      <c r="F101" s="4">
        <v>112570</v>
      </c>
      <c r="G101" t="s">
        <v>16</v>
      </c>
    </row>
    <row r="102" spans="1:7">
      <c r="A102" t="s">
        <v>51</v>
      </c>
      <c r="B102" t="s">
        <v>15</v>
      </c>
      <c r="C102" t="s">
        <v>9</v>
      </c>
      <c r="D102">
        <v>33</v>
      </c>
      <c r="E102" s="3">
        <v>44701</v>
      </c>
      <c r="F102" s="4">
        <v>48530</v>
      </c>
      <c r="G102" t="s">
        <v>13</v>
      </c>
    </row>
    <row r="103" spans="1:7">
      <c r="A103" t="s">
        <v>61</v>
      </c>
      <c r="B103" t="s">
        <v>8</v>
      </c>
      <c r="C103" t="s">
        <v>12</v>
      </c>
      <c r="D103">
        <v>24</v>
      </c>
      <c r="E103" s="3">
        <v>44148</v>
      </c>
      <c r="F103" s="4">
        <v>62780</v>
      </c>
      <c r="G103" t="s">
        <v>16</v>
      </c>
    </row>
    <row r="104" spans="1:7">
      <c r="A104" t="s">
        <v>203</v>
      </c>
      <c r="D104">
        <f>SUBTOTAL(101,NZ[Age])</f>
        <v>30.52</v>
      </c>
      <c r="F104" s="4">
        <f>SUBTOTAL(101,NZ[Salary])</f>
        <v>77472.100000000006</v>
      </c>
      <c r="G104">
        <f>SUBTOTAL(103,NZ[Rating])</f>
        <v>100</v>
      </c>
    </row>
  </sheetData>
  <conditionalFormatting sqref="A4:A103">
    <cfRule type="duplicateValues" dxfId="4" priority="1"/>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EE1D0-AF05-4CED-9962-C98F561A4F3C}">
  <dimension ref="B1:I10"/>
  <sheetViews>
    <sheetView tabSelected="1" workbookViewId="0">
      <selection activeCell="M26" sqref="M26"/>
    </sheetView>
  </sheetViews>
  <sheetFormatPr defaultRowHeight="14.4"/>
  <cols>
    <col min="2" max="2" width="12.5546875" bestFit="1" customWidth="1"/>
    <col min="3" max="3" width="13.88671875" bestFit="1" customWidth="1"/>
    <col min="7" max="7" width="5" customWidth="1"/>
    <col min="8" max="8" width="12.5546875" bestFit="1" customWidth="1"/>
    <col min="9" max="9" width="13.88671875" bestFit="1" customWidth="1"/>
  </cols>
  <sheetData>
    <row r="1" spans="2:9">
      <c r="B1" s="17" t="s">
        <v>204</v>
      </c>
      <c r="C1" t="s" vm="1">
        <v>205</v>
      </c>
    </row>
    <row r="2" spans="2:9">
      <c r="H2" s="17" t="s">
        <v>204</v>
      </c>
      <c r="I2" t="s" vm="2">
        <v>207</v>
      </c>
    </row>
    <row r="3" spans="2:9">
      <c r="B3" s="17" t="s">
        <v>234</v>
      </c>
      <c r="C3" t="s">
        <v>227</v>
      </c>
    </row>
    <row r="4" spans="2:9">
      <c r="B4" s="18" t="s">
        <v>9</v>
      </c>
      <c r="C4">
        <v>28</v>
      </c>
      <c r="H4" s="17" t="s">
        <v>234</v>
      </c>
      <c r="I4" t="s">
        <v>227</v>
      </c>
    </row>
    <row r="5" spans="2:9">
      <c r="B5" s="18" t="s">
        <v>12</v>
      </c>
      <c r="C5">
        <v>27</v>
      </c>
      <c r="H5" s="18" t="s">
        <v>12</v>
      </c>
      <c r="I5">
        <v>27</v>
      </c>
    </row>
    <row r="6" spans="2:9">
      <c r="B6" s="18" t="s">
        <v>21</v>
      </c>
      <c r="C6">
        <v>19</v>
      </c>
      <c r="H6" s="18" t="s">
        <v>9</v>
      </c>
      <c r="I6">
        <v>27</v>
      </c>
    </row>
    <row r="7" spans="2:9">
      <c r="B7" s="18" t="s">
        <v>19</v>
      </c>
      <c r="C7">
        <v>14</v>
      </c>
      <c r="H7" s="18" t="s">
        <v>21</v>
      </c>
      <c r="I7">
        <v>19</v>
      </c>
    </row>
    <row r="8" spans="2:9">
      <c r="B8" s="18" t="s">
        <v>56</v>
      </c>
      <c r="C8">
        <v>4</v>
      </c>
      <c r="H8" s="18" t="s">
        <v>19</v>
      </c>
      <c r="I8">
        <v>14</v>
      </c>
    </row>
    <row r="9" spans="2:9">
      <c r="B9" s="18" t="s">
        <v>226</v>
      </c>
      <c r="C9">
        <v>92</v>
      </c>
      <c r="H9" s="18" t="s">
        <v>56</v>
      </c>
      <c r="I9">
        <v>4</v>
      </c>
    </row>
    <row r="10" spans="2:9">
      <c r="H10" s="18" t="s">
        <v>226</v>
      </c>
      <c r="I10">
        <v>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C4-DDE2-4CB7-AC70-5AB590F93835}">
  <dimension ref="B2:H115"/>
  <sheetViews>
    <sheetView workbookViewId="0">
      <selection activeCell="F104" sqref="F104"/>
    </sheetView>
  </sheetViews>
  <sheetFormatPr defaultRowHeight="14.4"/>
  <cols>
    <col min="2" max="2" width="27.21875" bestFit="1" customWidth="1"/>
    <col min="3" max="5" width="9.44140625" customWidth="1"/>
    <col min="6" max="6" width="12.6640625" customWidth="1"/>
    <col min="7" max="7" width="13" customWidth="1"/>
    <col min="8" max="8" width="9.44140625" customWidth="1"/>
  </cols>
  <sheetData>
    <row r="2" spans="2:8">
      <c r="B2" t="s">
        <v>0</v>
      </c>
      <c r="C2" t="s">
        <v>1</v>
      </c>
      <c r="D2" t="s">
        <v>3</v>
      </c>
      <c r="E2" t="s">
        <v>6</v>
      </c>
      <c r="F2" t="s">
        <v>4</v>
      </c>
      <c r="G2" t="s">
        <v>2</v>
      </c>
      <c r="H2" t="s">
        <v>5</v>
      </c>
    </row>
    <row r="3" spans="2:8">
      <c r="B3" t="s">
        <v>156</v>
      </c>
      <c r="C3" t="s">
        <v>15</v>
      </c>
      <c r="D3">
        <v>20</v>
      </c>
      <c r="E3" t="s">
        <v>16</v>
      </c>
      <c r="F3" s="3">
        <v>44122</v>
      </c>
      <c r="G3" t="s">
        <v>12</v>
      </c>
      <c r="H3">
        <v>112650</v>
      </c>
    </row>
    <row r="4" spans="2:8">
      <c r="B4" t="s">
        <v>176</v>
      </c>
      <c r="C4" t="s">
        <v>8</v>
      </c>
      <c r="D4">
        <v>32</v>
      </c>
      <c r="E4" t="s">
        <v>13</v>
      </c>
      <c r="F4" s="3">
        <v>44293</v>
      </c>
      <c r="G4" t="s">
        <v>12</v>
      </c>
      <c r="H4">
        <v>43840</v>
      </c>
    </row>
    <row r="5" spans="2:8">
      <c r="B5" t="s">
        <v>143</v>
      </c>
      <c r="C5" t="s">
        <v>15</v>
      </c>
      <c r="D5">
        <v>31</v>
      </c>
      <c r="E5" t="s">
        <v>16</v>
      </c>
      <c r="F5" s="3">
        <v>44663</v>
      </c>
      <c r="G5" t="s">
        <v>9</v>
      </c>
      <c r="H5">
        <v>103550</v>
      </c>
    </row>
    <row r="6" spans="2:8">
      <c r="B6" t="s">
        <v>201</v>
      </c>
      <c r="C6" t="s">
        <v>8</v>
      </c>
      <c r="D6">
        <v>32</v>
      </c>
      <c r="E6" t="s">
        <v>16</v>
      </c>
      <c r="F6" s="3">
        <v>44339</v>
      </c>
      <c r="G6" t="s">
        <v>56</v>
      </c>
      <c r="H6">
        <v>45510</v>
      </c>
    </row>
    <row r="7" spans="2:8">
      <c r="B7" t="s">
        <v>142</v>
      </c>
      <c r="D7">
        <v>37</v>
      </c>
      <c r="E7" t="s">
        <v>24</v>
      </c>
      <c r="F7" s="3">
        <v>44085</v>
      </c>
      <c r="G7" t="s">
        <v>21</v>
      </c>
      <c r="H7">
        <v>115440</v>
      </c>
    </row>
    <row r="8" spans="2:8">
      <c r="B8" t="s">
        <v>202</v>
      </c>
      <c r="C8" t="s">
        <v>8</v>
      </c>
      <c r="D8">
        <v>38</v>
      </c>
      <c r="E8" t="s">
        <v>13</v>
      </c>
      <c r="F8" s="3">
        <v>44268</v>
      </c>
      <c r="G8" t="s">
        <v>19</v>
      </c>
      <c r="H8">
        <v>56870</v>
      </c>
    </row>
    <row r="9" spans="2:8">
      <c r="B9" t="s">
        <v>169</v>
      </c>
      <c r="C9" t="s">
        <v>8</v>
      </c>
      <c r="D9">
        <v>25</v>
      </c>
      <c r="E9" t="s">
        <v>16</v>
      </c>
      <c r="F9" s="3">
        <v>44144</v>
      </c>
      <c r="G9" t="s">
        <v>19</v>
      </c>
      <c r="H9">
        <v>92700</v>
      </c>
    </row>
    <row r="10" spans="2:8">
      <c r="B10" t="s">
        <v>145</v>
      </c>
      <c r="D10">
        <v>32</v>
      </c>
      <c r="E10" t="s">
        <v>16</v>
      </c>
      <c r="F10" s="3">
        <v>44713</v>
      </c>
      <c r="G10" t="s">
        <v>12</v>
      </c>
      <c r="H10">
        <v>91310</v>
      </c>
    </row>
    <row r="11" spans="2:8">
      <c r="B11" t="s">
        <v>115</v>
      </c>
      <c r="C11" t="s">
        <v>15</v>
      </c>
      <c r="D11">
        <v>33</v>
      </c>
      <c r="E11" t="s">
        <v>16</v>
      </c>
      <c r="F11" s="3">
        <v>44324</v>
      </c>
      <c r="G11" t="s">
        <v>19</v>
      </c>
      <c r="H11">
        <v>74550</v>
      </c>
    </row>
    <row r="12" spans="2:8">
      <c r="B12" t="s">
        <v>128</v>
      </c>
      <c r="C12" t="s">
        <v>15</v>
      </c>
      <c r="D12">
        <v>25</v>
      </c>
      <c r="E12" t="s">
        <v>13</v>
      </c>
      <c r="F12" s="3">
        <v>44665</v>
      </c>
      <c r="G12" t="s">
        <v>9</v>
      </c>
      <c r="H12">
        <v>109190</v>
      </c>
    </row>
    <row r="13" spans="2:8">
      <c r="B13" t="s">
        <v>194</v>
      </c>
      <c r="C13" t="s">
        <v>8</v>
      </c>
      <c r="D13">
        <v>40</v>
      </c>
      <c r="E13" t="s">
        <v>16</v>
      </c>
      <c r="F13" s="3">
        <v>44320</v>
      </c>
      <c r="G13" t="s">
        <v>12</v>
      </c>
      <c r="H13">
        <v>104410</v>
      </c>
    </row>
    <row r="14" spans="2:8">
      <c r="B14" t="s">
        <v>177</v>
      </c>
      <c r="C14" t="s">
        <v>15</v>
      </c>
      <c r="D14">
        <v>30</v>
      </c>
      <c r="E14" t="s">
        <v>16</v>
      </c>
      <c r="F14" s="3">
        <v>44544</v>
      </c>
      <c r="G14" t="s">
        <v>21</v>
      </c>
      <c r="H14">
        <v>96800</v>
      </c>
    </row>
    <row r="15" spans="2:8">
      <c r="B15" t="s">
        <v>123</v>
      </c>
      <c r="C15" t="s">
        <v>15</v>
      </c>
      <c r="D15">
        <v>28</v>
      </c>
      <c r="E15" t="s">
        <v>13</v>
      </c>
      <c r="F15" s="3">
        <v>43980</v>
      </c>
      <c r="G15" t="s">
        <v>21</v>
      </c>
      <c r="H15">
        <v>48170</v>
      </c>
    </row>
    <row r="16" spans="2:8">
      <c r="B16" t="s">
        <v>140</v>
      </c>
      <c r="C16" t="s">
        <v>15</v>
      </c>
      <c r="D16">
        <v>21</v>
      </c>
      <c r="E16" t="s">
        <v>16</v>
      </c>
      <c r="F16" s="3">
        <v>44042</v>
      </c>
      <c r="G16" t="s">
        <v>9</v>
      </c>
      <c r="H16">
        <v>37920</v>
      </c>
    </row>
    <row r="17" spans="2:8">
      <c r="B17" t="s">
        <v>178</v>
      </c>
      <c r="C17" t="s">
        <v>15</v>
      </c>
      <c r="D17">
        <v>34</v>
      </c>
      <c r="E17" t="s">
        <v>16</v>
      </c>
      <c r="F17" s="3">
        <v>44642</v>
      </c>
      <c r="G17" t="s">
        <v>9</v>
      </c>
      <c r="H17">
        <v>112650</v>
      </c>
    </row>
    <row r="18" spans="2:8">
      <c r="B18" t="s">
        <v>165</v>
      </c>
      <c r="C18" t="s">
        <v>8</v>
      </c>
      <c r="D18">
        <v>34</v>
      </c>
      <c r="E18" t="s">
        <v>24</v>
      </c>
      <c r="F18" s="3">
        <v>44660</v>
      </c>
      <c r="G18" t="s">
        <v>19</v>
      </c>
      <c r="H18">
        <v>49630</v>
      </c>
    </row>
    <row r="19" spans="2:8">
      <c r="B19" t="s">
        <v>199</v>
      </c>
      <c r="C19" t="s">
        <v>15</v>
      </c>
      <c r="D19">
        <v>36</v>
      </c>
      <c r="E19" t="s">
        <v>16</v>
      </c>
      <c r="F19" s="3">
        <v>43958</v>
      </c>
      <c r="G19" t="s">
        <v>12</v>
      </c>
      <c r="H19">
        <v>118840</v>
      </c>
    </row>
    <row r="20" spans="2:8">
      <c r="B20" t="s">
        <v>159</v>
      </c>
      <c r="C20" t="s">
        <v>15</v>
      </c>
      <c r="D20">
        <v>30</v>
      </c>
      <c r="E20" t="s">
        <v>16</v>
      </c>
      <c r="F20" s="3">
        <v>44789</v>
      </c>
      <c r="G20" t="s">
        <v>12</v>
      </c>
      <c r="H20">
        <v>69710</v>
      </c>
    </row>
    <row r="21" spans="2:8">
      <c r="B21" t="s">
        <v>197</v>
      </c>
      <c r="C21" t="s">
        <v>15</v>
      </c>
      <c r="D21">
        <v>20</v>
      </c>
      <c r="E21" t="s">
        <v>16</v>
      </c>
      <c r="F21" s="3">
        <v>44683</v>
      </c>
      <c r="G21" t="s">
        <v>9</v>
      </c>
      <c r="H21">
        <v>79570</v>
      </c>
    </row>
    <row r="22" spans="2:8">
      <c r="B22" t="s">
        <v>154</v>
      </c>
      <c r="C22" t="s">
        <v>8</v>
      </c>
      <c r="D22">
        <v>22</v>
      </c>
      <c r="E22" t="s">
        <v>13</v>
      </c>
      <c r="F22" s="3">
        <v>44388</v>
      </c>
      <c r="G22" t="s">
        <v>9</v>
      </c>
      <c r="H22">
        <v>76900</v>
      </c>
    </row>
    <row r="23" spans="2:8">
      <c r="B23" t="s">
        <v>182</v>
      </c>
      <c r="C23" t="s">
        <v>15</v>
      </c>
      <c r="D23">
        <v>27</v>
      </c>
      <c r="E23" t="s">
        <v>16</v>
      </c>
      <c r="F23" s="3">
        <v>44073</v>
      </c>
      <c r="G23" t="s">
        <v>19</v>
      </c>
      <c r="H23">
        <v>54970</v>
      </c>
    </row>
    <row r="24" spans="2:8">
      <c r="B24" t="s">
        <v>118</v>
      </c>
      <c r="C24" t="s">
        <v>15</v>
      </c>
      <c r="D24">
        <v>37</v>
      </c>
      <c r="E24" t="s">
        <v>24</v>
      </c>
      <c r="F24" s="3">
        <v>44277</v>
      </c>
      <c r="G24" t="s">
        <v>12</v>
      </c>
      <c r="H24">
        <v>88050</v>
      </c>
    </row>
    <row r="25" spans="2:8">
      <c r="B25" t="s">
        <v>192</v>
      </c>
      <c r="C25" t="s">
        <v>15</v>
      </c>
      <c r="D25">
        <v>43</v>
      </c>
      <c r="E25" t="s">
        <v>16</v>
      </c>
      <c r="F25" s="3">
        <v>44558</v>
      </c>
      <c r="G25" t="s">
        <v>19</v>
      </c>
      <c r="H25">
        <v>36040</v>
      </c>
    </row>
    <row r="26" spans="2:8">
      <c r="B26" t="s">
        <v>111</v>
      </c>
      <c r="C26" t="s">
        <v>8</v>
      </c>
      <c r="D26">
        <v>42</v>
      </c>
      <c r="E26" t="s">
        <v>10</v>
      </c>
      <c r="F26" s="3">
        <v>44718</v>
      </c>
      <c r="G26" t="s">
        <v>9</v>
      </c>
      <c r="H26">
        <v>75000</v>
      </c>
    </row>
    <row r="27" spans="2:8">
      <c r="B27" t="s">
        <v>149</v>
      </c>
      <c r="C27" t="s">
        <v>15</v>
      </c>
      <c r="D27">
        <v>35</v>
      </c>
      <c r="E27" t="s">
        <v>16</v>
      </c>
      <c r="F27" s="3">
        <v>44666</v>
      </c>
      <c r="G27" t="s">
        <v>9</v>
      </c>
      <c r="H27">
        <v>40400</v>
      </c>
    </row>
    <row r="28" spans="2:8">
      <c r="B28" t="s">
        <v>196</v>
      </c>
      <c r="C28" t="s">
        <v>15</v>
      </c>
      <c r="D28">
        <v>24</v>
      </c>
      <c r="E28" t="s">
        <v>16</v>
      </c>
      <c r="F28" s="3">
        <v>44625</v>
      </c>
      <c r="G28" t="s">
        <v>12</v>
      </c>
      <c r="H28">
        <v>100420</v>
      </c>
    </row>
    <row r="29" spans="2:8">
      <c r="B29" t="s">
        <v>120</v>
      </c>
      <c r="C29" t="s">
        <v>8</v>
      </c>
      <c r="D29">
        <v>31</v>
      </c>
      <c r="E29" t="s">
        <v>16</v>
      </c>
      <c r="F29" s="3">
        <v>44604</v>
      </c>
      <c r="G29" t="s">
        <v>12</v>
      </c>
      <c r="H29">
        <v>58100</v>
      </c>
    </row>
    <row r="30" spans="2:8">
      <c r="B30" t="s">
        <v>114</v>
      </c>
      <c r="C30" t="s">
        <v>8</v>
      </c>
      <c r="D30">
        <v>44</v>
      </c>
      <c r="E30" t="s">
        <v>16</v>
      </c>
      <c r="F30" s="3">
        <v>44985</v>
      </c>
      <c r="G30" t="s">
        <v>12</v>
      </c>
      <c r="H30">
        <v>114870</v>
      </c>
    </row>
    <row r="31" spans="2:8">
      <c r="B31" t="s">
        <v>158</v>
      </c>
      <c r="C31" t="s">
        <v>8</v>
      </c>
      <c r="D31">
        <v>32</v>
      </c>
      <c r="E31" t="s">
        <v>16</v>
      </c>
      <c r="F31" s="3">
        <v>44549</v>
      </c>
      <c r="G31" t="s">
        <v>9</v>
      </c>
      <c r="H31">
        <v>41570</v>
      </c>
    </row>
    <row r="32" spans="2:8">
      <c r="B32" t="s">
        <v>173</v>
      </c>
      <c r="C32" t="s">
        <v>8</v>
      </c>
      <c r="D32">
        <v>30</v>
      </c>
      <c r="E32" t="s">
        <v>16</v>
      </c>
      <c r="F32" s="3">
        <v>44800</v>
      </c>
      <c r="G32" t="s">
        <v>9</v>
      </c>
      <c r="H32">
        <v>112570</v>
      </c>
    </row>
    <row r="33" spans="2:8">
      <c r="B33" t="s">
        <v>151</v>
      </c>
      <c r="C33" t="s">
        <v>15</v>
      </c>
      <c r="D33">
        <v>26</v>
      </c>
      <c r="E33" t="s">
        <v>16</v>
      </c>
      <c r="F33" s="3">
        <v>44164</v>
      </c>
      <c r="G33" t="s">
        <v>9</v>
      </c>
      <c r="H33">
        <v>47360</v>
      </c>
    </row>
    <row r="34" spans="2:8">
      <c r="B34" t="s">
        <v>126</v>
      </c>
      <c r="C34" t="s">
        <v>8</v>
      </c>
      <c r="D34">
        <v>21</v>
      </c>
      <c r="E34" t="s">
        <v>16</v>
      </c>
      <c r="F34" s="3">
        <v>44256</v>
      </c>
      <c r="G34" t="s">
        <v>21</v>
      </c>
      <c r="H34">
        <v>65920</v>
      </c>
    </row>
    <row r="35" spans="2:8">
      <c r="B35" t="s">
        <v>200</v>
      </c>
      <c r="C35" t="s">
        <v>8</v>
      </c>
      <c r="D35">
        <v>28</v>
      </c>
      <c r="E35" t="s">
        <v>16</v>
      </c>
      <c r="F35" s="3">
        <v>44571</v>
      </c>
      <c r="G35" t="s">
        <v>9</v>
      </c>
      <c r="H35">
        <v>99970</v>
      </c>
    </row>
    <row r="36" spans="2:8">
      <c r="B36" t="s">
        <v>133</v>
      </c>
      <c r="C36" t="s">
        <v>8</v>
      </c>
      <c r="D36">
        <v>25</v>
      </c>
      <c r="E36" t="s">
        <v>13</v>
      </c>
      <c r="F36" s="3">
        <v>44633</v>
      </c>
      <c r="G36" t="s">
        <v>12</v>
      </c>
      <c r="H36">
        <v>80700</v>
      </c>
    </row>
    <row r="37" spans="2:8">
      <c r="B37" t="s">
        <v>155</v>
      </c>
      <c r="C37" t="s">
        <v>15</v>
      </c>
      <c r="D37">
        <v>24</v>
      </c>
      <c r="E37" t="s">
        <v>24</v>
      </c>
      <c r="F37" s="3">
        <v>44375</v>
      </c>
      <c r="G37" t="s">
        <v>21</v>
      </c>
      <c r="H37">
        <v>52610</v>
      </c>
    </row>
    <row r="38" spans="2:8">
      <c r="B38" t="s">
        <v>180</v>
      </c>
      <c r="C38" t="s">
        <v>15</v>
      </c>
      <c r="D38">
        <v>29</v>
      </c>
      <c r="E38" t="s">
        <v>24</v>
      </c>
      <c r="F38" s="3">
        <v>44119</v>
      </c>
      <c r="G38" t="s">
        <v>12</v>
      </c>
      <c r="H38">
        <v>112110</v>
      </c>
    </row>
    <row r="39" spans="2:8">
      <c r="B39" t="s">
        <v>152</v>
      </c>
      <c r="C39" t="s">
        <v>8</v>
      </c>
      <c r="D39">
        <v>27</v>
      </c>
      <c r="E39" t="s">
        <v>16</v>
      </c>
      <c r="F39" s="3">
        <v>44061</v>
      </c>
      <c r="G39" t="s">
        <v>56</v>
      </c>
      <c r="H39">
        <v>119110</v>
      </c>
    </row>
    <row r="40" spans="2:8">
      <c r="B40" t="s">
        <v>150</v>
      </c>
      <c r="C40" t="s">
        <v>15</v>
      </c>
      <c r="D40">
        <v>22</v>
      </c>
      <c r="E40" t="s">
        <v>13</v>
      </c>
      <c r="F40" s="3">
        <v>44384</v>
      </c>
      <c r="G40" t="s">
        <v>19</v>
      </c>
      <c r="H40">
        <v>112780</v>
      </c>
    </row>
    <row r="41" spans="2:8">
      <c r="B41" t="s">
        <v>175</v>
      </c>
      <c r="C41" t="s">
        <v>8</v>
      </c>
      <c r="D41">
        <v>36</v>
      </c>
      <c r="E41" t="s">
        <v>16</v>
      </c>
      <c r="F41" s="3">
        <v>44023</v>
      </c>
      <c r="G41" t="s">
        <v>9</v>
      </c>
      <c r="H41">
        <v>114890</v>
      </c>
    </row>
    <row r="42" spans="2:8">
      <c r="B42" t="s">
        <v>146</v>
      </c>
      <c r="C42" t="s">
        <v>15</v>
      </c>
      <c r="D42">
        <v>27</v>
      </c>
      <c r="E42" t="s">
        <v>16</v>
      </c>
      <c r="F42" s="3">
        <v>44506</v>
      </c>
      <c r="G42" t="s">
        <v>21</v>
      </c>
      <c r="H42">
        <v>48980</v>
      </c>
    </row>
    <row r="43" spans="2:8">
      <c r="B43" t="s">
        <v>170</v>
      </c>
      <c r="C43" t="s">
        <v>15</v>
      </c>
      <c r="D43">
        <v>21</v>
      </c>
      <c r="E43" t="s">
        <v>16</v>
      </c>
      <c r="F43" s="3">
        <v>44180</v>
      </c>
      <c r="G43" t="s">
        <v>56</v>
      </c>
      <c r="H43">
        <v>75880</v>
      </c>
    </row>
    <row r="44" spans="2:8">
      <c r="B44" t="s">
        <v>167</v>
      </c>
      <c r="C44" t="s">
        <v>8</v>
      </c>
      <c r="D44">
        <v>28</v>
      </c>
      <c r="E44" t="s">
        <v>16</v>
      </c>
      <c r="F44" s="3">
        <v>44296</v>
      </c>
      <c r="G44" t="s">
        <v>19</v>
      </c>
      <c r="H44">
        <v>53240</v>
      </c>
    </row>
    <row r="45" spans="2:8">
      <c r="B45" t="s">
        <v>122</v>
      </c>
      <c r="C45" t="s">
        <v>8</v>
      </c>
      <c r="D45">
        <v>34</v>
      </c>
      <c r="E45" t="s">
        <v>16</v>
      </c>
      <c r="F45" s="3">
        <v>44397</v>
      </c>
      <c r="G45" t="s">
        <v>21</v>
      </c>
      <c r="H45">
        <v>85000</v>
      </c>
    </row>
    <row r="46" spans="2:8">
      <c r="B46" t="s">
        <v>179</v>
      </c>
      <c r="C46" t="s">
        <v>8</v>
      </c>
      <c r="D46">
        <v>21</v>
      </c>
      <c r="E46" t="s">
        <v>16</v>
      </c>
      <c r="F46" s="3">
        <v>44619</v>
      </c>
      <c r="G46" t="s">
        <v>12</v>
      </c>
      <c r="H46">
        <v>33920</v>
      </c>
    </row>
    <row r="47" spans="2:8">
      <c r="B47" t="s">
        <v>188</v>
      </c>
      <c r="C47" t="s">
        <v>8</v>
      </c>
      <c r="D47">
        <v>33</v>
      </c>
      <c r="E47" t="s">
        <v>16</v>
      </c>
      <c r="F47" s="3">
        <v>44253</v>
      </c>
      <c r="G47" t="s">
        <v>12</v>
      </c>
      <c r="H47">
        <v>75280</v>
      </c>
    </row>
    <row r="48" spans="2:8">
      <c r="B48" t="s">
        <v>130</v>
      </c>
      <c r="C48" t="s">
        <v>8</v>
      </c>
      <c r="D48">
        <v>34</v>
      </c>
      <c r="E48" t="s">
        <v>16</v>
      </c>
      <c r="F48" s="3">
        <v>44594</v>
      </c>
      <c r="G48" t="s">
        <v>21</v>
      </c>
      <c r="H48">
        <v>58940</v>
      </c>
    </row>
    <row r="49" spans="2:8">
      <c r="B49" t="s">
        <v>136</v>
      </c>
      <c r="C49" t="s">
        <v>8</v>
      </c>
      <c r="D49">
        <v>28</v>
      </c>
      <c r="E49" t="s">
        <v>16</v>
      </c>
      <c r="F49" s="3">
        <v>44425</v>
      </c>
      <c r="G49" t="s">
        <v>9</v>
      </c>
      <c r="H49">
        <v>104770</v>
      </c>
    </row>
    <row r="50" spans="2:8">
      <c r="B50" t="s">
        <v>125</v>
      </c>
      <c r="C50" t="s">
        <v>15</v>
      </c>
      <c r="D50">
        <v>21</v>
      </c>
      <c r="E50" t="s">
        <v>16</v>
      </c>
      <c r="F50" s="3">
        <v>44701</v>
      </c>
      <c r="G50" t="s">
        <v>9</v>
      </c>
      <c r="H50">
        <v>57090</v>
      </c>
    </row>
    <row r="51" spans="2:8">
      <c r="B51" t="s">
        <v>160</v>
      </c>
      <c r="C51" t="s">
        <v>15</v>
      </c>
      <c r="D51">
        <v>27</v>
      </c>
      <c r="E51" t="s">
        <v>13</v>
      </c>
      <c r="F51" s="3">
        <v>44174</v>
      </c>
      <c r="G51" t="s">
        <v>21</v>
      </c>
      <c r="H51">
        <v>91650</v>
      </c>
    </row>
    <row r="52" spans="2:8">
      <c r="B52" t="s">
        <v>183</v>
      </c>
      <c r="C52" t="s">
        <v>15</v>
      </c>
      <c r="D52">
        <v>42</v>
      </c>
      <c r="E52" t="s">
        <v>24</v>
      </c>
      <c r="F52" s="3">
        <v>44670</v>
      </c>
      <c r="G52" t="s">
        <v>21</v>
      </c>
      <c r="H52">
        <v>70270</v>
      </c>
    </row>
    <row r="53" spans="2:8">
      <c r="B53" t="s">
        <v>129</v>
      </c>
      <c r="C53" t="s">
        <v>8</v>
      </c>
      <c r="D53">
        <v>28</v>
      </c>
      <c r="E53" t="s">
        <v>16</v>
      </c>
      <c r="F53" s="3">
        <v>44124</v>
      </c>
      <c r="G53" t="s">
        <v>21</v>
      </c>
      <c r="H53">
        <v>75970</v>
      </c>
    </row>
    <row r="54" spans="2:8">
      <c r="B54" t="s">
        <v>112</v>
      </c>
      <c r="D54">
        <v>27</v>
      </c>
      <c r="E54" t="s">
        <v>13</v>
      </c>
      <c r="F54" s="3">
        <v>44212</v>
      </c>
      <c r="G54" t="s">
        <v>12</v>
      </c>
      <c r="H54">
        <v>90700</v>
      </c>
    </row>
    <row r="55" spans="2:8">
      <c r="B55" t="s">
        <v>131</v>
      </c>
      <c r="C55" t="s">
        <v>15</v>
      </c>
      <c r="D55">
        <v>30</v>
      </c>
      <c r="E55" t="s">
        <v>16</v>
      </c>
      <c r="F55" s="3">
        <v>44607</v>
      </c>
      <c r="G55" t="s">
        <v>9</v>
      </c>
      <c r="H55">
        <v>60570</v>
      </c>
    </row>
    <row r="56" spans="2:8">
      <c r="B56" t="s">
        <v>134</v>
      </c>
      <c r="C56" t="s">
        <v>15</v>
      </c>
      <c r="D56">
        <v>33</v>
      </c>
      <c r="E56" t="s">
        <v>16</v>
      </c>
      <c r="F56" s="3">
        <v>44103</v>
      </c>
      <c r="G56" t="s">
        <v>9</v>
      </c>
      <c r="H56">
        <v>115920</v>
      </c>
    </row>
    <row r="57" spans="2:8">
      <c r="B57" t="s">
        <v>186</v>
      </c>
      <c r="C57" t="s">
        <v>8</v>
      </c>
      <c r="D57">
        <v>33</v>
      </c>
      <c r="E57" t="s">
        <v>16</v>
      </c>
      <c r="F57" s="3">
        <v>44006</v>
      </c>
      <c r="G57" t="s">
        <v>21</v>
      </c>
      <c r="H57">
        <v>65360</v>
      </c>
    </row>
    <row r="58" spans="2:8">
      <c r="B58" t="s">
        <v>116</v>
      </c>
      <c r="D58">
        <v>30</v>
      </c>
      <c r="E58" t="s">
        <v>16</v>
      </c>
      <c r="F58" s="3">
        <v>44535</v>
      </c>
      <c r="G58" t="s">
        <v>21</v>
      </c>
      <c r="H58">
        <v>64000</v>
      </c>
    </row>
    <row r="59" spans="2:8">
      <c r="B59" t="s">
        <v>195</v>
      </c>
      <c r="C59" t="s">
        <v>8</v>
      </c>
      <c r="D59">
        <v>34</v>
      </c>
      <c r="E59" t="s">
        <v>16</v>
      </c>
      <c r="F59" s="3">
        <v>44383</v>
      </c>
      <c r="G59" t="s">
        <v>21</v>
      </c>
      <c r="H59">
        <v>92450</v>
      </c>
    </row>
    <row r="60" spans="2:8">
      <c r="B60" t="s">
        <v>113</v>
      </c>
      <c r="C60" t="s">
        <v>15</v>
      </c>
      <c r="D60">
        <v>31</v>
      </c>
      <c r="E60" t="s">
        <v>16</v>
      </c>
      <c r="F60" s="3">
        <v>44450</v>
      </c>
      <c r="G60" t="s">
        <v>12</v>
      </c>
      <c r="H60">
        <v>48950</v>
      </c>
    </row>
    <row r="61" spans="2:8">
      <c r="B61" t="s">
        <v>185</v>
      </c>
      <c r="C61" t="s">
        <v>8</v>
      </c>
      <c r="D61">
        <v>27</v>
      </c>
      <c r="E61" t="s">
        <v>16</v>
      </c>
      <c r="F61" s="3">
        <v>44625</v>
      </c>
      <c r="G61" t="s">
        <v>12</v>
      </c>
      <c r="H61">
        <v>83750</v>
      </c>
    </row>
    <row r="62" spans="2:8">
      <c r="B62" t="s">
        <v>166</v>
      </c>
      <c r="C62" t="s">
        <v>8</v>
      </c>
      <c r="D62">
        <v>40</v>
      </c>
      <c r="E62" t="s">
        <v>16</v>
      </c>
      <c r="F62" s="3">
        <v>44276</v>
      </c>
      <c r="G62" t="s">
        <v>12</v>
      </c>
      <c r="H62">
        <v>87620</v>
      </c>
    </row>
    <row r="63" spans="2:8">
      <c r="B63" t="s">
        <v>184</v>
      </c>
      <c r="C63" t="s">
        <v>8</v>
      </c>
      <c r="D63">
        <v>20</v>
      </c>
      <c r="E63" t="s">
        <v>24</v>
      </c>
      <c r="F63" s="3">
        <v>44476</v>
      </c>
      <c r="G63" t="s">
        <v>19</v>
      </c>
      <c r="H63">
        <v>68900</v>
      </c>
    </row>
    <row r="64" spans="2:8">
      <c r="B64" t="s">
        <v>157</v>
      </c>
      <c r="C64" t="s">
        <v>15</v>
      </c>
      <c r="D64">
        <v>32</v>
      </c>
      <c r="E64" t="s">
        <v>16</v>
      </c>
      <c r="F64" s="3">
        <v>44403</v>
      </c>
      <c r="G64" t="s">
        <v>19</v>
      </c>
      <c r="H64">
        <v>53540</v>
      </c>
    </row>
    <row r="65" spans="2:8">
      <c r="B65" t="s">
        <v>172</v>
      </c>
      <c r="C65" t="s">
        <v>15</v>
      </c>
      <c r="D65">
        <v>28</v>
      </c>
      <c r="E65" t="s">
        <v>42</v>
      </c>
      <c r="F65" s="3">
        <v>44758</v>
      </c>
      <c r="G65" t="s">
        <v>19</v>
      </c>
      <c r="H65">
        <v>43510</v>
      </c>
    </row>
    <row r="66" spans="2:8">
      <c r="B66" t="s">
        <v>127</v>
      </c>
      <c r="C66" t="s">
        <v>8</v>
      </c>
      <c r="D66">
        <v>38</v>
      </c>
      <c r="E66" t="s">
        <v>10</v>
      </c>
      <c r="F66" s="3">
        <v>44316</v>
      </c>
      <c r="G66" t="s">
        <v>19</v>
      </c>
      <c r="H66">
        <v>109160</v>
      </c>
    </row>
    <row r="67" spans="2:8">
      <c r="B67" t="s">
        <v>198</v>
      </c>
      <c r="C67" t="s">
        <v>15</v>
      </c>
      <c r="D67">
        <v>40</v>
      </c>
      <c r="E67" t="s">
        <v>16</v>
      </c>
      <c r="F67" s="3">
        <v>44204</v>
      </c>
      <c r="G67" t="s">
        <v>9</v>
      </c>
      <c r="H67">
        <v>99750</v>
      </c>
    </row>
    <row r="68" spans="2:8">
      <c r="B68" t="s">
        <v>124</v>
      </c>
      <c r="C68" t="s">
        <v>8</v>
      </c>
      <c r="D68">
        <v>31</v>
      </c>
      <c r="E68" t="s">
        <v>16</v>
      </c>
      <c r="F68" s="3">
        <v>44084</v>
      </c>
      <c r="G68" t="s">
        <v>12</v>
      </c>
      <c r="H68">
        <v>41980</v>
      </c>
    </row>
    <row r="69" spans="2:8">
      <c r="B69" t="s">
        <v>187</v>
      </c>
      <c r="C69" t="s">
        <v>15</v>
      </c>
      <c r="D69">
        <v>36</v>
      </c>
      <c r="E69" t="s">
        <v>16</v>
      </c>
      <c r="F69" s="3">
        <v>44272</v>
      </c>
      <c r="G69" t="s">
        <v>21</v>
      </c>
      <c r="H69">
        <v>71380</v>
      </c>
    </row>
    <row r="70" spans="2:8">
      <c r="B70" t="s">
        <v>191</v>
      </c>
      <c r="C70" t="s">
        <v>15</v>
      </c>
      <c r="D70">
        <v>27</v>
      </c>
      <c r="E70" t="s">
        <v>42</v>
      </c>
      <c r="F70" s="3">
        <v>44547</v>
      </c>
      <c r="G70" t="s">
        <v>9</v>
      </c>
      <c r="H70">
        <v>113280</v>
      </c>
    </row>
    <row r="71" spans="2:8">
      <c r="B71" t="s">
        <v>181</v>
      </c>
      <c r="C71" t="s">
        <v>8</v>
      </c>
      <c r="D71">
        <v>33</v>
      </c>
      <c r="E71" t="s">
        <v>16</v>
      </c>
      <c r="F71" s="3">
        <v>44747</v>
      </c>
      <c r="G71" t="s">
        <v>21</v>
      </c>
      <c r="H71">
        <v>86570</v>
      </c>
    </row>
    <row r="72" spans="2:8">
      <c r="B72" t="s">
        <v>139</v>
      </c>
      <c r="C72" t="s">
        <v>15</v>
      </c>
      <c r="D72">
        <v>26</v>
      </c>
      <c r="E72" t="s">
        <v>16</v>
      </c>
      <c r="F72" s="3">
        <v>44350</v>
      </c>
      <c r="G72" t="s">
        <v>9</v>
      </c>
      <c r="H72">
        <v>53540</v>
      </c>
    </row>
    <row r="73" spans="2:8">
      <c r="B73" t="s">
        <v>190</v>
      </c>
      <c r="C73" t="s">
        <v>15</v>
      </c>
      <c r="D73">
        <v>37</v>
      </c>
      <c r="E73" t="s">
        <v>16</v>
      </c>
      <c r="F73" s="3">
        <v>44640</v>
      </c>
      <c r="G73" t="s">
        <v>12</v>
      </c>
      <c r="H73">
        <v>69070</v>
      </c>
    </row>
    <row r="74" spans="2:8">
      <c r="B74" t="s">
        <v>121</v>
      </c>
      <c r="C74" t="s">
        <v>8</v>
      </c>
      <c r="D74">
        <v>30</v>
      </c>
      <c r="E74" t="s">
        <v>24</v>
      </c>
      <c r="F74" s="3">
        <v>44328</v>
      </c>
      <c r="G74" t="s">
        <v>21</v>
      </c>
      <c r="H74">
        <v>67910</v>
      </c>
    </row>
    <row r="75" spans="2:8">
      <c r="B75" t="s">
        <v>119</v>
      </c>
      <c r="C75" t="s">
        <v>15</v>
      </c>
      <c r="D75">
        <v>30</v>
      </c>
      <c r="E75" t="s">
        <v>16</v>
      </c>
      <c r="F75" s="3">
        <v>44214</v>
      </c>
      <c r="G75" t="s">
        <v>12</v>
      </c>
      <c r="H75">
        <v>69120</v>
      </c>
    </row>
    <row r="76" spans="2:8">
      <c r="B76" t="s">
        <v>132</v>
      </c>
      <c r="C76" t="s">
        <v>8</v>
      </c>
      <c r="D76">
        <v>34</v>
      </c>
      <c r="E76" t="s">
        <v>16</v>
      </c>
      <c r="F76" s="3">
        <v>44550</v>
      </c>
      <c r="G76" t="s">
        <v>21</v>
      </c>
      <c r="H76">
        <v>60130</v>
      </c>
    </row>
    <row r="77" spans="2:8">
      <c r="B77" t="s">
        <v>161</v>
      </c>
      <c r="C77" t="s">
        <v>15</v>
      </c>
      <c r="D77">
        <v>23</v>
      </c>
      <c r="E77" t="s">
        <v>16</v>
      </c>
      <c r="F77" s="3">
        <v>44378</v>
      </c>
      <c r="G77" t="s">
        <v>9</v>
      </c>
      <c r="H77">
        <v>106460</v>
      </c>
    </row>
    <row r="78" spans="2:8">
      <c r="B78" t="s">
        <v>148</v>
      </c>
      <c r="C78" t="s">
        <v>8</v>
      </c>
      <c r="D78">
        <v>37</v>
      </c>
      <c r="E78" t="s">
        <v>16</v>
      </c>
      <c r="F78" s="3">
        <v>44389</v>
      </c>
      <c r="G78" t="s">
        <v>56</v>
      </c>
      <c r="H78">
        <v>118100</v>
      </c>
    </row>
    <row r="79" spans="2:8">
      <c r="B79" t="s">
        <v>164</v>
      </c>
      <c r="C79" t="s">
        <v>8</v>
      </c>
      <c r="D79">
        <v>36</v>
      </c>
      <c r="E79" t="s">
        <v>16</v>
      </c>
      <c r="F79" s="3">
        <v>44468</v>
      </c>
      <c r="G79" t="s">
        <v>9</v>
      </c>
      <c r="H79">
        <v>78390</v>
      </c>
    </row>
    <row r="80" spans="2:8">
      <c r="B80" t="s">
        <v>147</v>
      </c>
      <c r="C80" t="s">
        <v>8</v>
      </c>
      <c r="D80">
        <v>30</v>
      </c>
      <c r="E80" t="s">
        <v>16</v>
      </c>
      <c r="F80" s="3">
        <v>44789</v>
      </c>
      <c r="G80" t="s">
        <v>9</v>
      </c>
      <c r="H80">
        <v>114180</v>
      </c>
    </row>
    <row r="81" spans="2:8">
      <c r="B81" t="s">
        <v>189</v>
      </c>
      <c r="C81" t="s">
        <v>8</v>
      </c>
      <c r="D81">
        <v>28</v>
      </c>
      <c r="E81" t="s">
        <v>16</v>
      </c>
      <c r="F81" s="3">
        <v>44590</v>
      </c>
      <c r="G81" t="s">
        <v>9</v>
      </c>
      <c r="H81">
        <v>104120</v>
      </c>
    </row>
    <row r="82" spans="2:8">
      <c r="B82" t="s">
        <v>138</v>
      </c>
      <c r="C82" t="s">
        <v>15</v>
      </c>
      <c r="D82">
        <v>30</v>
      </c>
      <c r="E82" t="s">
        <v>16</v>
      </c>
      <c r="F82" s="3">
        <v>44640</v>
      </c>
      <c r="G82" t="s">
        <v>9</v>
      </c>
      <c r="H82">
        <v>67950</v>
      </c>
    </row>
    <row r="83" spans="2:8">
      <c r="B83" t="s">
        <v>137</v>
      </c>
      <c r="C83" t="s">
        <v>8</v>
      </c>
      <c r="D83">
        <v>29</v>
      </c>
      <c r="E83" t="s">
        <v>16</v>
      </c>
      <c r="F83" s="3">
        <v>43962</v>
      </c>
      <c r="G83" t="s">
        <v>12</v>
      </c>
      <c r="H83">
        <v>34980</v>
      </c>
    </row>
    <row r="84" spans="2:8">
      <c r="B84" t="s">
        <v>153</v>
      </c>
      <c r="C84" t="s">
        <v>8</v>
      </c>
      <c r="D84">
        <v>24</v>
      </c>
      <c r="E84" t="s">
        <v>16</v>
      </c>
      <c r="F84" s="3">
        <v>44087</v>
      </c>
      <c r="G84" t="s">
        <v>12</v>
      </c>
      <c r="H84">
        <v>62780</v>
      </c>
    </row>
    <row r="85" spans="2:8">
      <c r="B85" t="s">
        <v>117</v>
      </c>
      <c r="C85" t="s">
        <v>15</v>
      </c>
      <c r="D85">
        <v>20</v>
      </c>
      <c r="E85" t="s">
        <v>16</v>
      </c>
      <c r="F85" s="3">
        <v>44397</v>
      </c>
      <c r="G85" t="s">
        <v>12</v>
      </c>
      <c r="H85">
        <v>107700</v>
      </c>
    </row>
    <row r="86" spans="2:8">
      <c r="B86" t="s">
        <v>168</v>
      </c>
      <c r="C86" t="s">
        <v>15</v>
      </c>
      <c r="D86">
        <v>25</v>
      </c>
      <c r="E86" t="s">
        <v>16</v>
      </c>
      <c r="F86" s="3">
        <v>44322</v>
      </c>
      <c r="G86" t="s">
        <v>19</v>
      </c>
      <c r="H86">
        <v>65700</v>
      </c>
    </row>
    <row r="87" spans="2:8">
      <c r="B87" t="s">
        <v>135</v>
      </c>
      <c r="C87" t="s">
        <v>8</v>
      </c>
      <c r="D87">
        <v>33</v>
      </c>
      <c r="E87" t="s">
        <v>42</v>
      </c>
      <c r="F87" s="3">
        <v>44313</v>
      </c>
      <c r="G87" t="s">
        <v>12</v>
      </c>
      <c r="H87">
        <v>75480</v>
      </c>
    </row>
    <row r="88" spans="2:8">
      <c r="B88" t="s">
        <v>174</v>
      </c>
      <c r="C88" t="s">
        <v>15</v>
      </c>
      <c r="D88">
        <v>33</v>
      </c>
      <c r="E88" t="s">
        <v>16</v>
      </c>
      <c r="F88" s="3">
        <v>44448</v>
      </c>
      <c r="G88" t="s">
        <v>12</v>
      </c>
      <c r="H88">
        <v>53870</v>
      </c>
    </row>
    <row r="89" spans="2:8">
      <c r="B89" t="s">
        <v>141</v>
      </c>
      <c r="C89" t="s">
        <v>8</v>
      </c>
      <c r="D89">
        <v>36</v>
      </c>
      <c r="E89" t="s">
        <v>16</v>
      </c>
      <c r="F89" s="3">
        <v>44433</v>
      </c>
      <c r="G89" t="s">
        <v>19</v>
      </c>
      <c r="H89">
        <v>78540</v>
      </c>
    </row>
    <row r="90" spans="2:8">
      <c r="B90" t="s">
        <v>193</v>
      </c>
      <c r="C90" t="s">
        <v>15</v>
      </c>
      <c r="D90">
        <v>19</v>
      </c>
      <c r="E90" t="s">
        <v>16</v>
      </c>
      <c r="F90" s="3">
        <v>44218</v>
      </c>
      <c r="G90" t="s">
        <v>9</v>
      </c>
      <c r="H90">
        <v>58960</v>
      </c>
    </row>
    <row r="91" spans="2:8">
      <c r="B91" t="s">
        <v>162</v>
      </c>
      <c r="C91" t="s">
        <v>15</v>
      </c>
      <c r="D91">
        <v>46</v>
      </c>
      <c r="E91" t="s">
        <v>16</v>
      </c>
      <c r="F91" s="3">
        <v>44697</v>
      </c>
      <c r="G91" t="s">
        <v>9</v>
      </c>
      <c r="H91">
        <v>70610</v>
      </c>
    </row>
    <row r="92" spans="2:8">
      <c r="B92" t="s">
        <v>171</v>
      </c>
      <c r="C92" t="s">
        <v>15</v>
      </c>
      <c r="D92">
        <v>33</v>
      </c>
      <c r="E92" t="s">
        <v>16</v>
      </c>
      <c r="F92" s="3">
        <v>44181</v>
      </c>
      <c r="G92" t="s">
        <v>21</v>
      </c>
      <c r="H92">
        <v>59430</v>
      </c>
    </row>
    <row r="93" spans="2:8">
      <c r="B93" t="s">
        <v>144</v>
      </c>
      <c r="C93" t="s">
        <v>15</v>
      </c>
      <c r="D93">
        <v>33</v>
      </c>
      <c r="E93" t="s">
        <v>13</v>
      </c>
      <c r="F93" s="3">
        <v>44640</v>
      </c>
      <c r="G93" t="s">
        <v>9</v>
      </c>
      <c r="H93">
        <v>48530</v>
      </c>
    </row>
    <row r="94" spans="2:8">
      <c r="B94" t="s">
        <v>163</v>
      </c>
      <c r="C94" t="s">
        <v>8</v>
      </c>
      <c r="D94">
        <v>33</v>
      </c>
      <c r="E94" t="s">
        <v>16</v>
      </c>
      <c r="F94" s="3">
        <v>44129</v>
      </c>
      <c r="G94" t="s">
        <v>12</v>
      </c>
      <c r="H94">
        <v>96140</v>
      </c>
    </row>
    <row r="95" spans="2:8">
      <c r="B95" t="s">
        <v>156</v>
      </c>
      <c r="C95" t="s">
        <v>15</v>
      </c>
      <c r="D95">
        <v>20</v>
      </c>
      <c r="E95" t="s">
        <v>16</v>
      </c>
      <c r="F95" s="3">
        <v>44122</v>
      </c>
      <c r="G95" t="s">
        <v>12</v>
      </c>
      <c r="H95">
        <v>112650</v>
      </c>
    </row>
    <row r="96" spans="2:8">
      <c r="B96" t="s">
        <v>176</v>
      </c>
      <c r="C96" t="s">
        <v>8</v>
      </c>
      <c r="D96">
        <v>32</v>
      </c>
      <c r="E96" t="s">
        <v>13</v>
      </c>
      <c r="F96" s="3">
        <v>44293</v>
      </c>
      <c r="G96" t="s">
        <v>12</v>
      </c>
      <c r="H96">
        <v>43840</v>
      </c>
    </row>
    <row r="97" spans="2:8">
      <c r="B97" t="s">
        <v>143</v>
      </c>
      <c r="C97" t="s">
        <v>15</v>
      </c>
      <c r="D97">
        <v>31</v>
      </c>
      <c r="E97" t="s">
        <v>16</v>
      </c>
      <c r="F97" s="3">
        <v>44663</v>
      </c>
      <c r="G97" t="s">
        <v>9</v>
      </c>
      <c r="H97">
        <v>103550</v>
      </c>
    </row>
    <row r="98" spans="2:8">
      <c r="B98" t="s">
        <v>201</v>
      </c>
      <c r="C98" t="s">
        <v>8</v>
      </c>
      <c r="D98">
        <v>32</v>
      </c>
      <c r="E98" t="s">
        <v>16</v>
      </c>
      <c r="F98" s="3">
        <v>44339</v>
      </c>
      <c r="G98" t="s">
        <v>56</v>
      </c>
      <c r="H98">
        <v>45510</v>
      </c>
    </row>
    <row r="99" spans="2:8">
      <c r="B99" t="s">
        <v>142</v>
      </c>
      <c r="D99">
        <v>37</v>
      </c>
      <c r="E99" t="s">
        <v>24</v>
      </c>
      <c r="F99" s="3">
        <v>44085</v>
      </c>
      <c r="G99" t="s">
        <v>21</v>
      </c>
      <c r="H99">
        <v>115440</v>
      </c>
    </row>
    <row r="100" spans="2:8">
      <c r="B100" t="s">
        <v>202</v>
      </c>
      <c r="C100" t="s">
        <v>8</v>
      </c>
      <c r="D100">
        <v>38</v>
      </c>
      <c r="E100" t="s">
        <v>13</v>
      </c>
      <c r="F100" s="3">
        <v>44268</v>
      </c>
      <c r="G100" t="s">
        <v>19</v>
      </c>
      <c r="H100">
        <v>56870</v>
      </c>
    </row>
    <row r="101" spans="2:8">
      <c r="B101" t="s">
        <v>169</v>
      </c>
      <c r="C101" t="s">
        <v>8</v>
      </c>
      <c r="D101">
        <v>25</v>
      </c>
      <c r="E101" t="s">
        <v>16</v>
      </c>
      <c r="F101" s="3">
        <v>44144</v>
      </c>
      <c r="G101" t="s">
        <v>19</v>
      </c>
      <c r="H101">
        <v>92700</v>
      </c>
    </row>
    <row r="102" spans="2:8">
      <c r="B102" t="s">
        <v>145</v>
      </c>
      <c r="D102">
        <v>32</v>
      </c>
      <c r="E102" t="s">
        <v>16</v>
      </c>
      <c r="F102" s="3">
        <v>44713</v>
      </c>
      <c r="G102" t="s">
        <v>12</v>
      </c>
      <c r="H102">
        <v>91310</v>
      </c>
    </row>
    <row r="103" spans="2:8">
      <c r="B103" t="s">
        <v>115</v>
      </c>
      <c r="C103" t="s">
        <v>15</v>
      </c>
      <c r="D103">
        <v>33</v>
      </c>
      <c r="E103" t="s">
        <v>16</v>
      </c>
      <c r="F103" s="3">
        <v>44324</v>
      </c>
      <c r="G103" t="s">
        <v>19</v>
      </c>
      <c r="H103">
        <v>74550</v>
      </c>
    </row>
    <row r="104" spans="2:8">
      <c r="B104" t="s">
        <v>128</v>
      </c>
      <c r="C104" t="s">
        <v>15</v>
      </c>
      <c r="D104">
        <v>25</v>
      </c>
      <c r="E104" t="s">
        <v>13</v>
      </c>
      <c r="F104" s="3">
        <v>44665</v>
      </c>
      <c r="G104" t="s">
        <v>9</v>
      </c>
      <c r="H104">
        <v>109190</v>
      </c>
    </row>
    <row r="105" spans="2:8">
      <c r="B105" t="s">
        <v>194</v>
      </c>
      <c r="C105" t="s">
        <v>8</v>
      </c>
      <c r="D105">
        <v>40</v>
      </c>
      <c r="E105" t="s">
        <v>16</v>
      </c>
      <c r="F105" s="3">
        <v>44320</v>
      </c>
      <c r="G105" t="s">
        <v>12</v>
      </c>
      <c r="H105">
        <v>104410</v>
      </c>
    </row>
    <row r="106" spans="2:8">
      <c r="B106" t="s">
        <v>177</v>
      </c>
      <c r="C106" t="s">
        <v>15</v>
      </c>
      <c r="D106">
        <v>30</v>
      </c>
      <c r="E106" t="s">
        <v>16</v>
      </c>
      <c r="F106" s="3">
        <v>44544</v>
      </c>
      <c r="G106" t="s">
        <v>21</v>
      </c>
      <c r="H106">
        <v>96800</v>
      </c>
    </row>
    <row r="107" spans="2:8">
      <c r="B107" t="s">
        <v>123</v>
      </c>
      <c r="C107" t="s">
        <v>15</v>
      </c>
      <c r="D107">
        <v>28</v>
      </c>
      <c r="E107" t="s">
        <v>13</v>
      </c>
      <c r="F107" s="3">
        <v>43980</v>
      </c>
      <c r="G107" t="s">
        <v>21</v>
      </c>
      <c r="H107">
        <v>48170</v>
      </c>
    </row>
    <row r="108" spans="2:8">
      <c r="B108" t="s">
        <v>140</v>
      </c>
      <c r="C108" t="s">
        <v>15</v>
      </c>
      <c r="D108">
        <v>21</v>
      </c>
      <c r="E108" t="s">
        <v>16</v>
      </c>
      <c r="F108" s="3">
        <v>44042</v>
      </c>
      <c r="G108" t="s">
        <v>9</v>
      </c>
      <c r="H108">
        <v>37920</v>
      </c>
    </row>
    <row r="109" spans="2:8">
      <c r="B109" t="s">
        <v>178</v>
      </c>
      <c r="C109" t="s">
        <v>15</v>
      </c>
      <c r="D109">
        <v>34</v>
      </c>
      <c r="E109" t="s">
        <v>16</v>
      </c>
      <c r="F109" s="3">
        <v>44642</v>
      </c>
      <c r="G109" t="s">
        <v>9</v>
      </c>
      <c r="H109">
        <v>112650</v>
      </c>
    </row>
    <row r="110" spans="2:8">
      <c r="B110" t="s">
        <v>165</v>
      </c>
      <c r="C110" t="s">
        <v>8</v>
      </c>
      <c r="D110">
        <v>34</v>
      </c>
      <c r="E110" t="s">
        <v>24</v>
      </c>
      <c r="F110" s="3">
        <v>44660</v>
      </c>
      <c r="G110" t="s">
        <v>19</v>
      </c>
      <c r="H110">
        <v>49630</v>
      </c>
    </row>
    <row r="111" spans="2:8">
      <c r="B111" t="s">
        <v>199</v>
      </c>
      <c r="C111" t="s">
        <v>15</v>
      </c>
      <c r="D111">
        <v>36</v>
      </c>
      <c r="E111" t="s">
        <v>16</v>
      </c>
      <c r="F111" s="3">
        <v>43958</v>
      </c>
      <c r="G111" t="s">
        <v>12</v>
      </c>
      <c r="H111">
        <v>118840</v>
      </c>
    </row>
    <row r="112" spans="2:8">
      <c r="B112" t="s">
        <v>159</v>
      </c>
      <c r="C112" t="s">
        <v>15</v>
      </c>
      <c r="D112">
        <v>30</v>
      </c>
      <c r="E112" t="s">
        <v>16</v>
      </c>
      <c r="F112" s="3">
        <v>44789</v>
      </c>
      <c r="G112" t="s">
        <v>12</v>
      </c>
      <c r="H112">
        <v>69710</v>
      </c>
    </row>
    <row r="113" spans="2:8">
      <c r="B113" t="s">
        <v>197</v>
      </c>
      <c r="C113" t="s">
        <v>15</v>
      </c>
      <c r="D113">
        <v>20</v>
      </c>
      <c r="E113" t="s">
        <v>16</v>
      </c>
      <c r="F113" s="3">
        <v>44683</v>
      </c>
      <c r="G113" t="s">
        <v>9</v>
      </c>
      <c r="H113">
        <v>79570</v>
      </c>
    </row>
    <row r="114" spans="2:8">
      <c r="B114" t="s">
        <v>154</v>
      </c>
      <c r="C114" t="s">
        <v>8</v>
      </c>
      <c r="D114">
        <v>22</v>
      </c>
      <c r="E114" t="s">
        <v>13</v>
      </c>
      <c r="F114" s="3">
        <v>44388</v>
      </c>
      <c r="G114" t="s">
        <v>9</v>
      </c>
      <c r="H114">
        <v>76900</v>
      </c>
    </row>
    <row r="115" spans="2:8">
      <c r="B115" t="s">
        <v>203</v>
      </c>
      <c r="H115">
        <f>SUBTOTAL(109,India[Salary])</f>
        <v>8757930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1810-BAE1-4168-B662-61605267DD15}">
  <dimension ref="A1:T184"/>
  <sheetViews>
    <sheetView topLeftCell="C1" zoomScale="102" workbookViewId="0">
      <selection activeCell="O22" sqref="O22"/>
    </sheetView>
  </sheetViews>
  <sheetFormatPr defaultRowHeight="14.4"/>
  <cols>
    <col min="1" max="1" width="27.21875" bestFit="1" customWidth="1"/>
    <col min="2" max="2" width="9.33203125" bestFit="1" customWidth="1"/>
    <col min="3" max="3" width="6.44140625" style="14" bestFit="1" customWidth="1"/>
    <col min="4" max="4" width="13.109375" bestFit="1" customWidth="1"/>
    <col min="5" max="5" width="13" bestFit="1" customWidth="1"/>
    <col min="6" max="6" width="13.33203125" bestFit="1" customWidth="1"/>
    <col min="7" max="7" width="8.33203125" bestFit="1" customWidth="1"/>
    <col min="8" max="8" width="9.77734375" bestFit="1" customWidth="1"/>
    <col min="9" max="9" width="18.109375" style="10" customWidth="1"/>
    <col min="10" max="10" width="18.109375" style="20" customWidth="1"/>
    <col min="11" max="11" width="18.109375" customWidth="1"/>
    <col min="12" max="12" width="18.109375" style="10" customWidth="1"/>
    <col min="14" max="14" width="13.21875" customWidth="1"/>
    <col min="16" max="16" width="10.44140625" bestFit="1" customWidth="1"/>
  </cols>
  <sheetData>
    <row r="1" spans="1:20">
      <c r="A1" t="s">
        <v>0</v>
      </c>
      <c r="B1" t="s">
        <v>1</v>
      </c>
      <c r="C1" s="14" t="s">
        <v>3</v>
      </c>
      <c r="D1" t="s">
        <v>6</v>
      </c>
      <c r="E1" t="s">
        <v>4</v>
      </c>
      <c r="F1" t="s">
        <v>2</v>
      </c>
      <c r="G1" t="s">
        <v>5</v>
      </c>
      <c r="H1" t="s">
        <v>204</v>
      </c>
      <c r="I1" s="10" t="s">
        <v>213</v>
      </c>
      <c r="J1" s="20" t="s">
        <v>232</v>
      </c>
      <c r="K1" t="s">
        <v>235</v>
      </c>
    </row>
    <row r="2" spans="1:20">
      <c r="A2" t="s">
        <v>156</v>
      </c>
      <c r="B2" t="s">
        <v>15</v>
      </c>
      <c r="C2" s="14">
        <v>20</v>
      </c>
      <c r="D2" t="s">
        <v>16</v>
      </c>
      <c r="E2" s="9">
        <v>44122</v>
      </c>
      <c r="F2" t="s">
        <v>12</v>
      </c>
      <c r="G2">
        <v>112650</v>
      </c>
      <c r="H2" t="s">
        <v>205</v>
      </c>
      <c r="I2" s="10">
        <f ca="1">(TODAY()-Staff[[#This Row],[Date Joined]])/365</f>
        <v>4.397260273972603</v>
      </c>
      <c r="J2" s="20">
        <f ca="1">ROUNDUP(IF(Staff[[#This Row],[Tenure]]&gt;2,3%,2%)*Staff[[#This Row],[Salary]],0)</f>
        <v>3380</v>
      </c>
      <c r="K2">
        <f>VLOOKUP(Staff[[#This Row],[Rating]], 'mapping '!$B$2:$C$6, 2, FALSE)</f>
        <v>3</v>
      </c>
      <c r="M2" s="12">
        <v>1</v>
      </c>
      <c r="N2" t="s">
        <v>208</v>
      </c>
      <c r="P2">
        <f>COUNTA(Staff[Name])</f>
        <v>183</v>
      </c>
    </row>
    <row r="3" spans="1:20">
      <c r="A3" t="s">
        <v>176</v>
      </c>
      <c r="B3" t="s">
        <v>8</v>
      </c>
      <c r="C3" s="14">
        <v>32</v>
      </c>
      <c r="D3" t="s">
        <v>13</v>
      </c>
      <c r="E3" s="9">
        <v>44293</v>
      </c>
      <c r="F3" t="s">
        <v>12</v>
      </c>
      <c r="G3">
        <v>43840</v>
      </c>
      <c r="H3" t="s">
        <v>205</v>
      </c>
      <c r="I3" s="10">
        <f ca="1">(TODAY()-Staff[[#This Row],[Date Joined]])/365</f>
        <v>3.9287671232876713</v>
      </c>
      <c r="J3" s="20">
        <f ca="1">ROUNDUP(IF(Staff[[#This Row],[Tenure]]&gt;2,3%,2%)*Staff[[#This Row],[Salary]],0)</f>
        <v>1316</v>
      </c>
      <c r="K3">
        <f>VLOOKUP(Staff[[#This Row],[Rating]], 'mapping '!$B$2:$C$6, 2, FALSE)</f>
        <v>4</v>
      </c>
      <c r="N3" t="s">
        <v>209</v>
      </c>
      <c r="P3" s="4">
        <f>AVERAGE(Staff[Salary])</f>
        <v>77173.715846994543</v>
      </c>
      <c r="Q3">
        <f>MEDIAN(Staff[Salary])</f>
        <v>75000</v>
      </c>
    </row>
    <row r="4" spans="1:20">
      <c r="A4" t="s">
        <v>143</v>
      </c>
      <c r="B4" t="s">
        <v>15</v>
      </c>
      <c r="C4" s="14">
        <v>31</v>
      </c>
      <c r="D4" t="s">
        <v>16</v>
      </c>
      <c r="E4" s="9">
        <v>44663</v>
      </c>
      <c r="F4" t="s">
        <v>9</v>
      </c>
      <c r="G4">
        <v>103550</v>
      </c>
      <c r="H4" t="s">
        <v>205</v>
      </c>
      <c r="I4" s="10">
        <f ca="1">(TODAY()-Staff[[#This Row],[Date Joined]])/365</f>
        <v>2.9150684931506849</v>
      </c>
      <c r="J4" s="20">
        <f ca="1">ROUNDUP(IF(Staff[[#This Row],[Tenure]]&gt;2,3%,2%)*Staff[[#This Row],[Salary]],0)</f>
        <v>3107</v>
      </c>
      <c r="K4">
        <f>VLOOKUP(Staff[[#This Row],[Rating]], 'mapping '!$B$2:$C$6, 2, FALSE)</f>
        <v>3</v>
      </c>
      <c r="N4" t="s">
        <v>210</v>
      </c>
      <c r="P4">
        <f>AVERAGE(Staff[Age])</f>
        <v>30.42622950819672</v>
      </c>
      <c r="Q4">
        <f>MEDIAN((Staff[Age]))</f>
        <v>30</v>
      </c>
    </row>
    <row r="5" spans="1:20">
      <c r="A5" t="s">
        <v>201</v>
      </c>
      <c r="B5" t="s">
        <v>8</v>
      </c>
      <c r="C5" s="14">
        <v>32</v>
      </c>
      <c r="D5" t="s">
        <v>16</v>
      </c>
      <c r="E5" s="9">
        <v>44339</v>
      </c>
      <c r="F5" t="s">
        <v>56</v>
      </c>
      <c r="G5">
        <v>45510</v>
      </c>
      <c r="H5" t="s">
        <v>205</v>
      </c>
      <c r="I5" s="10">
        <f ca="1">(TODAY()-Staff[[#This Row],[Date Joined]])/365</f>
        <v>3.8027397260273972</v>
      </c>
      <c r="J5" s="20">
        <f ca="1">ROUNDUP(IF(Staff[[#This Row],[Tenure]]&gt;2,3%,2%)*Staff[[#This Row],[Salary]],0)</f>
        <v>1366</v>
      </c>
      <c r="K5">
        <f>VLOOKUP(Staff[[#This Row],[Rating]], 'mapping '!$B$2:$C$6, 2, FALSE)</f>
        <v>3</v>
      </c>
      <c r="N5" t="s">
        <v>211</v>
      </c>
      <c r="P5">
        <f ca="1">AVERAGE(Staff[Tenure])</f>
        <v>3.5451156523691889</v>
      </c>
    </row>
    <row r="6" spans="1:20">
      <c r="A6" t="s">
        <v>142</v>
      </c>
      <c r="B6" t="s">
        <v>206</v>
      </c>
      <c r="C6" s="14">
        <v>37</v>
      </c>
      <c r="D6" t="s">
        <v>24</v>
      </c>
      <c r="E6" s="9">
        <v>44085</v>
      </c>
      <c r="F6" t="s">
        <v>21</v>
      </c>
      <c r="G6">
        <v>115440</v>
      </c>
      <c r="H6" t="s">
        <v>205</v>
      </c>
      <c r="I6" s="10">
        <f ca="1">(TODAY()-Staff[[#This Row],[Date Joined]])/365</f>
        <v>4.4986301369863018</v>
      </c>
      <c r="J6" s="20">
        <f ca="1">ROUNDUP(IF(Staff[[#This Row],[Tenure]]&gt;2,3%,2%)*Staff[[#This Row],[Salary]],0)</f>
        <v>3464</v>
      </c>
      <c r="K6">
        <f>VLOOKUP(Staff[[#This Row],[Rating]], 'mapping '!$B$2:$C$6, 2, FALSE)</f>
        <v>2</v>
      </c>
      <c r="N6" t="s">
        <v>212</v>
      </c>
    </row>
    <row r="7" spans="1:20">
      <c r="A7" t="s">
        <v>202</v>
      </c>
      <c r="B7" t="s">
        <v>8</v>
      </c>
      <c r="C7" s="14">
        <v>38</v>
      </c>
      <c r="D7" t="s">
        <v>13</v>
      </c>
      <c r="E7" s="9">
        <v>44268</v>
      </c>
      <c r="F7" t="s">
        <v>19</v>
      </c>
      <c r="G7">
        <v>56870</v>
      </c>
      <c r="H7" t="s">
        <v>205</v>
      </c>
      <c r="I7" s="10">
        <f ca="1">(TODAY()-Staff[[#This Row],[Date Joined]])/365</f>
        <v>3.9972602739726026</v>
      </c>
      <c r="J7" s="20">
        <f ca="1">ROUNDUP(IF(Staff[[#This Row],[Tenure]]&gt;2,3%,2%)*Staff[[#This Row],[Salary]],0)</f>
        <v>1707</v>
      </c>
      <c r="K7">
        <f>VLOOKUP(Staff[[#This Row],[Rating]], 'mapping '!$B$2:$C$6, 2, FALSE)</f>
        <v>4</v>
      </c>
      <c r="N7" t="s">
        <v>214</v>
      </c>
      <c r="P7">
        <f>COUNTIFS(Staff[Gender],"Female")</f>
        <v>86</v>
      </c>
    </row>
    <row r="8" spans="1:20">
      <c r="A8" t="s">
        <v>169</v>
      </c>
      <c r="B8" t="s">
        <v>8</v>
      </c>
      <c r="C8" s="14">
        <v>25</v>
      </c>
      <c r="D8" t="s">
        <v>16</v>
      </c>
      <c r="E8" s="9">
        <v>44144</v>
      </c>
      <c r="F8" t="s">
        <v>19</v>
      </c>
      <c r="G8">
        <v>92700</v>
      </c>
      <c r="H8" t="s">
        <v>205</v>
      </c>
      <c r="I8" s="10">
        <f ca="1">(TODAY()-Staff[[#This Row],[Date Joined]])/365</f>
        <v>4.3369863013698629</v>
      </c>
      <c r="J8" s="20">
        <f ca="1">ROUNDUP(IF(Staff[[#This Row],[Tenure]]&gt;2,3%,2%)*Staff[[#This Row],[Salary]],0)</f>
        <v>2781</v>
      </c>
      <c r="K8">
        <f>VLOOKUP(Staff[[#This Row],[Rating]], 'mapping '!$B$2:$C$6, 2, FALSE)</f>
        <v>3</v>
      </c>
      <c r="N8" t="s">
        <v>215</v>
      </c>
      <c r="P8" s="11">
        <f>P7/P2</f>
        <v>0.46994535519125685</v>
      </c>
    </row>
    <row r="9" spans="1:20">
      <c r="A9" t="s">
        <v>145</v>
      </c>
      <c r="B9" t="s">
        <v>206</v>
      </c>
      <c r="C9" s="14">
        <v>32</v>
      </c>
      <c r="D9" t="s">
        <v>16</v>
      </c>
      <c r="E9" s="9">
        <v>44713</v>
      </c>
      <c r="F9" t="s">
        <v>12</v>
      </c>
      <c r="G9">
        <v>91310</v>
      </c>
      <c r="H9" t="s">
        <v>205</v>
      </c>
      <c r="I9" s="10">
        <f ca="1">(TODAY()-Staff[[#This Row],[Date Joined]])/365</f>
        <v>2.7780821917808218</v>
      </c>
      <c r="J9" s="20">
        <f ca="1">ROUNDUP(IF(Staff[[#This Row],[Tenure]]&gt;2,3%,2%)*Staff[[#This Row],[Salary]],0)</f>
        <v>2740</v>
      </c>
      <c r="K9">
        <f>VLOOKUP(Staff[[#This Row],[Rating]], 'mapping '!$B$2:$C$6, 2, FALSE)</f>
        <v>3</v>
      </c>
      <c r="N9" t="s">
        <v>216</v>
      </c>
      <c r="P9" s="11">
        <f>COUNTIF(Staff[Salary],"&gt;=90000")/COUNTA(Staff[Salary])</f>
        <v>0.34426229508196721</v>
      </c>
      <c r="Q9" s="11"/>
      <c r="R9" s="11"/>
      <c r="S9" s="11"/>
      <c r="T9" s="11"/>
    </row>
    <row r="10" spans="1:20">
      <c r="A10" t="s">
        <v>115</v>
      </c>
      <c r="B10" t="s">
        <v>15</v>
      </c>
      <c r="C10" s="14">
        <v>33</v>
      </c>
      <c r="D10" t="s">
        <v>16</v>
      </c>
      <c r="E10" s="9">
        <v>44324</v>
      </c>
      <c r="F10" t="s">
        <v>19</v>
      </c>
      <c r="G10">
        <v>74550</v>
      </c>
      <c r="H10" t="s">
        <v>205</v>
      </c>
      <c r="I10" s="10">
        <f ca="1">(TODAY()-Staff[[#This Row],[Date Joined]])/365</f>
        <v>3.8438356164383563</v>
      </c>
      <c r="J10" s="20">
        <f ca="1">ROUNDUP(IF(Staff[[#This Row],[Tenure]]&gt;2,3%,2%)*Staff[[#This Row],[Salary]],0)</f>
        <v>2237</v>
      </c>
      <c r="K10">
        <f>VLOOKUP(Staff[[#This Row],[Rating]], 'mapping '!$B$2:$C$6, 2, FALSE)</f>
        <v>3</v>
      </c>
    </row>
    <row r="11" spans="1:20">
      <c r="A11" t="s">
        <v>128</v>
      </c>
      <c r="B11" t="s">
        <v>15</v>
      </c>
      <c r="C11" s="14">
        <v>25</v>
      </c>
      <c r="D11" t="s">
        <v>13</v>
      </c>
      <c r="E11" s="9">
        <v>44665</v>
      </c>
      <c r="F11" t="s">
        <v>9</v>
      </c>
      <c r="G11">
        <v>109190</v>
      </c>
      <c r="H11" t="s">
        <v>205</v>
      </c>
      <c r="I11" s="10">
        <f ca="1">(TODAY()-Staff[[#This Row],[Date Joined]])/365</f>
        <v>2.9095890410958902</v>
      </c>
      <c r="J11" s="20">
        <f ca="1">ROUNDUP(IF(Staff[[#This Row],[Tenure]]&gt;2,3%,2%)*Staff[[#This Row],[Salary]],0)</f>
        <v>3276</v>
      </c>
      <c r="K11">
        <f>VLOOKUP(Staff[[#This Row],[Rating]], 'mapping '!$B$2:$C$6, 2, FALSE)</f>
        <v>4</v>
      </c>
    </row>
    <row r="12" spans="1:20">
      <c r="A12" t="s">
        <v>194</v>
      </c>
      <c r="B12" t="s">
        <v>8</v>
      </c>
      <c r="C12" s="14">
        <v>40</v>
      </c>
      <c r="D12" t="s">
        <v>16</v>
      </c>
      <c r="E12" s="9">
        <v>44320</v>
      </c>
      <c r="F12" t="s">
        <v>12</v>
      </c>
      <c r="G12">
        <v>104410</v>
      </c>
      <c r="H12" t="s">
        <v>205</v>
      </c>
      <c r="I12" s="10">
        <f ca="1">(TODAY()-Staff[[#This Row],[Date Joined]])/365</f>
        <v>3.8547945205479452</v>
      </c>
      <c r="J12" s="20">
        <f ca="1">ROUNDUP(IF(Staff[[#This Row],[Tenure]]&gt;2,3%,2%)*Staff[[#This Row],[Salary]],0)</f>
        <v>3133</v>
      </c>
      <c r="K12">
        <f>VLOOKUP(Staff[[#This Row],[Rating]], 'mapping '!$B$2:$C$6, 2, FALSE)</f>
        <v>3</v>
      </c>
    </row>
    <row r="13" spans="1:20">
      <c r="A13" t="s">
        <v>177</v>
      </c>
      <c r="B13" t="s">
        <v>15</v>
      </c>
      <c r="C13" s="14">
        <v>30</v>
      </c>
      <c r="D13" t="s">
        <v>16</v>
      </c>
      <c r="E13" s="9">
        <v>44544</v>
      </c>
      <c r="F13" t="s">
        <v>21</v>
      </c>
      <c r="G13">
        <v>96800</v>
      </c>
      <c r="H13" t="s">
        <v>205</v>
      </c>
      <c r="I13" s="10">
        <f ca="1">(TODAY()-Staff[[#This Row],[Date Joined]])/365</f>
        <v>3.2410958904109588</v>
      </c>
      <c r="J13" s="20">
        <f ca="1">ROUNDUP(IF(Staff[[#This Row],[Tenure]]&gt;2,3%,2%)*Staff[[#This Row],[Salary]],0)</f>
        <v>2904</v>
      </c>
      <c r="K13">
        <f>VLOOKUP(Staff[[#This Row],[Rating]], 'mapping '!$B$2:$C$6, 2, FALSE)</f>
        <v>3</v>
      </c>
    </row>
    <row r="14" spans="1:20">
      <c r="A14" t="s">
        <v>123</v>
      </c>
      <c r="B14" t="s">
        <v>15</v>
      </c>
      <c r="C14" s="14">
        <v>28</v>
      </c>
      <c r="D14" t="s">
        <v>13</v>
      </c>
      <c r="E14" s="9">
        <v>43980</v>
      </c>
      <c r="F14" t="s">
        <v>21</v>
      </c>
      <c r="G14">
        <v>48170</v>
      </c>
      <c r="H14" t="s">
        <v>205</v>
      </c>
      <c r="I14" s="10">
        <f ca="1">(TODAY()-Staff[[#This Row],[Date Joined]])/365</f>
        <v>4.7863013698630139</v>
      </c>
      <c r="J14" s="20">
        <f ca="1">ROUNDUP(IF(Staff[[#This Row],[Tenure]]&gt;2,3%,2%)*Staff[[#This Row],[Salary]],0)</f>
        <v>1446</v>
      </c>
      <c r="K14">
        <f>VLOOKUP(Staff[[#This Row],[Rating]], 'mapping '!$B$2:$C$6, 2, FALSE)</f>
        <v>4</v>
      </c>
      <c r="M14" s="12">
        <v>2</v>
      </c>
    </row>
    <row r="15" spans="1:20">
      <c r="A15" t="s">
        <v>140</v>
      </c>
      <c r="B15" t="s">
        <v>15</v>
      </c>
      <c r="C15" s="14">
        <v>21</v>
      </c>
      <c r="D15" t="s">
        <v>16</v>
      </c>
      <c r="E15" s="9">
        <v>44042</v>
      </c>
      <c r="F15" t="s">
        <v>9</v>
      </c>
      <c r="G15">
        <v>37920</v>
      </c>
      <c r="H15" t="s">
        <v>205</v>
      </c>
      <c r="I15" s="10">
        <f ca="1">(TODAY()-Staff[[#This Row],[Date Joined]])/365</f>
        <v>4.6164383561643838</v>
      </c>
      <c r="J15" s="20">
        <f ca="1">ROUNDUP(IF(Staff[[#This Row],[Tenure]]&gt;2,3%,2%)*Staff[[#This Row],[Salary]],0)</f>
        <v>1138</v>
      </c>
      <c r="K15">
        <f>VLOOKUP(Staff[[#This Row],[Rating]], 'mapping '!$B$2:$C$6, 2, FALSE)</f>
        <v>3</v>
      </c>
      <c r="N15" s="13" t="s">
        <v>156</v>
      </c>
    </row>
    <row r="16" spans="1:20">
      <c r="A16" t="s">
        <v>178</v>
      </c>
      <c r="B16" t="s">
        <v>15</v>
      </c>
      <c r="C16" s="14">
        <v>34</v>
      </c>
      <c r="D16" t="s">
        <v>16</v>
      </c>
      <c r="E16" s="9">
        <v>44642</v>
      </c>
      <c r="F16" t="s">
        <v>9</v>
      </c>
      <c r="G16">
        <v>112650</v>
      </c>
      <c r="H16" t="s">
        <v>205</v>
      </c>
      <c r="I16" s="10">
        <f ca="1">(TODAY()-Staff[[#This Row],[Date Joined]])/365</f>
        <v>2.9726027397260273</v>
      </c>
      <c r="J16" s="20">
        <f ca="1">ROUNDUP(IF(Staff[[#This Row],[Tenure]]&gt;2,3%,2%)*Staff[[#This Row],[Salary]],0)</f>
        <v>3380</v>
      </c>
      <c r="K16">
        <f>VLOOKUP(Staff[[#This Row],[Rating]], 'mapping '!$B$2:$C$6, 2, FALSE)</f>
        <v>3</v>
      </c>
    </row>
    <row r="17" spans="1:14">
      <c r="A17" t="s">
        <v>165</v>
      </c>
      <c r="B17" t="s">
        <v>8</v>
      </c>
      <c r="C17" s="14">
        <v>34</v>
      </c>
      <c r="D17" t="s">
        <v>24</v>
      </c>
      <c r="E17" s="9">
        <v>44660</v>
      </c>
      <c r="F17" t="s">
        <v>19</v>
      </c>
      <c r="G17">
        <v>49630</v>
      </c>
      <c r="H17" t="s">
        <v>205</v>
      </c>
      <c r="I17" s="10">
        <f ca="1">(TODAY()-Staff[[#This Row],[Date Joined]])/365</f>
        <v>2.9232876712328766</v>
      </c>
      <c r="J17" s="20">
        <f ca="1">ROUNDUP(IF(Staff[[#This Row],[Tenure]]&gt;2,3%,2%)*Staff[[#This Row],[Salary]],0)</f>
        <v>1489</v>
      </c>
      <c r="K17">
        <f>VLOOKUP(Staff[[#This Row],[Rating]], 'mapping '!$B$2:$C$6, 2, FALSE)</f>
        <v>2</v>
      </c>
      <c r="M17" s="15" t="s">
        <v>217</v>
      </c>
      <c r="N17" s="15" t="str">
        <f>VLOOKUP(N15,Staff[],2,FALSE)</f>
        <v>Male</v>
      </c>
    </row>
    <row r="18" spans="1:14">
      <c r="A18" t="s">
        <v>199</v>
      </c>
      <c r="B18" t="s">
        <v>15</v>
      </c>
      <c r="C18" s="14">
        <v>36</v>
      </c>
      <c r="D18" t="s">
        <v>16</v>
      </c>
      <c r="E18" s="9">
        <v>43958</v>
      </c>
      <c r="F18" t="s">
        <v>12</v>
      </c>
      <c r="G18">
        <v>118840</v>
      </c>
      <c r="H18" t="s">
        <v>205</v>
      </c>
      <c r="I18" s="10">
        <f ca="1">(TODAY()-Staff[[#This Row],[Date Joined]])/365</f>
        <v>4.8465753424657532</v>
      </c>
      <c r="J18" s="20">
        <f ca="1">ROUNDUP(IF(Staff[[#This Row],[Tenure]]&gt;2,3%,2%)*Staff[[#This Row],[Salary]],0)</f>
        <v>3566</v>
      </c>
      <c r="K18">
        <f>VLOOKUP(Staff[[#This Row],[Rating]], 'mapping '!$B$2:$C$6, 2, FALSE)</f>
        <v>3</v>
      </c>
      <c r="M18" s="15" t="s">
        <v>218</v>
      </c>
      <c r="N18" s="15">
        <f>VLOOKUP(N15, Staff[], 3, FALSE)</f>
        <v>20</v>
      </c>
    </row>
    <row r="19" spans="1:14">
      <c r="A19" t="s">
        <v>159</v>
      </c>
      <c r="B19" t="s">
        <v>15</v>
      </c>
      <c r="C19" s="14">
        <v>30</v>
      </c>
      <c r="D19" t="s">
        <v>16</v>
      </c>
      <c r="E19" s="9">
        <v>44789</v>
      </c>
      <c r="F19" t="s">
        <v>12</v>
      </c>
      <c r="G19">
        <v>69710</v>
      </c>
      <c r="H19" t="s">
        <v>205</v>
      </c>
      <c r="I19" s="10">
        <f ca="1">(TODAY()-Staff[[#This Row],[Date Joined]])/365</f>
        <v>2.56986301369863</v>
      </c>
      <c r="J19" s="20">
        <f ca="1">ROUNDUP(IF(Staff[[#This Row],[Tenure]]&gt;2,3%,2%)*Staff[[#This Row],[Salary]],0)</f>
        <v>2092</v>
      </c>
      <c r="K19">
        <f>VLOOKUP(Staff[[#This Row],[Rating]], 'mapping '!$B$2:$C$6, 2, FALSE)</f>
        <v>3</v>
      </c>
      <c r="M19" s="15" t="s">
        <v>219</v>
      </c>
      <c r="N19" s="15" t="str">
        <f>VLOOKUP(N15, Staff[], 4, FALSE)</f>
        <v>Average</v>
      </c>
    </row>
    <row r="20" spans="1:14">
      <c r="A20" t="s">
        <v>197</v>
      </c>
      <c r="B20" t="s">
        <v>15</v>
      </c>
      <c r="C20" s="14">
        <v>20</v>
      </c>
      <c r="D20" t="s">
        <v>16</v>
      </c>
      <c r="E20" s="9">
        <v>44683</v>
      </c>
      <c r="F20" t="s">
        <v>9</v>
      </c>
      <c r="G20">
        <v>79570</v>
      </c>
      <c r="H20" t="s">
        <v>205</v>
      </c>
      <c r="I20" s="10">
        <f ca="1">(TODAY()-Staff[[#This Row],[Date Joined]])/365</f>
        <v>2.8602739726027395</v>
      </c>
      <c r="J20" s="20">
        <f ca="1">ROUNDUP(IF(Staff[[#This Row],[Tenure]]&gt;2,3%,2%)*Staff[[#This Row],[Salary]],0)</f>
        <v>2388</v>
      </c>
      <c r="K20">
        <f>VLOOKUP(Staff[[#This Row],[Rating]], 'mapping '!$B$2:$C$6, 2, FALSE)</f>
        <v>3</v>
      </c>
      <c r="M20" s="15" t="s">
        <v>220</v>
      </c>
      <c r="N20" s="15">
        <f>VLOOKUP(N15, Staff[], 5, FALSE)</f>
        <v>44122</v>
      </c>
    </row>
    <row r="21" spans="1:14">
      <c r="A21" t="s">
        <v>154</v>
      </c>
      <c r="B21" t="s">
        <v>8</v>
      </c>
      <c r="C21" s="14">
        <v>22</v>
      </c>
      <c r="D21" t="s">
        <v>13</v>
      </c>
      <c r="E21" s="9">
        <v>44388</v>
      </c>
      <c r="F21" t="s">
        <v>9</v>
      </c>
      <c r="G21">
        <v>76900</v>
      </c>
      <c r="H21" t="s">
        <v>205</v>
      </c>
      <c r="I21" s="10">
        <f ca="1">(TODAY()-Staff[[#This Row],[Date Joined]])/365</f>
        <v>3.6684931506849314</v>
      </c>
      <c r="J21" s="20">
        <f ca="1">ROUNDUP(IF(Staff[[#This Row],[Tenure]]&gt;2,3%,2%)*Staff[[#This Row],[Salary]],0)</f>
        <v>2307</v>
      </c>
      <c r="K21">
        <f>VLOOKUP(Staff[[#This Row],[Rating]], 'mapping '!$B$2:$C$6, 2, FALSE)</f>
        <v>4</v>
      </c>
      <c r="M21" s="15" t="s">
        <v>221</v>
      </c>
      <c r="N21" s="15" t="str">
        <f>VLOOKUP(N15, Staff[], 6, FALSE)</f>
        <v>Website</v>
      </c>
    </row>
    <row r="22" spans="1:14">
      <c r="A22" t="s">
        <v>182</v>
      </c>
      <c r="B22" t="s">
        <v>15</v>
      </c>
      <c r="C22" s="14">
        <v>27</v>
      </c>
      <c r="D22" t="s">
        <v>16</v>
      </c>
      <c r="E22" s="9">
        <v>44073</v>
      </c>
      <c r="F22" t="s">
        <v>19</v>
      </c>
      <c r="G22">
        <v>54970</v>
      </c>
      <c r="H22" t="s">
        <v>205</v>
      </c>
      <c r="I22" s="10">
        <f ca="1">(TODAY()-Staff[[#This Row],[Date Joined]])/365</f>
        <v>4.5315068493150683</v>
      </c>
      <c r="J22" s="20">
        <f ca="1">ROUNDUP(IF(Staff[[#This Row],[Tenure]]&gt;2,3%,2%)*Staff[[#This Row],[Salary]],0)</f>
        <v>1650</v>
      </c>
      <c r="K22">
        <f>VLOOKUP(Staff[[#This Row],[Rating]], 'mapping '!$B$2:$C$6, 2, FALSE)</f>
        <v>3</v>
      </c>
      <c r="M22" s="15" t="s">
        <v>222</v>
      </c>
      <c r="N22" s="15">
        <f>VLOOKUP(N15, Staff[], 7, FALSE)</f>
        <v>112650</v>
      </c>
    </row>
    <row r="23" spans="1:14">
      <c r="A23" t="s">
        <v>118</v>
      </c>
      <c r="B23" t="s">
        <v>15</v>
      </c>
      <c r="C23" s="14">
        <v>37</v>
      </c>
      <c r="D23" t="s">
        <v>24</v>
      </c>
      <c r="E23" s="9">
        <v>44277</v>
      </c>
      <c r="F23" t="s">
        <v>12</v>
      </c>
      <c r="G23">
        <v>88050</v>
      </c>
      <c r="H23" t="s">
        <v>205</v>
      </c>
      <c r="I23" s="10">
        <f ca="1">(TODAY()-Staff[[#This Row],[Date Joined]])/365</f>
        <v>3.9726027397260273</v>
      </c>
      <c r="J23" s="20">
        <f ca="1">ROUNDUP(IF(Staff[[#This Row],[Tenure]]&gt;2,3%,2%)*Staff[[#This Row],[Salary]],0)</f>
        <v>2642</v>
      </c>
      <c r="K23">
        <f>VLOOKUP(Staff[[#This Row],[Rating]], 'mapping '!$B$2:$C$6, 2, FALSE)</f>
        <v>2</v>
      </c>
      <c r="M23" s="15" t="s">
        <v>204</v>
      </c>
      <c r="N23" s="15" t="str">
        <f>VLOOKUP(N15, Staff[], 8, FALSE)</f>
        <v>India</v>
      </c>
    </row>
    <row r="24" spans="1:14">
      <c r="A24" t="s">
        <v>192</v>
      </c>
      <c r="B24" t="s">
        <v>15</v>
      </c>
      <c r="C24" s="14">
        <v>43</v>
      </c>
      <c r="D24" t="s">
        <v>16</v>
      </c>
      <c r="E24" s="9">
        <v>44558</v>
      </c>
      <c r="F24" t="s">
        <v>19</v>
      </c>
      <c r="G24">
        <v>36040</v>
      </c>
      <c r="H24" t="s">
        <v>205</v>
      </c>
      <c r="I24" s="10">
        <f ca="1">(TODAY()-Staff[[#This Row],[Date Joined]])/365</f>
        <v>3.2027397260273971</v>
      </c>
      <c r="J24" s="20">
        <f ca="1">ROUNDUP(IF(Staff[[#This Row],[Tenure]]&gt;2,3%,2%)*Staff[[#This Row],[Salary]],0)</f>
        <v>1082</v>
      </c>
      <c r="K24">
        <f>VLOOKUP(Staff[[#This Row],[Rating]], 'mapping '!$B$2:$C$6, 2, FALSE)</f>
        <v>3</v>
      </c>
      <c r="M24" s="15" t="s">
        <v>223</v>
      </c>
      <c r="N24" s="16">
        <f ca="1">VLOOKUP(N15, Staff[], 9, FALSE)</f>
        <v>4.397260273972603</v>
      </c>
    </row>
    <row r="25" spans="1:14">
      <c r="A25" t="s">
        <v>111</v>
      </c>
      <c r="B25" t="s">
        <v>8</v>
      </c>
      <c r="C25" s="14">
        <v>42</v>
      </c>
      <c r="D25" t="s">
        <v>10</v>
      </c>
      <c r="E25" s="9">
        <v>44718</v>
      </c>
      <c r="F25" t="s">
        <v>9</v>
      </c>
      <c r="G25">
        <v>75000</v>
      </c>
      <c r="H25" t="s">
        <v>205</v>
      </c>
      <c r="I25" s="10">
        <f ca="1">(TODAY()-Staff[[#This Row],[Date Joined]])/365</f>
        <v>2.7643835616438355</v>
      </c>
      <c r="J25" s="20">
        <f ca="1">ROUNDUP(IF(Staff[[#This Row],[Tenure]]&gt;2,3%,2%)*Staff[[#This Row],[Salary]],0)</f>
        <v>2250</v>
      </c>
      <c r="K25">
        <f>VLOOKUP(Staff[[#This Row],[Rating]], 'mapping '!$B$2:$C$6, 2, FALSE)</f>
        <v>5</v>
      </c>
    </row>
    <row r="26" spans="1:14">
      <c r="A26" t="s">
        <v>149</v>
      </c>
      <c r="B26" t="s">
        <v>15</v>
      </c>
      <c r="C26" s="14">
        <v>35</v>
      </c>
      <c r="D26" t="s">
        <v>16</v>
      </c>
      <c r="E26" s="9">
        <v>44666</v>
      </c>
      <c r="F26" t="s">
        <v>9</v>
      </c>
      <c r="G26">
        <v>40400</v>
      </c>
      <c r="H26" t="s">
        <v>205</v>
      </c>
      <c r="I26" s="10">
        <f ca="1">(TODAY()-Staff[[#This Row],[Date Joined]])/365</f>
        <v>2.9068493150684933</v>
      </c>
      <c r="J26" s="20">
        <f ca="1">ROUNDUP(IF(Staff[[#This Row],[Tenure]]&gt;2,3%,2%)*Staff[[#This Row],[Salary]],0)</f>
        <v>1212</v>
      </c>
      <c r="K26">
        <f>VLOOKUP(Staff[[#This Row],[Rating]], 'mapping '!$B$2:$C$6, 2, FALSE)</f>
        <v>3</v>
      </c>
    </row>
    <row r="27" spans="1:14">
      <c r="A27" t="s">
        <v>196</v>
      </c>
      <c r="B27" t="s">
        <v>15</v>
      </c>
      <c r="C27" s="14">
        <v>24</v>
      </c>
      <c r="D27" t="s">
        <v>16</v>
      </c>
      <c r="E27" s="9">
        <v>44625</v>
      </c>
      <c r="F27" t="s">
        <v>12</v>
      </c>
      <c r="G27">
        <v>100420</v>
      </c>
      <c r="H27" t="s">
        <v>205</v>
      </c>
      <c r="I27" s="10">
        <f ca="1">(TODAY()-Staff[[#This Row],[Date Joined]])/365</f>
        <v>3.0191780821917806</v>
      </c>
      <c r="J27" s="20">
        <f ca="1">ROUNDUP(IF(Staff[[#This Row],[Tenure]]&gt;2,3%,2%)*Staff[[#This Row],[Salary]],0)</f>
        <v>3013</v>
      </c>
      <c r="K27">
        <f>VLOOKUP(Staff[[#This Row],[Rating]], 'mapping '!$B$2:$C$6, 2, FALSE)</f>
        <v>3</v>
      </c>
    </row>
    <row r="28" spans="1:14">
      <c r="A28" t="s">
        <v>120</v>
      </c>
      <c r="B28" t="s">
        <v>8</v>
      </c>
      <c r="C28" s="14">
        <v>31</v>
      </c>
      <c r="D28" t="s">
        <v>16</v>
      </c>
      <c r="E28" s="9">
        <v>44604</v>
      </c>
      <c r="F28" t="s">
        <v>12</v>
      </c>
      <c r="G28">
        <v>58100</v>
      </c>
      <c r="H28" t="s">
        <v>205</v>
      </c>
      <c r="I28" s="10">
        <f ca="1">(TODAY()-Staff[[#This Row],[Date Joined]])/365</f>
        <v>3.0767123287671234</v>
      </c>
      <c r="J28" s="20">
        <f ca="1">ROUNDUP(IF(Staff[[#This Row],[Tenure]]&gt;2,3%,2%)*Staff[[#This Row],[Salary]],0)</f>
        <v>1743</v>
      </c>
      <c r="K28">
        <f>VLOOKUP(Staff[[#This Row],[Rating]], 'mapping '!$B$2:$C$6, 2, FALSE)</f>
        <v>3</v>
      </c>
    </row>
    <row r="29" spans="1:14">
      <c r="A29" t="s">
        <v>114</v>
      </c>
      <c r="B29" t="s">
        <v>8</v>
      </c>
      <c r="C29" s="14">
        <v>44</v>
      </c>
      <c r="D29" t="s">
        <v>16</v>
      </c>
      <c r="E29" s="9">
        <v>44985</v>
      </c>
      <c r="F29" t="s">
        <v>12</v>
      </c>
      <c r="G29">
        <v>114870</v>
      </c>
      <c r="H29" t="s">
        <v>205</v>
      </c>
      <c r="I29" s="10">
        <f ca="1">(TODAY()-Staff[[#This Row],[Date Joined]])/365</f>
        <v>2.032876712328767</v>
      </c>
      <c r="J29" s="20">
        <f ca="1">ROUNDUP(IF(Staff[[#This Row],[Tenure]]&gt;2,3%,2%)*Staff[[#This Row],[Salary]],0)</f>
        <v>3447</v>
      </c>
      <c r="K29">
        <f>VLOOKUP(Staff[[#This Row],[Rating]], 'mapping '!$B$2:$C$6, 2, FALSE)</f>
        <v>3</v>
      </c>
    </row>
    <row r="30" spans="1:14">
      <c r="A30" t="s">
        <v>158</v>
      </c>
      <c r="B30" t="s">
        <v>8</v>
      </c>
      <c r="C30" s="14">
        <v>32</v>
      </c>
      <c r="D30" t="s">
        <v>16</v>
      </c>
      <c r="E30" s="9">
        <v>44549</v>
      </c>
      <c r="F30" t="s">
        <v>9</v>
      </c>
      <c r="G30">
        <v>41570</v>
      </c>
      <c r="H30" t="s">
        <v>205</v>
      </c>
      <c r="I30" s="10">
        <f ca="1">(TODAY()-Staff[[#This Row],[Date Joined]])/365</f>
        <v>3.2273972602739724</v>
      </c>
      <c r="J30" s="20">
        <f ca="1">ROUNDUP(IF(Staff[[#This Row],[Tenure]]&gt;2,3%,2%)*Staff[[#This Row],[Salary]],0)</f>
        <v>1248</v>
      </c>
      <c r="K30">
        <f>VLOOKUP(Staff[[#This Row],[Rating]], 'mapping '!$B$2:$C$6, 2, FALSE)</f>
        <v>3</v>
      </c>
    </row>
    <row r="31" spans="1:14">
      <c r="A31" t="s">
        <v>173</v>
      </c>
      <c r="B31" t="s">
        <v>8</v>
      </c>
      <c r="C31" s="14">
        <v>30</v>
      </c>
      <c r="D31" t="s">
        <v>16</v>
      </c>
      <c r="E31" s="9">
        <v>44800</v>
      </c>
      <c r="F31" t="s">
        <v>9</v>
      </c>
      <c r="G31">
        <v>112570</v>
      </c>
      <c r="H31" t="s">
        <v>205</v>
      </c>
      <c r="I31" s="10">
        <f ca="1">(TODAY()-Staff[[#This Row],[Date Joined]])/365</f>
        <v>2.5397260273972604</v>
      </c>
      <c r="J31" s="20">
        <f ca="1">ROUNDUP(IF(Staff[[#This Row],[Tenure]]&gt;2,3%,2%)*Staff[[#This Row],[Salary]],0)</f>
        <v>3378</v>
      </c>
      <c r="K31">
        <f>VLOOKUP(Staff[[#This Row],[Rating]], 'mapping '!$B$2:$C$6, 2, FALSE)</f>
        <v>3</v>
      </c>
    </row>
    <row r="32" spans="1:14">
      <c r="A32" t="s">
        <v>151</v>
      </c>
      <c r="B32" t="s">
        <v>15</v>
      </c>
      <c r="C32" s="14">
        <v>26</v>
      </c>
      <c r="D32" t="s">
        <v>16</v>
      </c>
      <c r="E32" s="9">
        <v>44164</v>
      </c>
      <c r="F32" t="s">
        <v>9</v>
      </c>
      <c r="G32">
        <v>47360</v>
      </c>
      <c r="H32" t="s">
        <v>205</v>
      </c>
      <c r="I32" s="10">
        <f ca="1">(TODAY()-Staff[[#This Row],[Date Joined]])/365</f>
        <v>4.2821917808219174</v>
      </c>
      <c r="J32" s="20">
        <f ca="1">ROUNDUP(IF(Staff[[#This Row],[Tenure]]&gt;2,3%,2%)*Staff[[#This Row],[Salary]],0)</f>
        <v>1421</v>
      </c>
      <c r="K32">
        <f>VLOOKUP(Staff[[#This Row],[Rating]], 'mapping '!$B$2:$C$6, 2, FALSE)</f>
        <v>3</v>
      </c>
    </row>
    <row r="33" spans="1:11">
      <c r="A33" t="s">
        <v>126</v>
      </c>
      <c r="B33" t="s">
        <v>8</v>
      </c>
      <c r="C33" s="14">
        <v>21</v>
      </c>
      <c r="D33" t="s">
        <v>16</v>
      </c>
      <c r="E33" s="9">
        <v>44256</v>
      </c>
      <c r="F33" t="s">
        <v>21</v>
      </c>
      <c r="G33">
        <v>65920</v>
      </c>
      <c r="H33" t="s">
        <v>205</v>
      </c>
      <c r="I33" s="10">
        <f ca="1">(TODAY()-Staff[[#This Row],[Date Joined]])/365</f>
        <v>4.0301369863013701</v>
      </c>
      <c r="J33" s="20">
        <f ca="1">ROUNDUP(IF(Staff[[#This Row],[Tenure]]&gt;2,3%,2%)*Staff[[#This Row],[Salary]],0)</f>
        <v>1978</v>
      </c>
      <c r="K33">
        <f>VLOOKUP(Staff[[#This Row],[Rating]], 'mapping '!$B$2:$C$6, 2, FALSE)</f>
        <v>3</v>
      </c>
    </row>
    <row r="34" spans="1:11">
      <c r="A34" t="s">
        <v>200</v>
      </c>
      <c r="B34" t="s">
        <v>8</v>
      </c>
      <c r="C34" s="14">
        <v>28</v>
      </c>
      <c r="D34" t="s">
        <v>16</v>
      </c>
      <c r="E34" s="9">
        <v>44571</v>
      </c>
      <c r="F34" t="s">
        <v>9</v>
      </c>
      <c r="G34">
        <v>99970</v>
      </c>
      <c r="H34" t="s">
        <v>205</v>
      </c>
      <c r="I34" s="10">
        <f ca="1">(TODAY()-Staff[[#This Row],[Date Joined]])/365</f>
        <v>3.1671232876712327</v>
      </c>
      <c r="J34" s="20">
        <f ca="1">ROUNDUP(IF(Staff[[#This Row],[Tenure]]&gt;2,3%,2%)*Staff[[#This Row],[Salary]],0)</f>
        <v>3000</v>
      </c>
      <c r="K34">
        <f>VLOOKUP(Staff[[#This Row],[Rating]], 'mapping '!$B$2:$C$6, 2, FALSE)</f>
        <v>3</v>
      </c>
    </row>
    <row r="35" spans="1:11">
      <c r="A35" t="s">
        <v>133</v>
      </c>
      <c r="B35" t="s">
        <v>8</v>
      </c>
      <c r="C35" s="14">
        <v>25</v>
      </c>
      <c r="D35" t="s">
        <v>13</v>
      </c>
      <c r="E35" s="9">
        <v>44633</v>
      </c>
      <c r="F35" t="s">
        <v>12</v>
      </c>
      <c r="G35">
        <v>80700</v>
      </c>
      <c r="H35" t="s">
        <v>205</v>
      </c>
      <c r="I35" s="10">
        <f ca="1">(TODAY()-Staff[[#This Row],[Date Joined]])/365</f>
        <v>2.9972602739726026</v>
      </c>
      <c r="J35" s="20">
        <f ca="1">ROUNDUP(IF(Staff[[#This Row],[Tenure]]&gt;2,3%,2%)*Staff[[#This Row],[Salary]],0)</f>
        <v>2421</v>
      </c>
      <c r="K35">
        <f>VLOOKUP(Staff[[#This Row],[Rating]], 'mapping '!$B$2:$C$6, 2, FALSE)</f>
        <v>4</v>
      </c>
    </row>
    <row r="36" spans="1:11">
      <c r="A36" t="s">
        <v>155</v>
      </c>
      <c r="B36" t="s">
        <v>15</v>
      </c>
      <c r="C36" s="14">
        <v>24</v>
      </c>
      <c r="D36" t="s">
        <v>24</v>
      </c>
      <c r="E36" s="9">
        <v>44375</v>
      </c>
      <c r="F36" t="s">
        <v>21</v>
      </c>
      <c r="G36">
        <v>52610</v>
      </c>
      <c r="H36" t="s">
        <v>205</v>
      </c>
      <c r="I36" s="10">
        <f ca="1">(TODAY()-Staff[[#This Row],[Date Joined]])/365</f>
        <v>3.7041095890410958</v>
      </c>
      <c r="J36" s="20">
        <f ca="1">ROUNDUP(IF(Staff[[#This Row],[Tenure]]&gt;2,3%,2%)*Staff[[#This Row],[Salary]],0)</f>
        <v>1579</v>
      </c>
      <c r="K36">
        <f>VLOOKUP(Staff[[#This Row],[Rating]], 'mapping '!$B$2:$C$6, 2, FALSE)</f>
        <v>2</v>
      </c>
    </row>
    <row r="37" spans="1:11">
      <c r="A37" t="s">
        <v>180</v>
      </c>
      <c r="B37" t="s">
        <v>15</v>
      </c>
      <c r="C37" s="14">
        <v>29</v>
      </c>
      <c r="D37" t="s">
        <v>24</v>
      </c>
      <c r="E37" s="9">
        <v>44119</v>
      </c>
      <c r="F37" t="s">
        <v>12</v>
      </c>
      <c r="G37">
        <v>112110</v>
      </c>
      <c r="H37" t="s">
        <v>205</v>
      </c>
      <c r="I37" s="10">
        <f ca="1">(TODAY()-Staff[[#This Row],[Date Joined]])/365</f>
        <v>4.4054794520547942</v>
      </c>
      <c r="J37" s="20">
        <f ca="1">ROUNDUP(IF(Staff[[#This Row],[Tenure]]&gt;2,3%,2%)*Staff[[#This Row],[Salary]],0)</f>
        <v>3364</v>
      </c>
      <c r="K37">
        <f>VLOOKUP(Staff[[#This Row],[Rating]], 'mapping '!$B$2:$C$6, 2, FALSE)</f>
        <v>2</v>
      </c>
    </row>
    <row r="38" spans="1:11">
      <c r="A38" t="s">
        <v>152</v>
      </c>
      <c r="B38" t="s">
        <v>8</v>
      </c>
      <c r="C38" s="14">
        <v>27</v>
      </c>
      <c r="D38" t="s">
        <v>16</v>
      </c>
      <c r="E38" s="9">
        <v>44061</v>
      </c>
      <c r="F38" t="s">
        <v>56</v>
      </c>
      <c r="G38">
        <v>119110</v>
      </c>
      <c r="H38" t="s">
        <v>205</v>
      </c>
      <c r="I38" s="10">
        <f ca="1">(TODAY()-Staff[[#This Row],[Date Joined]])/365</f>
        <v>4.5643835616438357</v>
      </c>
      <c r="J38" s="20">
        <f ca="1">ROUNDUP(IF(Staff[[#This Row],[Tenure]]&gt;2,3%,2%)*Staff[[#This Row],[Salary]],0)</f>
        <v>3574</v>
      </c>
      <c r="K38">
        <f>VLOOKUP(Staff[[#This Row],[Rating]], 'mapping '!$B$2:$C$6, 2, FALSE)</f>
        <v>3</v>
      </c>
    </row>
    <row r="39" spans="1:11">
      <c r="A39" t="s">
        <v>150</v>
      </c>
      <c r="B39" t="s">
        <v>15</v>
      </c>
      <c r="C39" s="14">
        <v>22</v>
      </c>
      <c r="D39" t="s">
        <v>13</v>
      </c>
      <c r="E39" s="9">
        <v>44384</v>
      </c>
      <c r="F39" t="s">
        <v>19</v>
      </c>
      <c r="G39">
        <v>112780</v>
      </c>
      <c r="H39" t="s">
        <v>205</v>
      </c>
      <c r="I39" s="10">
        <f ca="1">(TODAY()-Staff[[#This Row],[Date Joined]])/365</f>
        <v>3.6794520547945204</v>
      </c>
      <c r="J39" s="20">
        <f ca="1">ROUNDUP(IF(Staff[[#This Row],[Tenure]]&gt;2,3%,2%)*Staff[[#This Row],[Salary]],0)</f>
        <v>3384</v>
      </c>
      <c r="K39">
        <f>VLOOKUP(Staff[[#This Row],[Rating]], 'mapping '!$B$2:$C$6, 2, FALSE)</f>
        <v>4</v>
      </c>
    </row>
    <row r="40" spans="1:11">
      <c r="A40" t="s">
        <v>175</v>
      </c>
      <c r="B40" t="s">
        <v>8</v>
      </c>
      <c r="C40" s="14">
        <v>36</v>
      </c>
      <c r="D40" t="s">
        <v>16</v>
      </c>
      <c r="E40" s="9">
        <v>44023</v>
      </c>
      <c r="F40" t="s">
        <v>9</v>
      </c>
      <c r="G40">
        <v>114890</v>
      </c>
      <c r="H40" t="s">
        <v>205</v>
      </c>
      <c r="I40" s="10">
        <f ca="1">(TODAY()-Staff[[#This Row],[Date Joined]])/365</f>
        <v>4.6684931506849319</v>
      </c>
      <c r="J40" s="20">
        <f ca="1">ROUNDUP(IF(Staff[[#This Row],[Tenure]]&gt;2,3%,2%)*Staff[[#This Row],[Salary]],0)</f>
        <v>3447</v>
      </c>
      <c r="K40">
        <f>VLOOKUP(Staff[[#This Row],[Rating]], 'mapping '!$B$2:$C$6, 2, FALSE)</f>
        <v>3</v>
      </c>
    </row>
    <row r="41" spans="1:11">
      <c r="A41" t="s">
        <v>146</v>
      </c>
      <c r="B41" t="s">
        <v>15</v>
      </c>
      <c r="C41" s="14">
        <v>27</v>
      </c>
      <c r="D41" t="s">
        <v>16</v>
      </c>
      <c r="E41" s="9">
        <v>44506</v>
      </c>
      <c r="F41" t="s">
        <v>21</v>
      </c>
      <c r="G41">
        <v>48980</v>
      </c>
      <c r="H41" t="s">
        <v>205</v>
      </c>
      <c r="I41" s="10">
        <f ca="1">(TODAY()-Staff[[#This Row],[Date Joined]])/365</f>
        <v>3.3452054794520549</v>
      </c>
      <c r="J41" s="20">
        <f ca="1">ROUNDUP(IF(Staff[[#This Row],[Tenure]]&gt;2,3%,2%)*Staff[[#This Row],[Salary]],0)</f>
        <v>1470</v>
      </c>
      <c r="K41">
        <f>VLOOKUP(Staff[[#This Row],[Rating]], 'mapping '!$B$2:$C$6, 2, FALSE)</f>
        <v>3</v>
      </c>
    </row>
    <row r="42" spans="1:11">
      <c r="A42" t="s">
        <v>170</v>
      </c>
      <c r="B42" t="s">
        <v>15</v>
      </c>
      <c r="C42" s="14">
        <v>21</v>
      </c>
      <c r="D42" t="s">
        <v>16</v>
      </c>
      <c r="E42" s="9">
        <v>44180</v>
      </c>
      <c r="F42" t="s">
        <v>56</v>
      </c>
      <c r="G42">
        <v>75880</v>
      </c>
      <c r="H42" t="s">
        <v>205</v>
      </c>
      <c r="I42" s="10">
        <f ca="1">(TODAY()-Staff[[#This Row],[Date Joined]])/365</f>
        <v>4.2383561643835614</v>
      </c>
      <c r="J42" s="20">
        <f ca="1">ROUNDUP(IF(Staff[[#This Row],[Tenure]]&gt;2,3%,2%)*Staff[[#This Row],[Salary]],0)</f>
        <v>2277</v>
      </c>
      <c r="K42">
        <f>VLOOKUP(Staff[[#This Row],[Rating]], 'mapping '!$B$2:$C$6, 2, FALSE)</f>
        <v>3</v>
      </c>
    </row>
    <row r="43" spans="1:11">
      <c r="A43" t="s">
        <v>167</v>
      </c>
      <c r="B43" t="s">
        <v>8</v>
      </c>
      <c r="C43" s="14">
        <v>28</v>
      </c>
      <c r="D43" t="s">
        <v>16</v>
      </c>
      <c r="E43" s="9">
        <v>44296</v>
      </c>
      <c r="F43" t="s">
        <v>19</v>
      </c>
      <c r="G43">
        <v>53240</v>
      </c>
      <c r="H43" t="s">
        <v>205</v>
      </c>
      <c r="I43" s="10">
        <f ca="1">(TODAY()-Staff[[#This Row],[Date Joined]])/365</f>
        <v>3.9205479452054797</v>
      </c>
      <c r="J43" s="20">
        <f ca="1">ROUNDUP(IF(Staff[[#This Row],[Tenure]]&gt;2,3%,2%)*Staff[[#This Row],[Salary]],0)</f>
        <v>1598</v>
      </c>
      <c r="K43">
        <f>VLOOKUP(Staff[[#This Row],[Rating]], 'mapping '!$B$2:$C$6, 2, FALSE)</f>
        <v>3</v>
      </c>
    </row>
    <row r="44" spans="1:11">
      <c r="A44" t="s">
        <v>122</v>
      </c>
      <c r="B44" t="s">
        <v>8</v>
      </c>
      <c r="C44" s="14">
        <v>34</v>
      </c>
      <c r="D44" t="s">
        <v>16</v>
      </c>
      <c r="E44" s="9">
        <v>44397</v>
      </c>
      <c r="F44" t="s">
        <v>21</v>
      </c>
      <c r="G44">
        <v>85000</v>
      </c>
      <c r="H44" t="s">
        <v>205</v>
      </c>
      <c r="I44" s="10">
        <f ca="1">(TODAY()-Staff[[#This Row],[Date Joined]])/365</f>
        <v>3.6438356164383561</v>
      </c>
      <c r="J44" s="20">
        <f ca="1">ROUNDUP(IF(Staff[[#This Row],[Tenure]]&gt;2,3%,2%)*Staff[[#This Row],[Salary]],0)</f>
        <v>2550</v>
      </c>
      <c r="K44">
        <f>VLOOKUP(Staff[[#This Row],[Rating]], 'mapping '!$B$2:$C$6, 2, FALSE)</f>
        <v>3</v>
      </c>
    </row>
    <row r="45" spans="1:11">
      <c r="A45" t="s">
        <v>179</v>
      </c>
      <c r="B45" t="s">
        <v>8</v>
      </c>
      <c r="C45" s="14">
        <v>21</v>
      </c>
      <c r="D45" t="s">
        <v>16</v>
      </c>
      <c r="E45" s="9">
        <v>44619</v>
      </c>
      <c r="F45" t="s">
        <v>12</v>
      </c>
      <c r="G45">
        <v>33920</v>
      </c>
      <c r="H45" t="s">
        <v>205</v>
      </c>
      <c r="I45" s="10">
        <f ca="1">(TODAY()-Staff[[#This Row],[Date Joined]])/365</f>
        <v>3.0356164383561643</v>
      </c>
      <c r="J45" s="20">
        <f ca="1">ROUNDUP(IF(Staff[[#This Row],[Tenure]]&gt;2,3%,2%)*Staff[[#This Row],[Salary]],0)</f>
        <v>1018</v>
      </c>
      <c r="K45">
        <f>VLOOKUP(Staff[[#This Row],[Rating]], 'mapping '!$B$2:$C$6, 2, FALSE)</f>
        <v>3</v>
      </c>
    </row>
    <row r="46" spans="1:11">
      <c r="A46" t="s">
        <v>188</v>
      </c>
      <c r="B46" t="s">
        <v>8</v>
      </c>
      <c r="C46" s="14">
        <v>33</v>
      </c>
      <c r="D46" t="s">
        <v>16</v>
      </c>
      <c r="E46" s="9">
        <v>44253</v>
      </c>
      <c r="F46" t="s">
        <v>12</v>
      </c>
      <c r="G46">
        <v>75280</v>
      </c>
      <c r="H46" t="s">
        <v>205</v>
      </c>
      <c r="I46" s="10">
        <f ca="1">(TODAY()-Staff[[#This Row],[Date Joined]])/365</f>
        <v>4.0383561643835613</v>
      </c>
      <c r="J46" s="20">
        <f ca="1">ROUNDUP(IF(Staff[[#This Row],[Tenure]]&gt;2,3%,2%)*Staff[[#This Row],[Salary]],0)</f>
        <v>2259</v>
      </c>
      <c r="K46">
        <f>VLOOKUP(Staff[[#This Row],[Rating]], 'mapping '!$B$2:$C$6, 2, FALSE)</f>
        <v>3</v>
      </c>
    </row>
    <row r="47" spans="1:11">
      <c r="A47" t="s">
        <v>130</v>
      </c>
      <c r="B47" t="s">
        <v>8</v>
      </c>
      <c r="C47" s="14">
        <v>34</v>
      </c>
      <c r="D47" t="s">
        <v>16</v>
      </c>
      <c r="E47" s="9">
        <v>44594</v>
      </c>
      <c r="F47" t="s">
        <v>21</v>
      </c>
      <c r="G47">
        <v>58940</v>
      </c>
      <c r="H47" t="s">
        <v>205</v>
      </c>
      <c r="I47" s="10">
        <f ca="1">(TODAY()-Staff[[#This Row],[Date Joined]])/365</f>
        <v>3.1041095890410957</v>
      </c>
      <c r="J47" s="20">
        <f ca="1">ROUNDUP(IF(Staff[[#This Row],[Tenure]]&gt;2,3%,2%)*Staff[[#This Row],[Salary]],0)</f>
        <v>1769</v>
      </c>
      <c r="K47">
        <f>VLOOKUP(Staff[[#This Row],[Rating]], 'mapping '!$B$2:$C$6, 2, FALSE)</f>
        <v>3</v>
      </c>
    </row>
    <row r="48" spans="1:11">
      <c r="A48" t="s">
        <v>136</v>
      </c>
      <c r="B48" t="s">
        <v>8</v>
      </c>
      <c r="C48" s="14">
        <v>28</v>
      </c>
      <c r="D48" t="s">
        <v>16</v>
      </c>
      <c r="E48" s="9">
        <v>44425</v>
      </c>
      <c r="F48" t="s">
        <v>9</v>
      </c>
      <c r="G48">
        <v>104770</v>
      </c>
      <c r="H48" t="s">
        <v>205</v>
      </c>
      <c r="I48" s="10">
        <f ca="1">(TODAY()-Staff[[#This Row],[Date Joined]])/365</f>
        <v>3.5671232876712327</v>
      </c>
      <c r="J48" s="20">
        <f ca="1">ROUNDUP(IF(Staff[[#This Row],[Tenure]]&gt;2,3%,2%)*Staff[[#This Row],[Salary]],0)</f>
        <v>3144</v>
      </c>
      <c r="K48">
        <f>VLOOKUP(Staff[[#This Row],[Rating]], 'mapping '!$B$2:$C$6, 2, FALSE)</f>
        <v>3</v>
      </c>
    </row>
    <row r="49" spans="1:11">
      <c r="A49" t="s">
        <v>125</v>
      </c>
      <c r="B49" t="s">
        <v>15</v>
      </c>
      <c r="C49" s="14">
        <v>21</v>
      </c>
      <c r="D49" t="s">
        <v>16</v>
      </c>
      <c r="E49" s="9">
        <v>44701</v>
      </c>
      <c r="F49" t="s">
        <v>9</v>
      </c>
      <c r="G49">
        <v>57090</v>
      </c>
      <c r="H49" t="s">
        <v>205</v>
      </c>
      <c r="I49" s="10">
        <f ca="1">(TODAY()-Staff[[#This Row],[Date Joined]])/365</f>
        <v>2.8109589041095893</v>
      </c>
      <c r="J49" s="20">
        <f ca="1">ROUNDUP(IF(Staff[[#This Row],[Tenure]]&gt;2,3%,2%)*Staff[[#This Row],[Salary]],0)</f>
        <v>1713</v>
      </c>
      <c r="K49">
        <f>VLOOKUP(Staff[[#This Row],[Rating]], 'mapping '!$B$2:$C$6, 2, FALSE)</f>
        <v>3</v>
      </c>
    </row>
    <row r="50" spans="1:11">
      <c r="A50" t="s">
        <v>160</v>
      </c>
      <c r="B50" t="s">
        <v>15</v>
      </c>
      <c r="C50" s="14">
        <v>27</v>
      </c>
      <c r="D50" t="s">
        <v>13</v>
      </c>
      <c r="E50" s="9">
        <v>44174</v>
      </c>
      <c r="F50" t="s">
        <v>21</v>
      </c>
      <c r="G50">
        <v>91650</v>
      </c>
      <c r="H50" t="s">
        <v>205</v>
      </c>
      <c r="I50" s="10">
        <f ca="1">(TODAY()-Staff[[#This Row],[Date Joined]])/365</f>
        <v>4.2547945205479456</v>
      </c>
      <c r="J50" s="20">
        <f ca="1">ROUNDUP(IF(Staff[[#This Row],[Tenure]]&gt;2,3%,2%)*Staff[[#This Row],[Salary]],0)</f>
        <v>2750</v>
      </c>
      <c r="K50">
        <f>VLOOKUP(Staff[[#This Row],[Rating]], 'mapping '!$B$2:$C$6, 2, FALSE)</f>
        <v>4</v>
      </c>
    </row>
    <row r="51" spans="1:11">
      <c r="A51" t="s">
        <v>183</v>
      </c>
      <c r="B51" t="s">
        <v>15</v>
      </c>
      <c r="C51" s="14">
        <v>42</v>
      </c>
      <c r="D51" t="s">
        <v>24</v>
      </c>
      <c r="E51" s="9">
        <v>44670</v>
      </c>
      <c r="F51" t="s">
        <v>21</v>
      </c>
      <c r="G51">
        <v>70270</v>
      </c>
      <c r="H51" t="s">
        <v>205</v>
      </c>
      <c r="I51" s="10">
        <f ca="1">(TODAY()-Staff[[#This Row],[Date Joined]])/365</f>
        <v>2.8958904109589043</v>
      </c>
      <c r="J51" s="20">
        <f ca="1">ROUNDUP(IF(Staff[[#This Row],[Tenure]]&gt;2,3%,2%)*Staff[[#This Row],[Salary]],0)</f>
        <v>2109</v>
      </c>
      <c r="K51">
        <f>VLOOKUP(Staff[[#This Row],[Rating]], 'mapping '!$B$2:$C$6, 2, FALSE)</f>
        <v>2</v>
      </c>
    </row>
    <row r="52" spans="1:11">
      <c r="A52" t="s">
        <v>129</v>
      </c>
      <c r="B52" t="s">
        <v>8</v>
      </c>
      <c r="C52" s="14">
        <v>28</v>
      </c>
      <c r="D52" t="s">
        <v>16</v>
      </c>
      <c r="E52" s="9">
        <v>44124</v>
      </c>
      <c r="F52" t="s">
        <v>21</v>
      </c>
      <c r="G52">
        <v>75970</v>
      </c>
      <c r="H52" t="s">
        <v>205</v>
      </c>
      <c r="I52" s="10">
        <f ca="1">(TODAY()-Staff[[#This Row],[Date Joined]])/365</f>
        <v>4.3917808219178083</v>
      </c>
      <c r="J52" s="20">
        <f ca="1">ROUNDUP(IF(Staff[[#This Row],[Tenure]]&gt;2,3%,2%)*Staff[[#This Row],[Salary]],0)</f>
        <v>2280</v>
      </c>
      <c r="K52">
        <f>VLOOKUP(Staff[[#This Row],[Rating]], 'mapping '!$B$2:$C$6, 2, FALSE)</f>
        <v>3</v>
      </c>
    </row>
    <row r="53" spans="1:11">
      <c r="A53" t="s">
        <v>112</v>
      </c>
      <c r="B53" t="s">
        <v>206</v>
      </c>
      <c r="C53" s="14">
        <v>27</v>
      </c>
      <c r="D53" t="s">
        <v>13</v>
      </c>
      <c r="E53" s="9">
        <v>44212</v>
      </c>
      <c r="F53" t="s">
        <v>12</v>
      </c>
      <c r="G53">
        <v>90700</v>
      </c>
      <c r="H53" t="s">
        <v>205</v>
      </c>
      <c r="I53" s="10">
        <f ca="1">(TODAY()-Staff[[#This Row],[Date Joined]])/365</f>
        <v>4.1506849315068495</v>
      </c>
      <c r="J53" s="20">
        <f ca="1">ROUNDUP(IF(Staff[[#This Row],[Tenure]]&gt;2,3%,2%)*Staff[[#This Row],[Salary]],0)</f>
        <v>2721</v>
      </c>
      <c r="K53">
        <f>VLOOKUP(Staff[[#This Row],[Rating]], 'mapping '!$B$2:$C$6, 2, FALSE)</f>
        <v>4</v>
      </c>
    </row>
    <row r="54" spans="1:11">
      <c r="A54" t="s">
        <v>131</v>
      </c>
      <c r="B54" t="s">
        <v>15</v>
      </c>
      <c r="C54" s="14">
        <v>30</v>
      </c>
      <c r="D54" t="s">
        <v>16</v>
      </c>
      <c r="E54" s="9">
        <v>44607</v>
      </c>
      <c r="F54" t="s">
        <v>9</v>
      </c>
      <c r="G54">
        <v>60570</v>
      </c>
      <c r="H54" t="s">
        <v>205</v>
      </c>
      <c r="I54" s="10">
        <f ca="1">(TODAY()-Staff[[#This Row],[Date Joined]])/365</f>
        <v>3.0684931506849313</v>
      </c>
      <c r="J54" s="20">
        <f ca="1">ROUNDUP(IF(Staff[[#This Row],[Tenure]]&gt;2,3%,2%)*Staff[[#This Row],[Salary]],0)</f>
        <v>1818</v>
      </c>
      <c r="K54">
        <f>VLOOKUP(Staff[[#This Row],[Rating]], 'mapping '!$B$2:$C$6, 2, FALSE)</f>
        <v>3</v>
      </c>
    </row>
    <row r="55" spans="1:11">
      <c r="A55" t="s">
        <v>134</v>
      </c>
      <c r="B55" t="s">
        <v>15</v>
      </c>
      <c r="C55" s="14">
        <v>33</v>
      </c>
      <c r="D55" t="s">
        <v>16</v>
      </c>
      <c r="E55" s="9">
        <v>44103</v>
      </c>
      <c r="F55" t="s">
        <v>9</v>
      </c>
      <c r="G55">
        <v>115920</v>
      </c>
      <c r="H55" t="s">
        <v>205</v>
      </c>
      <c r="I55" s="10">
        <f ca="1">(TODAY()-Staff[[#This Row],[Date Joined]])/365</f>
        <v>4.4493150684931511</v>
      </c>
      <c r="J55" s="20">
        <f ca="1">ROUNDUP(IF(Staff[[#This Row],[Tenure]]&gt;2,3%,2%)*Staff[[#This Row],[Salary]],0)</f>
        <v>3478</v>
      </c>
      <c r="K55">
        <f>VLOOKUP(Staff[[#This Row],[Rating]], 'mapping '!$B$2:$C$6, 2, FALSE)</f>
        <v>3</v>
      </c>
    </row>
    <row r="56" spans="1:11">
      <c r="A56" t="s">
        <v>186</v>
      </c>
      <c r="B56" t="s">
        <v>8</v>
      </c>
      <c r="C56" s="14">
        <v>33</v>
      </c>
      <c r="D56" t="s">
        <v>16</v>
      </c>
      <c r="E56" s="9">
        <v>44006</v>
      </c>
      <c r="F56" t="s">
        <v>21</v>
      </c>
      <c r="G56">
        <v>65360</v>
      </c>
      <c r="H56" t="s">
        <v>205</v>
      </c>
      <c r="I56" s="10">
        <f ca="1">(TODAY()-Staff[[#This Row],[Date Joined]])/365</f>
        <v>4.7150684931506852</v>
      </c>
      <c r="J56" s="20">
        <f ca="1">ROUNDUP(IF(Staff[[#This Row],[Tenure]]&gt;2,3%,2%)*Staff[[#This Row],[Salary]],0)</f>
        <v>1961</v>
      </c>
      <c r="K56">
        <f>VLOOKUP(Staff[[#This Row],[Rating]], 'mapping '!$B$2:$C$6, 2, FALSE)</f>
        <v>3</v>
      </c>
    </row>
    <row r="57" spans="1:11">
      <c r="A57" t="s">
        <v>116</v>
      </c>
      <c r="B57" t="s">
        <v>206</v>
      </c>
      <c r="C57" s="14">
        <v>30</v>
      </c>
      <c r="D57" t="s">
        <v>16</v>
      </c>
      <c r="E57" s="9">
        <v>44535</v>
      </c>
      <c r="F57" t="s">
        <v>21</v>
      </c>
      <c r="G57">
        <v>64000</v>
      </c>
      <c r="H57" t="s">
        <v>205</v>
      </c>
      <c r="I57" s="10">
        <f ca="1">(TODAY()-Staff[[#This Row],[Date Joined]])/365</f>
        <v>3.2657534246575342</v>
      </c>
      <c r="J57" s="20">
        <f ca="1">ROUNDUP(IF(Staff[[#This Row],[Tenure]]&gt;2,3%,2%)*Staff[[#This Row],[Salary]],0)</f>
        <v>1920</v>
      </c>
      <c r="K57">
        <f>VLOOKUP(Staff[[#This Row],[Rating]], 'mapping '!$B$2:$C$6, 2, FALSE)</f>
        <v>3</v>
      </c>
    </row>
    <row r="58" spans="1:11">
      <c r="A58" t="s">
        <v>195</v>
      </c>
      <c r="B58" t="s">
        <v>8</v>
      </c>
      <c r="C58" s="14">
        <v>34</v>
      </c>
      <c r="D58" t="s">
        <v>16</v>
      </c>
      <c r="E58" s="9">
        <v>44383</v>
      </c>
      <c r="F58" t="s">
        <v>21</v>
      </c>
      <c r="G58">
        <v>92450</v>
      </c>
      <c r="H58" t="s">
        <v>205</v>
      </c>
      <c r="I58" s="10">
        <f ca="1">(TODAY()-Staff[[#This Row],[Date Joined]])/365</f>
        <v>3.6821917808219178</v>
      </c>
      <c r="J58" s="20">
        <f ca="1">ROUNDUP(IF(Staff[[#This Row],[Tenure]]&gt;2,3%,2%)*Staff[[#This Row],[Salary]],0)</f>
        <v>2774</v>
      </c>
      <c r="K58">
        <f>VLOOKUP(Staff[[#This Row],[Rating]], 'mapping '!$B$2:$C$6, 2, FALSE)</f>
        <v>3</v>
      </c>
    </row>
    <row r="59" spans="1:11">
      <c r="A59" t="s">
        <v>113</v>
      </c>
      <c r="B59" t="s">
        <v>15</v>
      </c>
      <c r="C59" s="14">
        <v>31</v>
      </c>
      <c r="D59" t="s">
        <v>16</v>
      </c>
      <c r="E59" s="9">
        <v>44450</v>
      </c>
      <c r="F59" t="s">
        <v>12</v>
      </c>
      <c r="G59">
        <v>48950</v>
      </c>
      <c r="H59" t="s">
        <v>205</v>
      </c>
      <c r="I59" s="10">
        <f ca="1">(TODAY()-Staff[[#This Row],[Date Joined]])/365</f>
        <v>3.4986301369863013</v>
      </c>
      <c r="J59" s="20">
        <f ca="1">ROUNDUP(IF(Staff[[#This Row],[Tenure]]&gt;2,3%,2%)*Staff[[#This Row],[Salary]],0)</f>
        <v>1469</v>
      </c>
      <c r="K59">
        <f>VLOOKUP(Staff[[#This Row],[Rating]], 'mapping '!$B$2:$C$6, 2, FALSE)</f>
        <v>3</v>
      </c>
    </row>
    <row r="60" spans="1:11">
      <c r="A60" t="s">
        <v>185</v>
      </c>
      <c r="B60" t="s">
        <v>8</v>
      </c>
      <c r="C60" s="14">
        <v>27</v>
      </c>
      <c r="D60" t="s">
        <v>16</v>
      </c>
      <c r="E60" s="9">
        <v>44625</v>
      </c>
      <c r="F60" t="s">
        <v>12</v>
      </c>
      <c r="G60">
        <v>83750</v>
      </c>
      <c r="H60" t="s">
        <v>205</v>
      </c>
      <c r="I60" s="10">
        <f ca="1">(TODAY()-Staff[[#This Row],[Date Joined]])/365</f>
        <v>3.0191780821917806</v>
      </c>
      <c r="J60" s="20">
        <f ca="1">ROUNDUP(IF(Staff[[#This Row],[Tenure]]&gt;2,3%,2%)*Staff[[#This Row],[Salary]],0)</f>
        <v>2513</v>
      </c>
      <c r="K60">
        <f>VLOOKUP(Staff[[#This Row],[Rating]], 'mapping '!$B$2:$C$6, 2, FALSE)</f>
        <v>3</v>
      </c>
    </row>
    <row r="61" spans="1:11">
      <c r="A61" t="s">
        <v>166</v>
      </c>
      <c r="B61" t="s">
        <v>8</v>
      </c>
      <c r="C61" s="14">
        <v>40</v>
      </c>
      <c r="D61" t="s">
        <v>16</v>
      </c>
      <c r="E61" s="9">
        <v>44276</v>
      </c>
      <c r="F61" t="s">
        <v>12</v>
      </c>
      <c r="G61">
        <v>87620</v>
      </c>
      <c r="H61" t="s">
        <v>205</v>
      </c>
      <c r="I61" s="10">
        <f ca="1">(TODAY()-Staff[[#This Row],[Date Joined]])/365</f>
        <v>3.9753424657534246</v>
      </c>
      <c r="J61" s="20">
        <f ca="1">ROUNDUP(IF(Staff[[#This Row],[Tenure]]&gt;2,3%,2%)*Staff[[#This Row],[Salary]],0)</f>
        <v>2629</v>
      </c>
      <c r="K61">
        <f>VLOOKUP(Staff[[#This Row],[Rating]], 'mapping '!$B$2:$C$6, 2, FALSE)</f>
        <v>3</v>
      </c>
    </row>
    <row r="62" spans="1:11">
      <c r="A62" t="s">
        <v>184</v>
      </c>
      <c r="B62" t="s">
        <v>8</v>
      </c>
      <c r="C62" s="14">
        <v>20</v>
      </c>
      <c r="D62" t="s">
        <v>24</v>
      </c>
      <c r="E62" s="9">
        <v>44476</v>
      </c>
      <c r="F62" t="s">
        <v>19</v>
      </c>
      <c r="G62">
        <v>68900</v>
      </c>
      <c r="H62" t="s">
        <v>205</v>
      </c>
      <c r="I62" s="10">
        <f ca="1">(TODAY()-Staff[[#This Row],[Date Joined]])/365</f>
        <v>3.4273972602739726</v>
      </c>
      <c r="J62" s="20">
        <f ca="1">ROUNDUP(IF(Staff[[#This Row],[Tenure]]&gt;2,3%,2%)*Staff[[#This Row],[Salary]],0)</f>
        <v>2067</v>
      </c>
      <c r="K62">
        <f>VLOOKUP(Staff[[#This Row],[Rating]], 'mapping '!$B$2:$C$6, 2, FALSE)</f>
        <v>2</v>
      </c>
    </row>
    <row r="63" spans="1:11">
      <c r="A63" t="s">
        <v>157</v>
      </c>
      <c r="B63" t="s">
        <v>15</v>
      </c>
      <c r="C63" s="14">
        <v>32</v>
      </c>
      <c r="D63" t="s">
        <v>16</v>
      </c>
      <c r="E63" s="9">
        <v>44403</v>
      </c>
      <c r="F63" t="s">
        <v>19</v>
      </c>
      <c r="G63">
        <v>53540</v>
      </c>
      <c r="H63" t="s">
        <v>205</v>
      </c>
      <c r="I63" s="10">
        <f ca="1">(TODAY()-Staff[[#This Row],[Date Joined]])/365</f>
        <v>3.6273972602739728</v>
      </c>
      <c r="J63" s="20">
        <f ca="1">ROUNDUP(IF(Staff[[#This Row],[Tenure]]&gt;2,3%,2%)*Staff[[#This Row],[Salary]],0)</f>
        <v>1607</v>
      </c>
      <c r="K63">
        <f>VLOOKUP(Staff[[#This Row],[Rating]], 'mapping '!$B$2:$C$6, 2, FALSE)</f>
        <v>3</v>
      </c>
    </row>
    <row r="64" spans="1:11">
      <c r="A64" t="s">
        <v>172</v>
      </c>
      <c r="B64" t="s">
        <v>15</v>
      </c>
      <c r="C64" s="14">
        <v>28</v>
      </c>
      <c r="D64" t="s">
        <v>42</v>
      </c>
      <c r="E64" s="9">
        <v>44758</v>
      </c>
      <c r="F64" t="s">
        <v>19</v>
      </c>
      <c r="G64">
        <v>43510</v>
      </c>
      <c r="H64" t="s">
        <v>205</v>
      </c>
      <c r="I64" s="10">
        <f ca="1">(TODAY()-Staff[[#This Row],[Date Joined]])/365</f>
        <v>2.6547945205479451</v>
      </c>
      <c r="J64" s="20">
        <f ca="1">ROUNDUP(IF(Staff[[#This Row],[Tenure]]&gt;2,3%,2%)*Staff[[#This Row],[Salary]],0)</f>
        <v>1306</v>
      </c>
      <c r="K64">
        <f>VLOOKUP(Staff[[#This Row],[Rating]], 'mapping '!$B$2:$C$6, 2, FALSE)</f>
        <v>1</v>
      </c>
    </row>
    <row r="65" spans="1:11">
      <c r="A65" t="s">
        <v>127</v>
      </c>
      <c r="B65" t="s">
        <v>8</v>
      </c>
      <c r="C65" s="14">
        <v>38</v>
      </c>
      <c r="D65" t="s">
        <v>10</v>
      </c>
      <c r="E65" s="9">
        <v>44316</v>
      </c>
      <c r="F65" t="s">
        <v>19</v>
      </c>
      <c r="G65">
        <v>109160</v>
      </c>
      <c r="H65" t="s">
        <v>205</v>
      </c>
      <c r="I65" s="10">
        <f ca="1">(TODAY()-Staff[[#This Row],[Date Joined]])/365</f>
        <v>3.8657534246575342</v>
      </c>
      <c r="J65" s="20">
        <f ca="1">ROUNDUP(IF(Staff[[#This Row],[Tenure]]&gt;2,3%,2%)*Staff[[#This Row],[Salary]],0)</f>
        <v>3275</v>
      </c>
      <c r="K65">
        <f>VLOOKUP(Staff[[#This Row],[Rating]], 'mapping '!$B$2:$C$6, 2, FALSE)</f>
        <v>5</v>
      </c>
    </row>
    <row r="66" spans="1:11">
      <c r="A66" t="s">
        <v>198</v>
      </c>
      <c r="B66" t="s">
        <v>15</v>
      </c>
      <c r="C66" s="14">
        <v>40</v>
      </c>
      <c r="D66" t="s">
        <v>16</v>
      </c>
      <c r="E66" s="9">
        <v>44204</v>
      </c>
      <c r="F66" t="s">
        <v>9</v>
      </c>
      <c r="G66">
        <v>99750</v>
      </c>
      <c r="H66" t="s">
        <v>205</v>
      </c>
      <c r="I66" s="10">
        <f ca="1">(TODAY()-Staff[[#This Row],[Date Joined]])/365</f>
        <v>4.1726027397260275</v>
      </c>
      <c r="J66" s="20">
        <f ca="1">ROUNDUP(IF(Staff[[#This Row],[Tenure]]&gt;2,3%,2%)*Staff[[#This Row],[Salary]],0)</f>
        <v>2993</v>
      </c>
      <c r="K66">
        <f>VLOOKUP(Staff[[#This Row],[Rating]], 'mapping '!$B$2:$C$6, 2, FALSE)</f>
        <v>3</v>
      </c>
    </row>
    <row r="67" spans="1:11">
      <c r="A67" t="s">
        <v>124</v>
      </c>
      <c r="B67" t="s">
        <v>8</v>
      </c>
      <c r="C67" s="14">
        <v>31</v>
      </c>
      <c r="D67" t="s">
        <v>16</v>
      </c>
      <c r="E67" s="9">
        <v>44084</v>
      </c>
      <c r="F67" t="s">
        <v>12</v>
      </c>
      <c r="G67">
        <v>41980</v>
      </c>
      <c r="H67" t="s">
        <v>205</v>
      </c>
      <c r="I67" s="10">
        <f ca="1">(TODAY()-Staff[[#This Row],[Date Joined]])/365</f>
        <v>4.5013698630136982</v>
      </c>
      <c r="J67" s="20">
        <f ca="1">ROUNDUP(IF(Staff[[#This Row],[Tenure]]&gt;2,3%,2%)*Staff[[#This Row],[Salary]],0)</f>
        <v>1260</v>
      </c>
      <c r="K67">
        <f>VLOOKUP(Staff[[#This Row],[Rating]], 'mapping '!$B$2:$C$6, 2, FALSE)</f>
        <v>3</v>
      </c>
    </row>
    <row r="68" spans="1:11">
      <c r="A68" t="s">
        <v>187</v>
      </c>
      <c r="B68" t="s">
        <v>15</v>
      </c>
      <c r="C68" s="14">
        <v>36</v>
      </c>
      <c r="D68" t="s">
        <v>16</v>
      </c>
      <c r="E68" s="9">
        <v>44272</v>
      </c>
      <c r="F68" t="s">
        <v>21</v>
      </c>
      <c r="G68">
        <v>71380</v>
      </c>
      <c r="H68" t="s">
        <v>205</v>
      </c>
      <c r="I68" s="10">
        <f ca="1">(TODAY()-Staff[[#This Row],[Date Joined]])/365</f>
        <v>3.9863013698630136</v>
      </c>
      <c r="J68" s="20">
        <f ca="1">ROUNDUP(IF(Staff[[#This Row],[Tenure]]&gt;2,3%,2%)*Staff[[#This Row],[Salary]],0)</f>
        <v>2142</v>
      </c>
      <c r="K68">
        <f>VLOOKUP(Staff[[#This Row],[Rating]], 'mapping '!$B$2:$C$6, 2, FALSE)</f>
        <v>3</v>
      </c>
    </row>
    <row r="69" spans="1:11">
      <c r="A69" t="s">
        <v>191</v>
      </c>
      <c r="B69" t="s">
        <v>15</v>
      </c>
      <c r="C69" s="14">
        <v>27</v>
      </c>
      <c r="D69" t="s">
        <v>42</v>
      </c>
      <c r="E69" s="9">
        <v>44547</v>
      </c>
      <c r="F69" t="s">
        <v>9</v>
      </c>
      <c r="G69">
        <v>113280</v>
      </c>
      <c r="H69" t="s">
        <v>205</v>
      </c>
      <c r="I69" s="10">
        <f ca="1">(TODAY()-Staff[[#This Row],[Date Joined]])/365</f>
        <v>3.2328767123287672</v>
      </c>
      <c r="J69" s="20">
        <f ca="1">ROUNDUP(IF(Staff[[#This Row],[Tenure]]&gt;2,3%,2%)*Staff[[#This Row],[Salary]],0)</f>
        <v>3399</v>
      </c>
      <c r="K69">
        <f>VLOOKUP(Staff[[#This Row],[Rating]], 'mapping '!$B$2:$C$6, 2, FALSE)</f>
        <v>1</v>
      </c>
    </row>
    <row r="70" spans="1:11">
      <c r="A70" t="s">
        <v>181</v>
      </c>
      <c r="B70" t="s">
        <v>8</v>
      </c>
      <c r="C70" s="14">
        <v>33</v>
      </c>
      <c r="D70" t="s">
        <v>16</v>
      </c>
      <c r="E70" s="9">
        <v>44747</v>
      </c>
      <c r="F70" t="s">
        <v>21</v>
      </c>
      <c r="G70">
        <v>86570</v>
      </c>
      <c r="H70" t="s">
        <v>205</v>
      </c>
      <c r="I70" s="10">
        <f ca="1">(TODAY()-Staff[[#This Row],[Date Joined]])/365</f>
        <v>2.6849315068493151</v>
      </c>
      <c r="J70" s="20">
        <f ca="1">ROUNDUP(IF(Staff[[#This Row],[Tenure]]&gt;2,3%,2%)*Staff[[#This Row],[Salary]],0)</f>
        <v>2598</v>
      </c>
      <c r="K70">
        <f>VLOOKUP(Staff[[#This Row],[Rating]], 'mapping '!$B$2:$C$6, 2, FALSE)</f>
        <v>3</v>
      </c>
    </row>
    <row r="71" spans="1:11">
      <c r="A71" t="s">
        <v>139</v>
      </c>
      <c r="B71" t="s">
        <v>15</v>
      </c>
      <c r="C71" s="14">
        <v>26</v>
      </c>
      <c r="D71" t="s">
        <v>16</v>
      </c>
      <c r="E71" s="9">
        <v>44350</v>
      </c>
      <c r="F71" t="s">
        <v>9</v>
      </c>
      <c r="G71">
        <v>53540</v>
      </c>
      <c r="H71" t="s">
        <v>205</v>
      </c>
      <c r="I71" s="10">
        <f ca="1">(TODAY()-Staff[[#This Row],[Date Joined]])/365</f>
        <v>3.7726027397260276</v>
      </c>
      <c r="J71" s="20">
        <f ca="1">ROUNDUP(IF(Staff[[#This Row],[Tenure]]&gt;2,3%,2%)*Staff[[#This Row],[Salary]],0)</f>
        <v>1607</v>
      </c>
      <c r="K71">
        <f>VLOOKUP(Staff[[#This Row],[Rating]], 'mapping '!$B$2:$C$6, 2, FALSE)</f>
        <v>3</v>
      </c>
    </row>
    <row r="72" spans="1:11">
      <c r="A72" t="s">
        <v>190</v>
      </c>
      <c r="B72" t="s">
        <v>15</v>
      </c>
      <c r="C72" s="14">
        <v>37</v>
      </c>
      <c r="D72" t="s">
        <v>16</v>
      </c>
      <c r="E72" s="9">
        <v>44640</v>
      </c>
      <c r="F72" t="s">
        <v>12</v>
      </c>
      <c r="G72">
        <v>69070</v>
      </c>
      <c r="H72" t="s">
        <v>205</v>
      </c>
      <c r="I72" s="10">
        <f ca="1">(TODAY()-Staff[[#This Row],[Date Joined]])/365</f>
        <v>2.978082191780822</v>
      </c>
      <c r="J72" s="20">
        <f ca="1">ROUNDUP(IF(Staff[[#This Row],[Tenure]]&gt;2,3%,2%)*Staff[[#This Row],[Salary]],0)</f>
        <v>2073</v>
      </c>
      <c r="K72">
        <f>VLOOKUP(Staff[[#This Row],[Rating]], 'mapping '!$B$2:$C$6, 2, FALSE)</f>
        <v>3</v>
      </c>
    </row>
    <row r="73" spans="1:11">
      <c r="A73" t="s">
        <v>121</v>
      </c>
      <c r="B73" t="s">
        <v>8</v>
      </c>
      <c r="C73" s="14">
        <v>30</v>
      </c>
      <c r="D73" t="s">
        <v>24</v>
      </c>
      <c r="E73" s="9">
        <v>44328</v>
      </c>
      <c r="F73" t="s">
        <v>21</v>
      </c>
      <c r="G73">
        <v>67910</v>
      </c>
      <c r="H73" t="s">
        <v>205</v>
      </c>
      <c r="I73" s="10">
        <f ca="1">(TODAY()-Staff[[#This Row],[Date Joined]])/365</f>
        <v>3.8328767123287673</v>
      </c>
      <c r="J73" s="20">
        <f ca="1">ROUNDUP(IF(Staff[[#This Row],[Tenure]]&gt;2,3%,2%)*Staff[[#This Row],[Salary]],0)</f>
        <v>2038</v>
      </c>
      <c r="K73">
        <f>VLOOKUP(Staff[[#This Row],[Rating]], 'mapping '!$B$2:$C$6, 2, FALSE)</f>
        <v>2</v>
      </c>
    </row>
    <row r="74" spans="1:11">
      <c r="A74" t="s">
        <v>119</v>
      </c>
      <c r="B74" t="s">
        <v>15</v>
      </c>
      <c r="C74" s="14">
        <v>30</v>
      </c>
      <c r="D74" t="s">
        <v>16</v>
      </c>
      <c r="E74" s="9">
        <v>44214</v>
      </c>
      <c r="F74" t="s">
        <v>12</v>
      </c>
      <c r="G74">
        <v>69120</v>
      </c>
      <c r="H74" t="s">
        <v>205</v>
      </c>
      <c r="I74" s="10">
        <f ca="1">(TODAY()-Staff[[#This Row],[Date Joined]])/365</f>
        <v>4.1452054794520548</v>
      </c>
      <c r="J74" s="20">
        <f ca="1">ROUNDUP(IF(Staff[[#This Row],[Tenure]]&gt;2,3%,2%)*Staff[[#This Row],[Salary]],0)</f>
        <v>2074</v>
      </c>
      <c r="K74">
        <f>VLOOKUP(Staff[[#This Row],[Rating]], 'mapping '!$B$2:$C$6, 2, FALSE)</f>
        <v>3</v>
      </c>
    </row>
    <row r="75" spans="1:11">
      <c r="A75" t="s">
        <v>132</v>
      </c>
      <c r="B75" t="s">
        <v>8</v>
      </c>
      <c r="C75" s="14">
        <v>34</v>
      </c>
      <c r="D75" t="s">
        <v>16</v>
      </c>
      <c r="E75" s="9">
        <v>44550</v>
      </c>
      <c r="F75" t="s">
        <v>21</v>
      </c>
      <c r="G75">
        <v>60130</v>
      </c>
      <c r="H75" t="s">
        <v>205</v>
      </c>
      <c r="I75" s="10">
        <f ca="1">(TODAY()-Staff[[#This Row],[Date Joined]])/365</f>
        <v>3.2246575342465755</v>
      </c>
      <c r="J75" s="20">
        <f ca="1">ROUNDUP(IF(Staff[[#This Row],[Tenure]]&gt;2,3%,2%)*Staff[[#This Row],[Salary]],0)</f>
        <v>1804</v>
      </c>
      <c r="K75">
        <f>VLOOKUP(Staff[[#This Row],[Rating]], 'mapping '!$B$2:$C$6, 2, FALSE)</f>
        <v>3</v>
      </c>
    </row>
    <row r="76" spans="1:11">
      <c r="A76" t="s">
        <v>161</v>
      </c>
      <c r="B76" t="s">
        <v>15</v>
      </c>
      <c r="C76" s="14">
        <v>23</v>
      </c>
      <c r="D76" t="s">
        <v>16</v>
      </c>
      <c r="E76" s="9">
        <v>44378</v>
      </c>
      <c r="F76" t="s">
        <v>9</v>
      </c>
      <c r="G76">
        <v>106460</v>
      </c>
      <c r="H76" t="s">
        <v>205</v>
      </c>
      <c r="I76" s="10">
        <f ca="1">(TODAY()-Staff[[#This Row],[Date Joined]])/365</f>
        <v>3.6958904109589041</v>
      </c>
      <c r="J76" s="20">
        <f ca="1">ROUNDUP(IF(Staff[[#This Row],[Tenure]]&gt;2,3%,2%)*Staff[[#This Row],[Salary]],0)</f>
        <v>3194</v>
      </c>
      <c r="K76">
        <f>VLOOKUP(Staff[[#This Row],[Rating]], 'mapping '!$B$2:$C$6, 2, FALSE)</f>
        <v>3</v>
      </c>
    </row>
    <row r="77" spans="1:11">
      <c r="A77" t="s">
        <v>148</v>
      </c>
      <c r="B77" t="s">
        <v>8</v>
      </c>
      <c r="C77" s="14">
        <v>37</v>
      </c>
      <c r="D77" t="s">
        <v>16</v>
      </c>
      <c r="E77" s="9">
        <v>44389</v>
      </c>
      <c r="F77" t="s">
        <v>56</v>
      </c>
      <c r="G77">
        <v>118100</v>
      </c>
      <c r="H77" t="s">
        <v>205</v>
      </c>
      <c r="I77" s="10">
        <f ca="1">(TODAY()-Staff[[#This Row],[Date Joined]])/365</f>
        <v>3.6657534246575341</v>
      </c>
      <c r="J77" s="20">
        <f ca="1">ROUNDUP(IF(Staff[[#This Row],[Tenure]]&gt;2,3%,2%)*Staff[[#This Row],[Salary]],0)</f>
        <v>3543</v>
      </c>
      <c r="K77">
        <f>VLOOKUP(Staff[[#This Row],[Rating]], 'mapping '!$B$2:$C$6, 2, FALSE)</f>
        <v>3</v>
      </c>
    </row>
    <row r="78" spans="1:11">
      <c r="A78" t="s">
        <v>164</v>
      </c>
      <c r="B78" t="s">
        <v>8</v>
      </c>
      <c r="C78" s="14">
        <v>36</v>
      </c>
      <c r="D78" t="s">
        <v>16</v>
      </c>
      <c r="E78" s="9">
        <v>44468</v>
      </c>
      <c r="F78" t="s">
        <v>9</v>
      </c>
      <c r="G78">
        <v>78390</v>
      </c>
      <c r="H78" t="s">
        <v>205</v>
      </c>
      <c r="I78" s="10">
        <f ca="1">(TODAY()-Staff[[#This Row],[Date Joined]])/365</f>
        <v>3.4493150684931506</v>
      </c>
      <c r="J78" s="20">
        <f ca="1">ROUNDUP(IF(Staff[[#This Row],[Tenure]]&gt;2,3%,2%)*Staff[[#This Row],[Salary]],0)</f>
        <v>2352</v>
      </c>
      <c r="K78">
        <f>VLOOKUP(Staff[[#This Row],[Rating]], 'mapping '!$B$2:$C$6, 2, FALSE)</f>
        <v>3</v>
      </c>
    </row>
    <row r="79" spans="1:11">
      <c r="A79" t="s">
        <v>147</v>
      </c>
      <c r="B79" t="s">
        <v>8</v>
      </c>
      <c r="C79" s="14">
        <v>30</v>
      </c>
      <c r="D79" t="s">
        <v>16</v>
      </c>
      <c r="E79" s="9">
        <v>44789</v>
      </c>
      <c r="F79" t="s">
        <v>9</v>
      </c>
      <c r="G79">
        <v>114180</v>
      </c>
      <c r="H79" t="s">
        <v>205</v>
      </c>
      <c r="I79" s="10">
        <f ca="1">(TODAY()-Staff[[#This Row],[Date Joined]])/365</f>
        <v>2.56986301369863</v>
      </c>
      <c r="J79" s="20">
        <f ca="1">ROUNDUP(IF(Staff[[#This Row],[Tenure]]&gt;2,3%,2%)*Staff[[#This Row],[Salary]],0)</f>
        <v>3426</v>
      </c>
      <c r="K79">
        <f>VLOOKUP(Staff[[#This Row],[Rating]], 'mapping '!$B$2:$C$6, 2, FALSE)</f>
        <v>3</v>
      </c>
    </row>
    <row r="80" spans="1:11">
      <c r="A80" t="s">
        <v>189</v>
      </c>
      <c r="B80" t="s">
        <v>8</v>
      </c>
      <c r="C80" s="14">
        <v>28</v>
      </c>
      <c r="D80" t="s">
        <v>16</v>
      </c>
      <c r="E80" s="9">
        <v>44590</v>
      </c>
      <c r="F80" t="s">
        <v>9</v>
      </c>
      <c r="G80">
        <v>104120</v>
      </c>
      <c r="H80" t="s">
        <v>205</v>
      </c>
      <c r="I80" s="10">
        <f ca="1">(TODAY()-Staff[[#This Row],[Date Joined]])/365</f>
        <v>3.1150684931506851</v>
      </c>
      <c r="J80" s="20">
        <f ca="1">ROUNDUP(IF(Staff[[#This Row],[Tenure]]&gt;2,3%,2%)*Staff[[#This Row],[Salary]],0)</f>
        <v>3124</v>
      </c>
      <c r="K80">
        <f>VLOOKUP(Staff[[#This Row],[Rating]], 'mapping '!$B$2:$C$6, 2, FALSE)</f>
        <v>3</v>
      </c>
    </row>
    <row r="81" spans="1:11">
      <c r="A81" t="s">
        <v>138</v>
      </c>
      <c r="B81" t="s">
        <v>15</v>
      </c>
      <c r="C81" s="14">
        <v>30</v>
      </c>
      <c r="D81" t="s">
        <v>16</v>
      </c>
      <c r="E81" s="9">
        <v>44640</v>
      </c>
      <c r="F81" t="s">
        <v>9</v>
      </c>
      <c r="G81">
        <v>67950</v>
      </c>
      <c r="H81" t="s">
        <v>205</v>
      </c>
      <c r="I81" s="10">
        <f ca="1">(TODAY()-Staff[[#This Row],[Date Joined]])/365</f>
        <v>2.978082191780822</v>
      </c>
      <c r="J81" s="20">
        <f ca="1">ROUNDUP(IF(Staff[[#This Row],[Tenure]]&gt;2,3%,2%)*Staff[[#This Row],[Salary]],0)</f>
        <v>2039</v>
      </c>
      <c r="K81">
        <f>VLOOKUP(Staff[[#This Row],[Rating]], 'mapping '!$B$2:$C$6, 2, FALSE)</f>
        <v>3</v>
      </c>
    </row>
    <row r="82" spans="1:11">
      <c r="A82" t="s">
        <v>137</v>
      </c>
      <c r="B82" t="s">
        <v>8</v>
      </c>
      <c r="C82" s="14">
        <v>29</v>
      </c>
      <c r="D82" t="s">
        <v>16</v>
      </c>
      <c r="E82" s="9">
        <v>43962</v>
      </c>
      <c r="F82" t="s">
        <v>12</v>
      </c>
      <c r="G82">
        <v>34980</v>
      </c>
      <c r="H82" t="s">
        <v>205</v>
      </c>
      <c r="I82" s="10">
        <f ca="1">(TODAY()-Staff[[#This Row],[Date Joined]])/365</f>
        <v>4.8356164383561646</v>
      </c>
      <c r="J82" s="20">
        <f ca="1">ROUNDUP(IF(Staff[[#This Row],[Tenure]]&gt;2,3%,2%)*Staff[[#This Row],[Salary]],0)</f>
        <v>1050</v>
      </c>
      <c r="K82">
        <f>VLOOKUP(Staff[[#This Row],[Rating]], 'mapping '!$B$2:$C$6, 2, FALSE)</f>
        <v>3</v>
      </c>
    </row>
    <row r="83" spans="1:11">
      <c r="A83" t="s">
        <v>153</v>
      </c>
      <c r="B83" t="s">
        <v>8</v>
      </c>
      <c r="C83" s="14">
        <v>24</v>
      </c>
      <c r="D83" t="s">
        <v>16</v>
      </c>
      <c r="E83" s="9">
        <v>44087</v>
      </c>
      <c r="F83" t="s">
        <v>12</v>
      </c>
      <c r="G83">
        <v>62780</v>
      </c>
      <c r="H83" t="s">
        <v>205</v>
      </c>
      <c r="I83" s="10">
        <f ca="1">(TODAY()-Staff[[#This Row],[Date Joined]])/365</f>
        <v>4.493150684931507</v>
      </c>
      <c r="J83" s="20">
        <f ca="1">ROUNDUP(IF(Staff[[#This Row],[Tenure]]&gt;2,3%,2%)*Staff[[#This Row],[Salary]],0)</f>
        <v>1884</v>
      </c>
      <c r="K83">
        <f>VLOOKUP(Staff[[#This Row],[Rating]], 'mapping '!$B$2:$C$6, 2, FALSE)</f>
        <v>3</v>
      </c>
    </row>
    <row r="84" spans="1:11">
      <c r="A84" t="s">
        <v>117</v>
      </c>
      <c r="B84" t="s">
        <v>15</v>
      </c>
      <c r="C84" s="14">
        <v>20</v>
      </c>
      <c r="D84" t="s">
        <v>16</v>
      </c>
      <c r="E84" s="9">
        <v>44397</v>
      </c>
      <c r="F84" t="s">
        <v>12</v>
      </c>
      <c r="G84">
        <v>107700</v>
      </c>
      <c r="H84" t="s">
        <v>205</v>
      </c>
      <c r="I84" s="10">
        <f ca="1">(TODAY()-Staff[[#This Row],[Date Joined]])/365</f>
        <v>3.6438356164383561</v>
      </c>
      <c r="J84" s="20">
        <f ca="1">ROUNDUP(IF(Staff[[#This Row],[Tenure]]&gt;2,3%,2%)*Staff[[#This Row],[Salary]],0)</f>
        <v>3231</v>
      </c>
      <c r="K84">
        <f>VLOOKUP(Staff[[#This Row],[Rating]], 'mapping '!$B$2:$C$6, 2, FALSE)</f>
        <v>3</v>
      </c>
    </row>
    <row r="85" spans="1:11">
      <c r="A85" t="s">
        <v>168</v>
      </c>
      <c r="B85" t="s">
        <v>15</v>
      </c>
      <c r="C85" s="14">
        <v>25</v>
      </c>
      <c r="D85" t="s">
        <v>16</v>
      </c>
      <c r="E85" s="9">
        <v>44322</v>
      </c>
      <c r="F85" t="s">
        <v>19</v>
      </c>
      <c r="G85">
        <v>65700</v>
      </c>
      <c r="H85" t="s">
        <v>205</v>
      </c>
      <c r="I85" s="10">
        <f ca="1">(TODAY()-Staff[[#This Row],[Date Joined]])/365</f>
        <v>3.8493150684931505</v>
      </c>
      <c r="J85" s="20">
        <f ca="1">ROUNDUP(IF(Staff[[#This Row],[Tenure]]&gt;2,3%,2%)*Staff[[#This Row],[Salary]],0)</f>
        <v>1971</v>
      </c>
      <c r="K85">
        <f>VLOOKUP(Staff[[#This Row],[Rating]], 'mapping '!$B$2:$C$6, 2, FALSE)</f>
        <v>3</v>
      </c>
    </row>
    <row r="86" spans="1:11">
      <c r="A86" t="s">
        <v>135</v>
      </c>
      <c r="B86" t="s">
        <v>8</v>
      </c>
      <c r="C86" s="14">
        <v>33</v>
      </c>
      <c r="D86" t="s">
        <v>42</v>
      </c>
      <c r="E86" s="9">
        <v>44313</v>
      </c>
      <c r="F86" t="s">
        <v>12</v>
      </c>
      <c r="G86">
        <v>75480</v>
      </c>
      <c r="H86" t="s">
        <v>205</v>
      </c>
      <c r="I86" s="10">
        <f ca="1">(TODAY()-Staff[[#This Row],[Date Joined]])/365</f>
        <v>3.8739726027397259</v>
      </c>
      <c r="J86" s="20">
        <f ca="1">ROUNDUP(IF(Staff[[#This Row],[Tenure]]&gt;2,3%,2%)*Staff[[#This Row],[Salary]],0)</f>
        <v>2265</v>
      </c>
      <c r="K86">
        <f>VLOOKUP(Staff[[#This Row],[Rating]], 'mapping '!$B$2:$C$6, 2, FALSE)</f>
        <v>1</v>
      </c>
    </row>
    <row r="87" spans="1:11">
      <c r="A87" t="s">
        <v>174</v>
      </c>
      <c r="B87" t="s">
        <v>15</v>
      </c>
      <c r="C87" s="14">
        <v>33</v>
      </c>
      <c r="D87" t="s">
        <v>16</v>
      </c>
      <c r="E87" s="9">
        <v>44448</v>
      </c>
      <c r="F87" t="s">
        <v>12</v>
      </c>
      <c r="G87">
        <v>53870</v>
      </c>
      <c r="H87" t="s">
        <v>205</v>
      </c>
      <c r="I87" s="10">
        <f ca="1">(TODAY()-Staff[[#This Row],[Date Joined]])/365</f>
        <v>3.504109589041096</v>
      </c>
      <c r="J87" s="20">
        <f ca="1">ROUNDUP(IF(Staff[[#This Row],[Tenure]]&gt;2,3%,2%)*Staff[[#This Row],[Salary]],0)</f>
        <v>1617</v>
      </c>
      <c r="K87">
        <f>VLOOKUP(Staff[[#This Row],[Rating]], 'mapping '!$B$2:$C$6, 2, FALSE)</f>
        <v>3</v>
      </c>
    </row>
    <row r="88" spans="1:11">
      <c r="A88" t="s">
        <v>141</v>
      </c>
      <c r="B88" t="s">
        <v>8</v>
      </c>
      <c r="C88" s="14">
        <v>36</v>
      </c>
      <c r="D88" t="s">
        <v>16</v>
      </c>
      <c r="E88" s="9">
        <v>44433</v>
      </c>
      <c r="F88" t="s">
        <v>19</v>
      </c>
      <c r="G88">
        <v>78540</v>
      </c>
      <c r="H88" t="s">
        <v>205</v>
      </c>
      <c r="I88" s="10">
        <f ca="1">(TODAY()-Staff[[#This Row],[Date Joined]])/365</f>
        <v>3.5452054794520547</v>
      </c>
      <c r="J88" s="20">
        <f ca="1">ROUNDUP(IF(Staff[[#This Row],[Tenure]]&gt;2,3%,2%)*Staff[[#This Row],[Salary]],0)</f>
        <v>2357</v>
      </c>
      <c r="K88">
        <f>VLOOKUP(Staff[[#This Row],[Rating]], 'mapping '!$B$2:$C$6, 2, FALSE)</f>
        <v>3</v>
      </c>
    </row>
    <row r="89" spans="1:11">
      <c r="A89" t="s">
        <v>193</v>
      </c>
      <c r="B89" t="s">
        <v>15</v>
      </c>
      <c r="C89" s="14">
        <v>19</v>
      </c>
      <c r="D89" t="s">
        <v>16</v>
      </c>
      <c r="E89" s="9">
        <v>44218</v>
      </c>
      <c r="F89" t="s">
        <v>9</v>
      </c>
      <c r="G89">
        <v>58960</v>
      </c>
      <c r="H89" t="s">
        <v>205</v>
      </c>
      <c r="I89" s="10">
        <f ca="1">(TODAY()-Staff[[#This Row],[Date Joined]])/365</f>
        <v>4.1342465753424653</v>
      </c>
      <c r="J89" s="20">
        <f ca="1">ROUNDUP(IF(Staff[[#This Row],[Tenure]]&gt;2,3%,2%)*Staff[[#This Row],[Salary]],0)</f>
        <v>1769</v>
      </c>
      <c r="K89">
        <f>VLOOKUP(Staff[[#This Row],[Rating]], 'mapping '!$B$2:$C$6, 2, FALSE)</f>
        <v>3</v>
      </c>
    </row>
    <row r="90" spans="1:11">
      <c r="A90" t="s">
        <v>162</v>
      </c>
      <c r="B90" t="s">
        <v>15</v>
      </c>
      <c r="C90" s="14">
        <v>46</v>
      </c>
      <c r="D90" t="s">
        <v>16</v>
      </c>
      <c r="E90" s="9">
        <v>44697</v>
      </c>
      <c r="F90" t="s">
        <v>9</v>
      </c>
      <c r="G90">
        <v>70610</v>
      </c>
      <c r="H90" t="s">
        <v>205</v>
      </c>
      <c r="I90" s="10">
        <f ca="1">(TODAY()-Staff[[#This Row],[Date Joined]])/365</f>
        <v>2.8219178082191783</v>
      </c>
      <c r="J90" s="20">
        <f ca="1">ROUNDUP(IF(Staff[[#This Row],[Tenure]]&gt;2,3%,2%)*Staff[[#This Row],[Salary]],0)</f>
        <v>2119</v>
      </c>
      <c r="K90">
        <f>VLOOKUP(Staff[[#This Row],[Rating]], 'mapping '!$B$2:$C$6, 2, FALSE)</f>
        <v>3</v>
      </c>
    </row>
    <row r="91" spans="1:11">
      <c r="A91" t="s">
        <v>171</v>
      </c>
      <c r="B91" t="s">
        <v>15</v>
      </c>
      <c r="C91" s="14">
        <v>33</v>
      </c>
      <c r="D91" t="s">
        <v>16</v>
      </c>
      <c r="E91" s="9">
        <v>44181</v>
      </c>
      <c r="F91" t="s">
        <v>21</v>
      </c>
      <c r="G91">
        <v>59430</v>
      </c>
      <c r="H91" t="s">
        <v>205</v>
      </c>
      <c r="I91" s="10">
        <f ca="1">(TODAY()-Staff[[#This Row],[Date Joined]])/365</f>
        <v>4.2356164383561641</v>
      </c>
      <c r="J91" s="20">
        <f ca="1">ROUNDUP(IF(Staff[[#This Row],[Tenure]]&gt;2,3%,2%)*Staff[[#This Row],[Salary]],0)</f>
        <v>1783</v>
      </c>
      <c r="K91">
        <f>VLOOKUP(Staff[[#This Row],[Rating]], 'mapping '!$B$2:$C$6, 2, FALSE)</f>
        <v>3</v>
      </c>
    </row>
    <row r="92" spans="1:11">
      <c r="A92" t="s">
        <v>144</v>
      </c>
      <c r="B92" t="s">
        <v>15</v>
      </c>
      <c r="C92" s="14">
        <v>33</v>
      </c>
      <c r="D92" t="s">
        <v>13</v>
      </c>
      <c r="E92" s="9">
        <v>44640</v>
      </c>
      <c r="F92" t="s">
        <v>9</v>
      </c>
      <c r="G92">
        <v>48530</v>
      </c>
      <c r="H92" t="s">
        <v>205</v>
      </c>
      <c r="I92" s="10">
        <f ca="1">(TODAY()-Staff[[#This Row],[Date Joined]])/365</f>
        <v>2.978082191780822</v>
      </c>
      <c r="J92" s="20">
        <f ca="1">ROUNDUP(IF(Staff[[#This Row],[Tenure]]&gt;2,3%,2%)*Staff[[#This Row],[Salary]],0)</f>
        <v>1456</v>
      </c>
      <c r="K92">
        <f>VLOOKUP(Staff[[#This Row],[Rating]], 'mapping '!$B$2:$C$6, 2, FALSE)</f>
        <v>4</v>
      </c>
    </row>
    <row r="93" spans="1:11">
      <c r="A93" t="s">
        <v>163</v>
      </c>
      <c r="B93" t="s">
        <v>8</v>
      </c>
      <c r="C93" s="14">
        <v>33</v>
      </c>
      <c r="D93" t="s">
        <v>16</v>
      </c>
      <c r="E93" s="9">
        <v>44129</v>
      </c>
      <c r="F93" t="s">
        <v>12</v>
      </c>
      <c r="G93">
        <v>96140</v>
      </c>
      <c r="H93" t="s">
        <v>205</v>
      </c>
      <c r="I93" s="10">
        <f ca="1">(TODAY()-Staff[[#This Row],[Date Joined]])/365</f>
        <v>4.3780821917808215</v>
      </c>
      <c r="J93" s="20">
        <f ca="1">ROUNDUP(IF(Staff[[#This Row],[Tenure]]&gt;2,3%,2%)*Staff[[#This Row],[Salary]],0)</f>
        <v>2885</v>
      </c>
      <c r="K93">
        <f>VLOOKUP(Staff[[#This Row],[Rating]], 'mapping '!$B$2:$C$6, 2, FALSE)</f>
        <v>3</v>
      </c>
    </row>
    <row r="94" spans="1:11">
      <c r="A94" t="s">
        <v>58</v>
      </c>
      <c r="B94" t="s">
        <v>15</v>
      </c>
      <c r="C94" s="14">
        <v>22</v>
      </c>
      <c r="D94" t="s">
        <v>13</v>
      </c>
      <c r="E94" s="9">
        <v>44446</v>
      </c>
      <c r="F94" t="s">
        <v>19</v>
      </c>
      <c r="G94">
        <v>112780</v>
      </c>
      <c r="H94" t="s">
        <v>207</v>
      </c>
      <c r="I94" s="10">
        <f ca="1">(TODAY()-Staff[[#This Row],[Date Joined]])/365</f>
        <v>3.5095890410958903</v>
      </c>
      <c r="J94" s="20">
        <f ca="1">ROUNDUP(IF(Staff[[#This Row],[Tenure]]&gt;2,3%,2%)*Staff[[#This Row],[Salary]],0)</f>
        <v>3384</v>
      </c>
      <c r="K94">
        <f>VLOOKUP(Staff[[#This Row],[Rating]], 'mapping '!$B$2:$C$6, 2, FALSE)</f>
        <v>4</v>
      </c>
    </row>
    <row r="95" spans="1:11">
      <c r="A95" t="s">
        <v>70</v>
      </c>
      <c r="B95" t="s">
        <v>15</v>
      </c>
      <c r="C95" s="14">
        <v>46</v>
      </c>
      <c r="D95" t="s">
        <v>16</v>
      </c>
      <c r="E95" s="9">
        <v>44758</v>
      </c>
      <c r="F95" t="s">
        <v>9</v>
      </c>
      <c r="G95">
        <v>70610</v>
      </c>
      <c r="H95" t="s">
        <v>207</v>
      </c>
      <c r="I95" s="10">
        <f ca="1">(TODAY()-Staff[[#This Row],[Date Joined]])/365</f>
        <v>2.6547945205479451</v>
      </c>
      <c r="J95" s="20">
        <f ca="1">ROUNDUP(IF(Staff[[#This Row],[Tenure]]&gt;2,3%,2%)*Staff[[#This Row],[Salary]],0)</f>
        <v>2119</v>
      </c>
      <c r="K95">
        <f>VLOOKUP(Staff[[#This Row],[Rating]], 'mapping '!$B$2:$C$6, 2, FALSE)</f>
        <v>3</v>
      </c>
    </row>
    <row r="96" spans="1:11">
      <c r="A96" t="s">
        <v>75</v>
      </c>
      <c r="B96" t="s">
        <v>8</v>
      </c>
      <c r="C96" s="14">
        <v>28</v>
      </c>
      <c r="D96" t="s">
        <v>16</v>
      </c>
      <c r="E96" s="9">
        <v>44357</v>
      </c>
      <c r="F96" t="s">
        <v>19</v>
      </c>
      <c r="G96">
        <v>53240</v>
      </c>
      <c r="H96" t="s">
        <v>207</v>
      </c>
      <c r="I96" s="10">
        <f ca="1">(TODAY()-Staff[[#This Row],[Date Joined]])/365</f>
        <v>3.7534246575342465</v>
      </c>
      <c r="J96" s="20">
        <f ca="1">ROUNDUP(IF(Staff[[#This Row],[Tenure]]&gt;2,3%,2%)*Staff[[#This Row],[Salary]],0)</f>
        <v>1598</v>
      </c>
      <c r="K96">
        <f>VLOOKUP(Staff[[#This Row],[Rating]], 'mapping '!$B$2:$C$6, 2, FALSE)</f>
        <v>3</v>
      </c>
    </row>
    <row r="97" spans="1:11">
      <c r="A97" t="s">
        <v>49</v>
      </c>
      <c r="B97" t="s">
        <v>206</v>
      </c>
      <c r="C97" s="14">
        <v>37</v>
      </c>
      <c r="D97" t="s">
        <v>24</v>
      </c>
      <c r="E97" s="9">
        <v>44146</v>
      </c>
      <c r="F97" t="s">
        <v>21</v>
      </c>
      <c r="G97">
        <v>115440</v>
      </c>
      <c r="H97" t="s">
        <v>207</v>
      </c>
      <c r="I97" s="10">
        <f ca="1">(TODAY()-Staff[[#This Row],[Date Joined]])/365</f>
        <v>4.3315068493150681</v>
      </c>
      <c r="J97" s="20">
        <f ca="1">ROUNDUP(IF(Staff[[#This Row],[Tenure]]&gt;2,3%,2%)*Staff[[#This Row],[Salary]],0)</f>
        <v>3464</v>
      </c>
      <c r="K97">
        <f>VLOOKUP(Staff[[#This Row],[Rating]], 'mapping '!$B$2:$C$6, 2, FALSE)</f>
        <v>2</v>
      </c>
    </row>
    <row r="98" spans="1:11">
      <c r="A98" t="s">
        <v>65</v>
      </c>
      <c r="B98" t="s">
        <v>15</v>
      </c>
      <c r="C98" s="14">
        <v>32</v>
      </c>
      <c r="D98" t="s">
        <v>16</v>
      </c>
      <c r="E98" s="9">
        <v>44465</v>
      </c>
      <c r="F98" t="s">
        <v>19</v>
      </c>
      <c r="G98">
        <v>53540</v>
      </c>
      <c r="H98" t="s">
        <v>207</v>
      </c>
      <c r="I98" s="10">
        <f ca="1">(TODAY()-Staff[[#This Row],[Date Joined]])/365</f>
        <v>3.4575342465753423</v>
      </c>
      <c r="J98" s="20">
        <f ca="1">ROUNDUP(IF(Staff[[#This Row],[Tenure]]&gt;2,3%,2%)*Staff[[#This Row],[Salary]],0)</f>
        <v>1607</v>
      </c>
      <c r="K98">
        <f>VLOOKUP(Staff[[#This Row],[Rating]], 'mapping '!$B$2:$C$6, 2, FALSE)</f>
        <v>3</v>
      </c>
    </row>
    <row r="99" spans="1:11">
      <c r="A99" t="s">
        <v>81</v>
      </c>
      <c r="B99" t="s">
        <v>8</v>
      </c>
      <c r="C99" s="14">
        <v>30</v>
      </c>
      <c r="D99" t="s">
        <v>16</v>
      </c>
      <c r="E99" s="9">
        <v>44861</v>
      </c>
      <c r="F99" t="s">
        <v>9</v>
      </c>
      <c r="G99">
        <v>112570</v>
      </c>
      <c r="H99" t="s">
        <v>207</v>
      </c>
      <c r="I99" s="10">
        <f ca="1">(TODAY()-Staff[[#This Row],[Date Joined]])/365</f>
        <v>2.3726027397260272</v>
      </c>
      <c r="J99" s="20">
        <f ca="1">ROUNDUP(IF(Staff[[#This Row],[Tenure]]&gt;2,3%,2%)*Staff[[#This Row],[Salary]],0)</f>
        <v>3378</v>
      </c>
      <c r="K99">
        <f>VLOOKUP(Staff[[#This Row],[Rating]], 'mapping '!$B$2:$C$6, 2, FALSE)</f>
        <v>3</v>
      </c>
    </row>
    <row r="100" spans="1:11">
      <c r="A100" t="s">
        <v>51</v>
      </c>
      <c r="B100" t="s">
        <v>15</v>
      </c>
      <c r="C100" s="14">
        <v>33</v>
      </c>
      <c r="D100" t="s">
        <v>13</v>
      </c>
      <c r="E100" s="9">
        <v>44701</v>
      </c>
      <c r="F100" t="s">
        <v>9</v>
      </c>
      <c r="G100">
        <v>48530</v>
      </c>
      <c r="H100" t="s">
        <v>207</v>
      </c>
      <c r="I100" s="10">
        <f ca="1">(TODAY()-Staff[[#This Row],[Date Joined]])/365</f>
        <v>2.8109589041095893</v>
      </c>
      <c r="J100" s="20">
        <f ca="1">ROUNDUP(IF(Staff[[#This Row],[Tenure]]&gt;2,3%,2%)*Staff[[#This Row],[Salary]],0)</f>
        <v>1456</v>
      </c>
      <c r="K100">
        <f>VLOOKUP(Staff[[#This Row],[Rating]], 'mapping '!$B$2:$C$6, 2, FALSE)</f>
        <v>4</v>
      </c>
    </row>
    <row r="101" spans="1:11">
      <c r="A101" t="s">
        <v>61</v>
      </c>
      <c r="B101" t="s">
        <v>8</v>
      </c>
      <c r="C101" s="14">
        <v>24</v>
      </c>
      <c r="D101" t="s">
        <v>16</v>
      </c>
      <c r="E101" s="9">
        <v>44148</v>
      </c>
      <c r="F101" t="s">
        <v>12</v>
      </c>
      <c r="G101">
        <v>62780</v>
      </c>
      <c r="H101" t="s">
        <v>207</v>
      </c>
      <c r="I101" s="10">
        <f ca="1">(TODAY()-Staff[[#This Row],[Date Joined]])/365</f>
        <v>4.3260273972602743</v>
      </c>
      <c r="J101" s="20">
        <f ca="1">ROUNDUP(IF(Staff[[#This Row],[Tenure]]&gt;2,3%,2%)*Staff[[#This Row],[Salary]],0)</f>
        <v>1884</v>
      </c>
      <c r="K101">
        <f>VLOOKUP(Staff[[#This Row],[Rating]], 'mapping '!$B$2:$C$6, 2, FALSE)</f>
        <v>3</v>
      </c>
    </row>
    <row r="102" spans="1:11">
      <c r="A102" t="s">
        <v>82</v>
      </c>
      <c r="B102" t="s">
        <v>15</v>
      </c>
      <c r="C102" s="14">
        <v>33</v>
      </c>
      <c r="D102" t="s">
        <v>16</v>
      </c>
      <c r="E102" s="9">
        <v>44509</v>
      </c>
      <c r="F102" t="s">
        <v>12</v>
      </c>
      <c r="G102">
        <v>53870</v>
      </c>
      <c r="H102" t="s">
        <v>207</v>
      </c>
      <c r="I102" s="10">
        <f ca="1">(TODAY()-Staff[[#This Row],[Date Joined]])/365</f>
        <v>3.3369863013698629</v>
      </c>
      <c r="J102" s="20">
        <f ca="1">ROUNDUP(IF(Staff[[#This Row],[Tenure]]&gt;2,3%,2%)*Staff[[#This Row],[Salary]],0)</f>
        <v>1617</v>
      </c>
      <c r="K102">
        <f>VLOOKUP(Staff[[#This Row],[Rating]], 'mapping '!$B$2:$C$6, 2, FALSE)</f>
        <v>3</v>
      </c>
    </row>
    <row r="103" spans="1:11">
      <c r="A103" t="s">
        <v>60</v>
      </c>
      <c r="B103" t="s">
        <v>8</v>
      </c>
      <c r="C103" s="14">
        <v>27</v>
      </c>
      <c r="D103" t="s">
        <v>16</v>
      </c>
      <c r="E103" s="9">
        <v>44122</v>
      </c>
      <c r="F103" t="s">
        <v>56</v>
      </c>
      <c r="G103">
        <v>119110</v>
      </c>
      <c r="H103" t="s">
        <v>207</v>
      </c>
      <c r="I103" s="10">
        <f ca="1">(TODAY()-Staff[[#This Row],[Date Joined]])/365</f>
        <v>4.397260273972603</v>
      </c>
      <c r="J103" s="20">
        <f ca="1">ROUNDUP(IF(Staff[[#This Row],[Tenure]]&gt;2,3%,2%)*Staff[[#This Row],[Salary]],0)</f>
        <v>3574</v>
      </c>
      <c r="K103">
        <f>VLOOKUP(Staff[[#This Row],[Rating]], 'mapping '!$B$2:$C$6, 2, FALSE)</f>
        <v>3</v>
      </c>
    </row>
    <row r="104" spans="1:11">
      <c r="A104" t="s">
        <v>87</v>
      </c>
      <c r="B104" t="s">
        <v>15</v>
      </c>
      <c r="C104" s="14">
        <v>29</v>
      </c>
      <c r="D104" t="s">
        <v>24</v>
      </c>
      <c r="E104" s="9">
        <v>44180</v>
      </c>
      <c r="F104" t="s">
        <v>12</v>
      </c>
      <c r="G104">
        <v>112110</v>
      </c>
      <c r="H104" t="s">
        <v>207</v>
      </c>
      <c r="I104" s="10">
        <f ca="1">(TODAY()-Staff[[#This Row],[Date Joined]])/365</f>
        <v>4.2383561643835614</v>
      </c>
      <c r="J104" s="20">
        <f ca="1">ROUNDUP(IF(Staff[[#This Row],[Tenure]]&gt;2,3%,2%)*Staff[[#This Row],[Salary]],0)</f>
        <v>3364</v>
      </c>
      <c r="K104">
        <f>VLOOKUP(Staff[[#This Row],[Rating]], 'mapping '!$B$2:$C$6, 2, FALSE)</f>
        <v>2</v>
      </c>
    </row>
    <row r="105" spans="1:11">
      <c r="A105" t="s">
        <v>76</v>
      </c>
      <c r="B105" t="s">
        <v>15</v>
      </c>
      <c r="C105" s="14">
        <v>25</v>
      </c>
      <c r="D105" t="s">
        <v>16</v>
      </c>
      <c r="E105" s="9">
        <v>44383</v>
      </c>
      <c r="F105" t="s">
        <v>19</v>
      </c>
      <c r="G105">
        <v>65700</v>
      </c>
      <c r="H105" t="s">
        <v>207</v>
      </c>
      <c r="I105" s="10">
        <f ca="1">(TODAY()-Staff[[#This Row],[Date Joined]])/365</f>
        <v>3.6821917808219178</v>
      </c>
      <c r="J105" s="20">
        <f ca="1">ROUNDUP(IF(Staff[[#This Row],[Tenure]]&gt;2,3%,2%)*Staff[[#This Row],[Salary]],0)</f>
        <v>1971</v>
      </c>
      <c r="K105">
        <f>VLOOKUP(Staff[[#This Row],[Rating]], 'mapping '!$B$2:$C$6, 2, FALSE)</f>
        <v>3</v>
      </c>
    </row>
    <row r="106" spans="1:11">
      <c r="A106" t="s">
        <v>97</v>
      </c>
      <c r="B106" t="s">
        <v>15</v>
      </c>
      <c r="C106" s="14">
        <v>37</v>
      </c>
      <c r="D106" t="s">
        <v>16</v>
      </c>
      <c r="E106" s="9">
        <v>44701</v>
      </c>
      <c r="F106" t="s">
        <v>12</v>
      </c>
      <c r="G106">
        <v>69070</v>
      </c>
      <c r="H106" t="s">
        <v>207</v>
      </c>
      <c r="I106" s="10">
        <f ca="1">(TODAY()-Staff[[#This Row],[Date Joined]])/365</f>
        <v>2.8109589041095893</v>
      </c>
      <c r="J106" s="20">
        <f ca="1">ROUNDUP(IF(Staff[[#This Row],[Tenure]]&gt;2,3%,2%)*Staff[[#This Row],[Salary]],0)</f>
        <v>2073</v>
      </c>
      <c r="K106">
        <f>VLOOKUP(Staff[[#This Row],[Rating]], 'mapping '!$B$2:$C$6, 2, FALSE)</f>
        <v>3</v>
      </c>
    </row>
    <row r="107" spans="1:11">
      <c r="A107" t="s">
        <v>22</v>
      </c>
      <c r="B107" t="s">
        <v>15</v>
      </c>
      <c r="C107" s="14">
        <v>20</v>
      </c>
      <c r="D107" t="s">
        <v>16</v>
      </c>
      <c r="E107" s="9">
        <v>44459</v>
      </c>
      <c r="F107" t="s">
        <v>12</v>
      </c>
      <c r="G107">
        <v>107700</v>
      </c>
      <c r="H107" t="s">
        <v>207</v>
      </c>
      <c r="I107" s="10">
        <f ca="1">(TODAY()-Staff[[#This Row],[Date Joined]])/365</f>
        <v>3.473972602739726</v>
      </c>
      <c r="J107" s="20">
        <f ca="1">ROUNDUP(IF(Staff[[#This Row],[Tenure]]&gt;2,3%,2%)*Staff[[#This Row],[Salary]],0)</f>
        <v>3231</v>
      </c>
      <c r="K107">
        <f>VLOOKUP(Staff[[#This Row],[Rating]], 'mapping '!$B$2:$C$6, 2, FALSE)</f>
        <v>3</v>
      </c>
    </row>
    <row r="108" spans="1:11">
      <c r="A108" t="s">
        <v>84</v>
      </c>
      <c r="B108" t="s">
        <v>8</v>
      </c>
      <c r="C108" s="14">
        <v>32</v>
      </c>
      <c r="D108" t="s">
        <v>13</v>
      </c>
      <c r="E108" s="9">
        <v>44354</v>
      </c>
      <c r="F108" t="s">
        <v>12</v>
      </c>
      <c r="G108">
        <v>43840</v>
      </c>
      <c r="H108" t="s">
        <v>207</v>
      </c>
      <c r="I108" s="10">
        <f ca="1">(TODAY()-Staff[[#This Row],[Date Joined]])/365</f>
        <v>3.7616438356164386</v>
      </c>
      <c r="J108" s="20">
        <f ca="1">ROUNDUP(IF(Staff[[#This Row],[Tenure]]&gt;2,3%,2%)*Staff[[#This Row],[Salary]],0)</f>
        <v>1316</v>
      </c>
      <c r="K108">
        <f>VLOOKUP(Staff[[#This Row],[Rating]], 'mapping '!$B$2:$C$6, 2, FALSE)</f>
        <v>4</v>
      </c>
    </row>
    <row r="109" spans="1:11">
      <c r="A109" t="s">
        <v>105</v>
      </c>
      <c r="B109" t="s">
        <v>15</v>
      </c>
      <c r="C109" s="14">
        <v>40</v>
      </c>
      <c r="D109" t="s">
        <v>16</v>
      </c>
      <c r="E109" s="9">
        <v>44263</v>
      </c>
      <c r="F109" t="s">
        <v>9</v>
      </c>
      <c r="G109">
        <v>99750</v>
      </c>
      <c r="H109" t="s">
        <v>207</v>
      </c>
      <c r="I109" s="10">
        <f ca="1">(TODAY()-Staff[[#This Row],[Date Joined]])/365</f>
        <v>4.0109589041095894</v>
      </c>
      <c r="J109" s="20">
        <f ca="1">ROUNDUP(IF(Staff[[#This Row],[Tenure]]&gt;2,3%,2%)*Staff[[#This Row],[Salary]],0)</f>
        <v>2993</v>
      </c>
      <c r="K109">
        <f>VLOOKUP(Staff[[#This Row],[Rating]], 'mapping '!$B$2:$C$6, 2, FALSE)</f>
        <v>3</v>
      </c>
    </row>
    <row r="110" spans="1:11">
      <c r="A110" t="s">
        <v>47</v>
      </c>
      <c r="B110" t="s">
        <v>15</v>
      </c>
      <c r="C110" s="14">
        <v>21</v>
      </c>
      <c r="D110" t="s">
        <v>16</v>
      </c>
      <c r="E110" s="9">
        <v>44104</v>
      </c>
      <c r="F110" t="s">
        <v>9</v>
      </c>
      <c r="G110">
        <v>37920</v>
      </c>
      <c r="H110" t="s">
        <v>207</v>
      </c>
      <c r="I110" s="10">
        <f ca="1">(TODAY()-Staff[[#This Row],[Date Joined]])/365</f>
        <v>4.4465753424657537</v>
      </c>
      <c r="J110" s="20">
        <f ca="1">ROUNDUP(IF(Staff[[#This Row],[Tenure]]&gt;2,3%,2%)*Staff[[#This Row],[Salary]],0)</f>
        <v>1138</v>
      </c>
      <c r="K110">
        <f>VLOOKUP(Staff[[#This Row],[Rating]], 'mapping '!$B$2:$C$6, 2, FALSE)</f>
        <v>3</v>
      </c>
    </row>
    <row r="111" spans="1:11">
      <c r="A111" t="s">
        <v>31</v>
      </c>
      <c r="B111" t="s">
        <v>15</v>
      </c>
      <c r="C111" s="14">
        <v>21</v>
      </c>
      <c r="D111" t="s">
        <v>16</v>
      </c>
      <c r="E111" s="9">
        <v>44762</v>
      </c>
      <c r="F111" t="s">
        <v>9</v>
      </c>
      <c r="G111">
        <v>57090</v>
      </c>
      <c r="H111" t="s">
        <v>207</v>
      </c>
      <c r="I111" s="10">
        <f ca="1">(TODAY()-Staff[[#This Row],[Date Joined]])/365</f>
        <v>2.6438356164383561</v>
      </c>
      <c r="J111" s="20">
        <f ca="1">ROUNDUP(IF(Staff[[#This Row],[Tenure]]&gt;2,3%,2%)*Staff[[#This Row],[Salary]],0)</f>
        <v>1713</v>
      </c>
      <c r="K111">
        <f>VLOOKUP(Staff[[#This Row],[Rating]], 'mapping '!$B$2:$C$6, 2, FALSE)</f>
        <v>3</v>
      </c>
    </row>
    <row r="112" spans="1:11">
      <c r="A112" t="s">
        <v>30</v>
      </c>
      <c r="B112" t="s">
        <v>8</v>
      </c>
      <c r="C112" s="14">
        <v>31</v>
      </c>
      <c r="D112" t="s">
        <v>16</v>
      </c>
      <c r="E112" s="9">
        <v>44145</v>
      </c>
      <c r="F112" t="s">
        <v>12</v>
      </c>
      <c r="G112">
        <v>41980</v>
      </c>
      <c r="H112" t="s">
        <v>207</v>
      </c>
      <c r="I112" s="10">
        <f ca="1">(TODAY()-Staff[[#This Row],[Date Joined]])/365</f>
        <v>4.3342465753424655</v>
      </c>
      <c r="J112" s="20">
        <f ca="1">ROUNDUP(IF(Staff[[#This Row],[Tenure]]&gt;2,3%,2%)*Staff[[#This Row],[Salary]],0)</f>
        <v>1260</v>
      </c>
      <c r="K112">
        <f>VLOOKUP(Staff[[#This Row],[Rating]], 'mapping '!$B$2:$C$6, 2, FALSE)</f>
        <v>3</v>
      </c>
    </row>
    <row r="113" spans="1:11">
      <c r="A113" t="s">
        <v>78</v>
      </c>
      <c r="B113" t="s">
        <v>15</v>
      </c>
      <c r="C113" s="14">
        <v>21</v>
      </c>
      <c r="D113" t="s">
        <v>16</v>
      </c>
      <c r="E113" s="9">
        <v>44242</v>
      </c>
      <c r="F113" t="s">
        <v>56</v>
      </c>
      <c r="G113">
        <v>75880</v>
      </c>
      <c r="H113" t="s">
        <v>207</v>
      </c>
      <c r="I113" s="10">
        <f ca="1">(TODAY()-Staff[[#This Row],[Date Joined]])/365</f>
        <v>4.0684931506849313</v>
      </c>
      <c r="J113" s="20">
        <f ca="1">ROUNDUP(IF(Staff[[#This Row],[Tenure]]&gt;2,3%,2%)*Staff[[#This Row],[Salary]],0)</f>
        <v>2277</v>
      </c>
      <c r="K113">
        <f>VLOOKUP(Staff[[#This Row],[Rating]], 'mapping '!$B$2:$C$6, 2, FALSE)</f>
        <v>3</v>
      </c>
    </row>
    <row r="114" spans="1:11">
      <c r="A114" t="s">
        <v>36</v>
      </c>
      <c r="B114" t="s">
        <v>8</v>
      </c>
      <c r="C114" s="14">
        <v>34</v>
      </c>
      <c r="D114" t="s">
        <v>16</v>
      </c>
      <c r="E114" s="9">
        <v>44653</v>
      </c>
      <c r="F114" t="s">
        <v>21</v>
      </c>
      <c r="G114">
        <v>58940</v>
      </c>
      <c r="H114" t="s">
        <v>207</v>
      </c>
      <c r="I114" s="10">
        <f ca="1">(TODAY()-Staff[[#This Row],[Date Joined]])/365</f>
        <v>2.9424657534246577</v>
      </c>
      <c r="J114" s="20">
        <f ca="1">ROUNDUP(IF(Staff[[#This Row],[Tenure]]&gt;2,3%,2%)*Staff[[#This Row],[Salary]],0)</f>
        <v>1769</v>
      </c>
      <c r="K114">
        <f>VLOOKUP(Staff[[#This Row],[Rating]], 'mapping '!$B$2:$C$6, 2, FALSE)</f>
        <v>3</v>
      </c>
    </row>
    <row r="115" spans="1:11">
      <c r="A115" t="s">
        <v>27</v>
      </c>
      <c r="B115" t="s">
        <v>8</v>
      </c>
      <c r="C115" s="14">
        <v>30</v>
      </c>
      <c r="D115" t="s">
        <v>24</v>
      </c>
      <c r="E115" s="9">
        <v>44389</v>
      </c>
      <c r="F115" t="s">
        <v>21</v>
      </c>
      <c r="G115">
        <v>67910</v>
      </c>
      <c r="H115" t="s">
        <v>207</v>
      </c>
      <c r="I115" s="10">
        <f ca="1">(TODAY()-Staff[[#This Row],[Date Joined]])/365</f>
        <v>3.6657534246575341</v>
      </c>
      <c r="J115" s="20">
        <f ca="1">ROUNDUP(IF(Staff[[#This Row],[Tenure]]&gt;2,3%,2%)*Staff[[#This Row],[Salary]],0)</f>
        <v>2038</v>
      </c>
      <c r="K115">
        <f>VLOOKUP(Staff[[#This Row],[Rating]], 'mapping '!$B$2:$C$6, 2, FALSE)</f>
        <v>2</v>
      </c>
    </row>
    <row r="116" spans="1:11">
      <c r="A116" t="s">
        <v>26</v>
      </c>
      <c r="B116" t="s">
        <v>8</v>
      </c>
      <c r="C116" s="14">
        <v>31</v>
      </c>
      <c r="D116" t="s">
        <v>16</v>
      </c>
      <c r="E116" s="9">
        <v>44663</v>
      </c>
      <c r="F116" t="s">
        <v>12</v>
      </c>
      <c r="G116">
        <v>58100</v>
      </c>
      <c r="H116" t="s">
        <v>207</v>
      </c>
      <c r="I116" s="10">
        <f ca="1">(TODAY()-Staff[[#This Row],[Date Joined]])/365</f>
        <v>2.9150684931506849</v>
      </c>
      <c r="J116" s="20">
        <f ca="1">ROUNDUP(IF(Staff[[#This Row],[Tenure]]&gt;2,3%,2%)*Staff[[#This Row],[Salary]],0)</f>
        <v>1743</v>
      </c>
      <c r="K116">
        <f>VLOOKUP(Staff[[#This Row],[Rating]], 'mapping '!$B$2:$C$6, 2, FALSE)</f>
        <v>3</v>
      </c>
    </row>
    <row r="117" spans="1:11">
      <c r="A117" t="s">
        <v>53</v>
      </c>
      <c r="B117" t="s">
        <v>15</v>
      </c>
      <c r="C117" s="14">
        <v>27</v>
      </c>
      <c r="D117" t="s">
        <v>16</v>
      </c>
      <c r="E117" s="9">
        <v>44567</v>
      </c>
      <c r="F117" t="s">
        <v>21</v>
      </c>
      <c r="G117">
        <v>48980</v>
      </c>
      <c r="H117" t="s">
        <v>207</v>
      </c>
      <c r="I117" s="10">
        <f ca="1">(TODAY()-Staff[[#This Row],[Date Joined]])/365</f>
        <v>3.1780821917808217</v>
      </c>
      <c r="J117" s="20">
        <f ca="1">ROUNDUP(IF(Staff[[#This Row],[Tenure]]&gt;2,3%,2%)*Staff[[#This Row],[Salary]],0)</f>
        <v>1470</v>
      </c>
      <c r="K117">
        <f>VLOOKUP(Staff[[#This Row],[Rating]], 'mapping '!$B$2:$C$6, 2, FALSE)</f>
        <v>3</v>
      </c>
    </row>
    <row r="118" spans="1:11">
      <c r="A118" t="s">
        <v>20</v>
      </c>
      <c r="B118" t="s">
        <v>206</v>
      </c>
      <c r="C118" s="14">
        <v>30</v>
      </c>
      <c r="D118" t="s">
        <v>16</v>
      </c>
      <c r="E118" s="9">
        <v>44597</v>
      </c>
      <c r="F118" t="s">
        <v>21</v>
      </c>
      <c r="G118">
        <v>64000</v>
      </c>
      <c r="H118" t="s">
        <v>207</v>
      </c>
      <c r="I118" s="10">
        <f ca="1">(TODAY()-Staff[[#This Row],[Date Joined]])/365</f>
        <v>3.095890410958904</v>
      </c>
      <c r="J118" s="20">
        <f ca="1">ROUNDUP(IF(Staff[[#This Row],[Tenure]]&gt;2,3%,2%)*Staff[[#This Row],[Salary]],0)</f>
        <v>1920</v>
      </c>
      <c r="K118">
        <f>VLOOKUP(Staff[[#This Row],[Rating]], 'mapping '!$B$2:$C$6, 2, FALSE)</f>
        <v>3</v>
      </c>
    </row>
    <row r="119" spans="1:11">
      <c r="A119" t="s">
        <v>7</v>
      </c>
      <c r="B119" t="s">
        <v>8</v>
      </c>
      <c r="C119" s="14">
        <v>42</v>
      </c>
      <c r="D119" t="s">
        <v>10</v>
      </c>
      <c r="E119" s="9">
        <v>44779</v>
      </c>
      <c r="F119" t="s">
        <v>9</v>
      </c>
      <c r="G119">
        <v>75000</v>
      </c>
      <c r="H119" t="s">
        <v>207</v>
      </c>
      <c r="I119" s="10">
        <f ca="1">(TODAY()-Staff[[#This Row],[Date Joined]])/365</f>
        <v>2.5972602739726027</v>
      </c>
      <c r="J119" s="20">
        <f ca="1">ROUNDUP(IF(Staff[[#This Row],[Tenure]]&gt;2,3%,2%)*Staff[[#This Row],[Salary]],0)</f>
        <v>2250</v>
      </c>
      <c r="K119">
        <f>VLOOKUP(Staff[[#This Row],[Rating]], 'mapping '!$B$2:$C$6, 2, FALSE)</f>
        <v>5</v>
      </c>
    </row>
    <row r="120" spans="1:11">
      <c r="A120" t="s">
        <v>74</v>
      </c>
      <c r="B120" t="s">
        <v>8</v>
      </c>
      <c r="C120" s="14">
        <v>40</v>
      </c>
      <c r="D120" t="s">
        <v>16</v>
      </c>
      <c r="E120" s="9">
        <v>44337</v>
      </c>
      <c r="F120" t="s">
        <v>12</v>
      </c>
      <c r="G120">
        <v>87620</v>
      </c>
      <c r="H120" t="s">
        <v>207</v>
      </c>
      <c r="I120" s="10">
        <f ca="1">(TODAY()-Staff[[#This Row],[Date Joined]])/365</f>
        <v>3.8082191780821919</v>
      </c>
      <c r="J120" s="20">
        <f ca="1">ROUNDUP(IF(Staff[[#This Row],[Tenure]]&gt;2,3%,2%)*Staff[[#This Row],[Salary]],0)</f>
        <v>2629</v>
      </c>
      <c r="K120">
        <f>VLOOKUP(Staff[[#This Row],[Rating]], 'mapping '!$B$2:$C$6, 2, FALSE)</f>
        <v>3</v>
      </c>
    </row>
    <row r="121" spans="1:11">
      <c r="A121" t="s">
        <v>44</v>
      </c>
      <c r="B121" t="s">
        <v>8</v>
      </c>
      <c r="C121" s="14">
        <v>29</v>
      </c>
      <c r="D121" t="s">
        <v>16</v>
      </c>
      <c r="E121" s="9">
        <v>44023</v>
      </c>
      <c r="F121" t="s">
        <v>12</v>
      </c>
      <c r="G121">
        <v>34980</v>
      </c>
      <c r="H121" t="s">
        <v>207</v>
      </c>
      <c r="I121" s="10">
        <f ca="1">(TODAY()-Staff[[#This Row],[Date Joined]])/365</f>
        <v>4.6684931506849319</v>
      </c>
      <c r="J121" s="20">
        <f ca="1">ROUNDUP(IF(Staff[[#This Row],[Tenure]]&gt;2,3%,2%)*Staff[[#This Row],[Salary]],0)</f>
        <v>1050</v>
      </c>
      <c r="K121">
        <f>VLOOKUP(Staff[[#This Row],[Rating]], 'mapping '!$B$2:$C$6, 2, FALSE)</f>
        <v>3</v>
      </c>
    </row>
    <row r="122" spans="1:11">
      <c r="A122" t="s">
        <v>35</v>
      </c>
      <c r="B122" t="s">
        <v>8</v>
      </c>
      <c r="C122" s="14">
        <v>28</v>
      </c>
      <c r="D122" t="s">
        <v>16</v>
      </c>
      <c r="E122" s="9">
        <v>44185</v>
      </c>
      <c r="F122" t="s">
        <v>21</v>
      </c>
      <c r="G122">
        <v>75970</v>
      </c>
      <c r="H122" t="s">
        <v>207</v>
      </c>
      <c r="I122" s="10">
        <f ca="1">(TODAY()-Staff[[#This Row],[Date Joined]])/365</f>
        <v>4.2246575342465755</v>
      </c>
      <c r="J122" s="20">
        <f ca="1">ROUNDUP(IF(Staff[[#This Row],[Tenure]]&gt;2,3%,2%)*Staff[[#This Row],[Salary]],0)</f>
        <v>2280</v>
      </c>
      <c r="K122">
        <f>VLOOKUP(Staff[[#This Row],[Rating]], 'mapping '!$B$2:$C$6, 2, FALSE)</f>
        <v>3</v>
      </c>
    </row>
    <row r="123" spans="1:11">
      <c r="A123" t="s">
        <v>38</v>
      </c>
      <c r="B123" t="s">
        <v>8</v>
      </c>
      <c r="C123" s="14">
        <v>34</v>
      </c>
      <c r="D123" t="s">
        <v>16</v>
      </c>
      <c r="E123" s="9">
        <v>44612</v>
      </c>
      <c r="F123" t="s">
        <v>21</v>
      </c>
      <c r="G123">
        <v>60130</v>
      </c>
      <c r="H123" t="s">
        <v>207</v>
      </c>
      <c r="I123" s="10">
        <f ca="1">(TODAY()-Staff[[#This Row],[Date Joined]])/365</f>
        <v>3.0547945205479454</v>
      </c>
      <c r="J123" s="20">
        <f ca="1">ROUNDUP(IF(Staff[[#This Row],[Tenure]]&gt;2,3%,2%)*Staff[[#This Row],[Salary]],0)</f>
        <v>1804</v>
      </c>
      <c r="K123">
        <f>VLOOKUP(Staff[[#This Row],[Rating]], 'mapping '!$B$2:$C$6, 2, FALSE)</f>
        <v>3</v>
      </c>
    </row>
    <row r="124" spans="1:11">
      <c r="A124" t="s">
        <v>41</v>
      </c>
      <c r="B124" t="s">
        <v>8</v>
      </c>
      <c r="C124" s="14">
        <v>33</v>
      </c>
      <c r="D124" t="s">
        <v>42</v>
      </c>
      <c r="E124" s="9">
        <v>44374</v>
      </c>
      <c r="F124" t="s">
        <v>12</v>
      </c>
      <c r="G124">
        <v>75480</v>
      </c>
      <c r="H124" t="s">
        <v>207</v>
      </c>
      <c r="I124" s="10">
        <f ca="1">(TODAY()-Staff[[#This Row],[Date Joined]])/365</f>
        <v>3.7068493150684931</v>
      </c>
      <c r="J124" s="20">
        <f ca="1">ROUNDUP(IF(Staff[[#This Row],[Tenure]]&gt;2,3%,2%)*Staff[[#This Row],[Salary]],0)</f>
        <v>2265</v>
      </c>
      <c r="K124">
        <f>VLOOKUP(Staff[[#This Row],[Rating]], 'mapping '!$B$2:$C$6, 2, FALSE)</f>
        <v>1</v>
      </c>
    </row>
    <row r="125" spans="1:11">
      <c r="A125" t="s">
        <v>40</v>
      </c>
      <c r="B125" t="s">
        <v>15</v>
      </c>
      <c r="C125" s="14">
        <v>33</v>
      </c>
      <c r="D125" t="s">
        <v>16</v>
      </c>
      <c r="E125" s="9">
        <v>44164</v>
      </c>
      <c r="F125" t="s">
        <v>9</v>
      </c>
      <c r="G125">
        <v>115920</v>
      </c>
      <c r="H125" t="s">
        <v>207</v>
      </c>
      <c r="I125" s="10">
        <f ca="1">(TODAY()-Staff[[#This Row],[Date Joined]])/365</f>
        <v>4.2821917808219174</v>
      </c>
      <c r="J125" s="20">
        <f ca="1">ROUNDUP(IF(Staff[[#This Row],[Tenure]]&gt;2,3%,2%)*Staff[[#This Row],[Salary]],0)</f>
        <v>3478</v>
      </c>
      <c r="K125">
        <f>VLOOKUP(Staff[[#This Row],[Rating]], 'mapping '!$B$2:$C$6, 2, FALSE)</f>
        <v>3</v>
      </c>
    </row>
    <row r="126" spans="1:11">
      <c r="A126" t="s">
        <v>48</v>
      </c>
      <c r="B126" t="s">
        <v>8</v>
      </c>
      <c r="C126" s="14">
        <v>36</v>
      </c>
      <c r="D126" t="s">
        <v>16</v>
      </c>
      <c r="E126" s="9">
        <v>44494</v>
      </c>
      <c r="F126" t="s">
        <v>19</v>
      </c>
      <c r="G126">
        <v>78540</v>
      </c>
      <c r="H126" t="s">
        <v>207</v>
      </c>
      <c r="I126" s="10">
        <f ca="1">(TODAY()-Staff[[#This Row],[Date Joined]])/365</f>
        <v>3.3780821917808219</v>
      </c>
      <c r="J126" s="20">
        <f ca="1">ROUNDUP(IF(Staff[[#This Row],[Tenure]]&gt;2,3%,2%)*Staff[[#This Row],[Salary]],0)</f>
        <v>2357</v>
      </c>
      <c r="K126">
        <f>VLOOKUP(Staff[[#This Row],[Rating]], 'mapping '!$B$2:$C$6, 2, FALSE)</f>
        <v>3</v>
      </c>
    </row>
    <row r="127" spans="1:11">
      <c r="A127" t="s">
        <v>34</v>
      </c>
      <c r="B127" t="s">
        <v>15</v>
      </c>
      <c r="C127" s="14">
        <v>25</v>
      </c>
      <c r="D127" t="s">
        <v>13</v>
      </c>
      <c r="E127" s="9">
        <v>44726</v>
      </c>
      <c r="F127" t="s">
        <v>9</v>
      </c>
      <c r="G127">
        <v>109190</v>
      </c>
      <c r="H127" t="s">
        <v>207</v>
      </c>
      <c r="I127" s="10">
        <f ca="1">(TODAY()-Staff[[#This Row],[Date Joined]])/365</f>
        <v>2.7424657534246575</v>
      </c>
      <c r="J127" s="20">
        <f ca="1">ROUNDUP(IF(Staff[[#This Row],[Tenure]]&gt;2,3%,2%)*Staff[[#This Row],[Salary]],0)</f>
        <v>3276</v>
      </c>
      <c r="K127">
        <f>VLOOKUP(Staff[[#This Row],[Rating]], 'mapping '!$B$2:$C$6, 2, FALSE)</f>
        <v>4</v>
      </c>
    </row>
    <row r="128" spans="1:11">
      <c r="A128" t="s">
        <v>73</v>
      </c>
      <c r="B128" t="s">
        <v>8</v>
      </c>
      <c r="C128" s="14">
        <v>34</v>
      </c>
      <c r="D128" t="s">
        <v>24</v>
      </c>
      <c r="E128" s="9">
        <v>44721</v>
      </c>
      <c r="F128" t="s">
        <v>19</v>
      </c>
      <c r="G128">
        <v>49630</v>
      </c>
      <c r="H128" t="s">
        <v>207</v>
      </c>
      <c r="I128" s="10">
        <f ca="1">(TODAY()-Staff[[#This Row],[Date Joined]])/365</f>
        <v>2.7561643835616438</v>
      </c>
      <c r="J128" s="20">
        <f ca="1">ROUNDUP(IF(Staff[[#This Row],[Tenure]]&gt;2,3%,2%)*Staff[[#This Row],[Salary]],0)</f>
        <v>1489</v>
      </c>
      <c r="K128">
        <f>VLOOKUP(Staff[[#This Row],[Rating]], 'mapping '!$B$2:$C$6, 2, FALSE)</f>
        <v>2</v>
      </c>
    </row>
    <row r="129" spans="1:11">
      <c r="A129" t="s">
        <v>107</v>
      </c>
      <c r="B129" t="s">
        <v>8</v>
      </c>
      <c r="C129" s="14">
        <v>28</v>
      </c>
      <c r="D129" t="s">
        <v>16</v>
      </c>
      <c r="E129" s="9">
        <v>44630</v>
      </c>
      <c r="F129" t="s">
        <v>9</v>
      </c>
      <c r="G129">
        <v>99970</v>
      </c>
      <c r="H129" t="s">
        <v>207</v>
      </c>
      <c r="I129" s="10">
        <f ca="1">(TODAY()-Staff[[#This Row],[Date Joined]])/365</f>
        <v>3.0054794520547947</v>
      </c>
      <c r="J129" s="20">
        <f ca="1">ROUNDUP(IF(Staff[[#This Row],[Tenure]]&gt;2,3%,2%)*Staff[[#This Row],[Salary]],0)</f>
        <v>3000</v>
      </c>
      <c r="K129">
        <f>VLOOKUP(Staff[[#This Row],[Rating]], 'mapping '!$B$2:$C$6, 2, FALSE)</f>
        <v>3</v>
      </c>
    </row>
    <row r="130" spans="1:11">
      <c r="A130" t="s">
        <v>71</v>
      </c>
      <c r="B130" t="s">
        <v>8</v>
      </c>
      <c r="C130" s="14">
        <v>33</v>
      </c>
      <c r="D130" t="s">
        <v>16</v>
      </c>
      <c r="E130" s="9">
        <v>44190</v>
      </c>
      <c r="F130" t="s">
        <v>12</v>
      </c>
      <c r="G130">
        <v>96140</v>
      </c>
      <c r="H130" t="s">
        <v>207</v>
      </c>
      <c r="I130" s="10">
        <f ca="1">(TODAY()-Staff[[#This Row],[Date Joined]])/365</f>
        <v>4.2109589041095887</v>
      </c>
      <c r="J130" s="20">
        <f ca="1">ROUNDUP(IF(Staff[[#This Row],[Tenure]]&gt;2,3%,2%)*Staff[[#This Row],[Salary]],0)</f>
        <v>2885</v>
      </c>
      <c r="K130">
        <f>VLOOKUP(Staff[[#This Row],[Rating]], 'mapping '!$B$2:$C$6, 2, FALSE)</f>
        <v>3</v>
      </c>
    </row>
    <row r="131" spans="1:11">
      <c r="A131" t="s">
        <v>50</v>
      </c>
      <c r="B131" t="s">
        <v>15</v>
      </c>
      <c r="C131" s="14">
        <v>31</v>
      </c>
      <c r="D131" t="s">
        <v>16</v>
      </c>
      <c r="E131" s="9">
        <v>44724</v>
      </c>
      <c r="F131" t="s">
        <v>9</v>
      </c>
      <c r="G131">
        <v>103550</v>
      </c>
      <c r="H131" t="s">
        <v>207</v>
      </c>
      <c r="I131" s="10">
        <f ca="1">(TODAY()-Staff[[#This Row],[Date Joined]])/365</f>
        <v>2.7479452054794522</v>
      </c>
      <c r="J131" s="20">
        <f ca="1">ROUNDUP(IF(Staff[[#This Row],[Tenure]]&gt;2,3%,2%)*Staff[[#This Row],[Salary]],0)</f>
        <v>3107</v>
      </c>
      <c r="K131">
        <f>VLOOKUP(Staff[[#This Row],[Rating]], 'mapping '!$B$2:$C$6, 2, FALSE)</f>
        <v>3</v>
      </c>
    </row>
    <row r="132" spans="1:11">
      <c r="A132" t="s">
        <v>14</v>
      </c>
      <c r="B132" t="s">
        <v>15</v>
      </c>
      <c r="C132" s="14">
        <v>31</v>
      </c>
      <c r="D132" t="s">
        <v>16</v>
      </c>
      <c r="E132" s="9">
        <v>44511</v>
      </c>
      <c r="F132" t="s">
        <v>12</v>
      </c>
      <c r="G132">
        <v>48950</v>
      </c>
      <c r="H132" t="s">
        <v>207</v>
      </c>
      <c r="I132" s="10">
        <f ca="1">(TODAY()-Staff[[#This Row],[Date Joined]])/365</f>
        <v>3.3315068493150686</v>
      </c>
      <c r="J132" s="20">
        <f ca="1">ROUNDUP(IF(Staff[[#This Row],[Tenure]]&gt;2,3%,2%)*Staff[[#This Row],[Salary]],0)</f>
        <v>1469</v>
      </c>
      <c r="K132">
        <f>VLOOKUP(Staff[[#This Row],[Rating]], 'mapping '!$B$2:$C$6, 2, FALSE)</f>
        <v>3</v>
      </c>
    </row>
    <row r="133" spans="1:11">
      <c r="A133" t="s">
        <v>63</v>
      </c>
      <c r="B133" t="s">
        <v>15</v>
      </c>
      <c r="C133" s="14">
        <v>24</v>
      </c>
      <c r="D133" t="s">
        <v>24</v>
      </c>
      <c r="E133" s="9">
        <v>44436</v>
      </c>
      <c r="F133" t="s">
        <v>21</v>
      </c>
      <c r="G133">
        <v>52610</v>
      </c>
      <c r="H133" t="s">
        <v>207</v>
      </c>
      <c r="I133" s="10">
        <f ca="1">(TODAY()-Staff[[#This Row],[Date Joined]])/365</f>
        <v>3.536986301369863</v>
      </c>
      <c r="J133" s="20">
        <f ca="1">ROUNDUP(IF(Staff[[#This Row],[Tenure]]&gt;2,3%,2%)*Staff[[#This Row],[Salary]],0)</f>
        <v>1579</v>
      </c>
      <c r="K133">
        <f>VLOOKUP(Staff[[#This Row],[Rating]], 'mapping '!$B$2:$C$6, 2, FALSE)</f>
        <v>2</v>
      </c>
    </row>
    <row r="134" spans="1:11">
      <c r="A134" t="s">
        <v>72</v>
      </c>
      <c r="B134" t="s">
        <v>8</v>
      </c>
      <c r="C134" s="14">
        <v>36</v>
      </c>
      <c r="D134" t="s">
        <v>16</v>
      </c>
      <c r="E134" s="9">
        <v>44529</v>
      </c>
      <c r="F134" t="s">
        <v>9</v>
      </c>
      <c r="G134">
        <v>78390</v>
      </c>
      <c r="H134" t="s">
        <v>207</v>
      </c>
      <c r="I134" s="10">
        <f ca="1">(TODAY()-Staff[[#This Row],[Date Joined]])/365</f>
        <v>3.2821917808219179</v>
      </c>
      <c r="J134" s="20">
        <f ca="1">ROUNDUP(IF(Staff[[#This Row],[Tenure]]&gt;2,3%,2%)*Staff[[#This Row],[Salary]],0)</f>
        <v>2352</v>
      </c>
      <c r="K134">
        <f>VLOOKUP(Staff[[#This Row],[Rating]], 'mapping '!$B$2:$C$6, 2, FALSE)</f>
        <v>3</v>
      </c>
    </row>
    <row r="135" spans="1:11">
      <c r="A135" t="s">
        <v>88</v>
      </c>
      <c r="B135" t="s">
        <v>8</v>
      </c>
      <c r="C135" s="14">
        <v>33</v>
      </c>
      <c r="D135" t="s">
        <v>16</v>
      </c>
      <c r="E135" s="9">
        <v>44809</v>
      </c>
      <c r="F135" t="s">
        <v>21</v>
      </c>
      <c r="G135">
        <v>86570</v>
      </c>
      <c r="H135" t="s">
        <v>207</v>
      </c>
      <c r="I135" s="10">
        <f ca="1">(TODAY()-Staff[[#This Row],[Date Joined]])/365</f>
        <v>2.515068493150685</v>
      </c>
      <c r="J135" s="20">
        <f ca="1">ROUNDUP(IF(Staff[[#This Row],[Tenure]]&gt;2,3%,2%)*Staff[[#This Row],[Salary]],0)</f>
        <v>2598</v>
      </c>
      <c r="K135">
        <f>VLOOKUP(Staff[[#This Row],[Rating]], 'mapping '!$B$2:$C$6, 2, FALSE)</f>
        <v>3</v>
      </c>
    </row>
    <row r="136" spans="1:11">
      <c r="A136" t="s">
        <v>92</v>
      </c>
      <c r="B136" t="s">
        <v>8</v>
      </c>
      <c r="C136" s="14">
        <v>27</v>
      </c>
      <c r="D136" t="s">
        <v>16</v>
      </c>
      <c r="E136" s="9">
        <v>44686</v>
      </c>
      <c r="F136" t="s">
        <v>12</v>
      </c>
      <c r="G136">
        <v>83750</v>
      </c>
      <c r="H136" t="s">
        <v>207</v>
      </c>
      <c r="I136" s="10">
        <f ca="1">(TODAY()-Staff[[#This Row],[Date Joined]])/365</f>
        <v>2.8520547945205479</v>
      </c>
      <c r="J136" s="20">
        <f ca="1">ROUNDUP(IF(Staff[[#This Row],[Tenure]]&gt;2,3%,2%)*Staff[[#This Row],[Salary]],0)</f>
        <v>2513</v>
      </c>
      <c r="K136">
        <f>VLOOKUP(Staff[[#This Row],[Rating]], 'mapping '!$B$2:$C$6, 2, FALSE)</f>
        <v>3</v>
      </c>
    </row>
    <row r="137" spans="1:11">
      <c r="A137" t="s">
        <v>102</v>
      </c>
      <c r="B137" t="s">
        <v>8</v>
      </c>
      <c r="C137" s="14">
        <v>34</v>
      </c>
      <c r="D137" t="s">
        <v>16</v>
      </c>
      <c r="E137" s="9">
        <v>44445</v>
      </c>
      <c r="F137" t="s">
        <v>21</v>
      </c>
      <c r="G137">
        <v>92450</v>
      </c>
      <c r="H137" t="s">
        <v>207</v>
      </c>
      <c r="I137" s="10">
        <f ca="1">(TODAY()-Staff[[#This Row],[Date Joined]])/365</f>
        <v>3.5123287671232877</v>
      </c>
      <c r="J137" s="20">
        <f ca="1">ROUNDUP(IF(Staff[[#This Row],[Tenure]]&gt;2,3%,2%)*Staff[[#This Row],[Salary]],0)</f>
        <v>2774</v>
      </c>
      <c r="K137">
        <f>VLOOKUP(Staff[[#This Row],[Rating]], 'mapping '!$B$2:$C$6, 2, FALSE)</f>
        <v>3</v>
      </c>
    </row>
    <row r="138" spans="1:11">
      <c r="A138" t="s">
        <v>64</v>
      </c>
      <c r="B138" t="s">
        <v>15</v>
      </c>
      <c r="C138" s="14">
        <v>20</v>
      </c>
      <c r="D138" t="s">
        <v>16</v>
      </c>
      <c r="E138" s="9">
        <v>44183</v>
      </c>
      <c r="F138" t="s">
        <v>12</v>
      </c>
      <c r="G138">
        <v>112650</v>
      </c>
      <c r="H138" t="s">
        <v>207</v>
      </c>
      <c r="I138" s="10">
        <f ca="1">(TODAY()-Staff[[#This Row],[Date Joined]])/365</f>
        <v>4.2301369863013702</v>
      </c>
      <c r="J138" s="20">
        <f ca="1">ROUNDUP(IF(Staff[[#This Row],[Tenure]]&gt;2,3%,2%)*Staff[[#This Row],[Salary]],0)</f>
        <v>3380</v>
      </c>
      <c r="K138">
        <f>VLOOKUP(Staff[[#This Row],[Rating]], 'mapping '!$B$2:$C$6, 2, FALSE)</f>
        <v>3</v>
      </c>
    </row>
    <row r="139" spans="1:11">
      <c r="A139" t="s">
        <v>104</v>
      </c>
      <c r="B139" t="s">
        <v>15</v>
      </c>
      <c r="C139" s="14">
        <v>20</v>
      </c>
      <c r="D139" t="s">
        <v>16</v>
      </c>
      <c r="E139" s="9">
        <v>44744</v>
      </c>
      <c r="F139" t="s">
        <v>9</v>
      </c>
      <c r="G139">
        <v>79570</v>
      </c>
      <c r="H139" t="s">
        <v>207</v>
      </c>
      <c r="I139" s="10">
        <f ca="1">(TODAY()-Staff[[#This Row],[Date Joined]])/365</f>
        <v>2.6931506849315068</v>
      </c>
      <c r="J139" s="20">
        <f ca="1">ROUNDUP(IF(Staff[[#This Row],[Tenure]]&gt;2,3%,2%)*Staff[[#This Row],[Salary]],0)</f>
        <v>2388</v>
      </c>
      <c r="K139">
        <f>VLOOKUP(Staff[[#This Row],[Rating]], 'mapping '!$B$2:$C$6, 2, FALSE)</f>
        <v>3</v>
      </c>
    </row>
    <row r="140" spans="1:11">
      <c r="A140" t="s">
        <v>91</v>
      </c>
      <c r="B140" t="s">
        <v>8</v>
      </c>
      <c r="C140" s="14">
        <v>20</v>
      </c>
      <c r="D140" t="s">
        <v>24</v>
      </c>
      <c r="E140" s="9">
        <v>44537</v>
      </c>
      <c r="F140" t="s">
        <v>19</v>
      </c>
      <c r="G140">
        <v>68900</v>
      </c>
      <c r="H140" t="s">
        <v>207</v>
      </c>
      <c r="I140" s="10">
        <f ca="1">(TODAY()-Staff[[#This Row],[Date Joined]])/365</f>
        <v>3.2602739726027399</v>
      </c>
      <c r="J140" s="20">
        <f ca="1">ROUNDUP(IF(Staff[[#This Row],[Tenure]]&gt;2,3%,2%)*Staff[[#This Row],[Salary]],0)</f>
        <v>2067</v>
      </c>
      <c r="K140">
        <f>VLOOKUP(Staff[[#This Row],[Rating]], 'mapping '!$B$2:$C$6, 2, FALSE)</f>
        <v>2</v>
      </c>
    </row>
    <row r="141" spans="1:11">
      <c r="A141" t="s">
        <v>39</v>
      </c>
      <c r="B141" t="s">
        <v>8</v>
      </c>
      <c r="C141" s="14">
        <v>25</v>
      </c>
      <c r="D141" t="s">
        <v>13</v>
      </c>
      <c r="E141" s="9">
        <v>44694</v>
      </c>
      <c r="F141" t="s">
        <v>12</v>
      </c>
      <c r="G141">
        <v>80700</v>
      </c>
      <c r="H141" t="s">
        <v>207</v>
      </c>
      <c r="I141" s="10">
        <f ca="1">(TODAY()-Staff[[#This Row],[Date Joined]])/365</f>
        <v>2.8301369863013699</v>
      </c>
      <c r="J141" s="20">
        <f ca="1">ROUNDUP(IF(Staff[[#This Row],[Tenure]]&gt;2,3%,2%)*Staff[[#This Row],[Salary]],0)</f>
        <v>2421</v>
      </c>
      <c r="K141">
        <f>VLOOKUP(Staff[[#This Row],[Rating]], 'mapping '!$B$2:$C$6, 2, FALSE)</f>
        <v>4</v>
      </c>
    </row>
    <row r="142" spans="1:11">
      <c r="A142" t="s">
        <v>100</v>
      </c>
      <c r="B142" t="s">
        <v>15</v>
      </c>
      <c r="C142" s="14">
        <v>19</v>
      </c>
      <c r="D142" t="s">
        <v>16</v>
      </c>
      <c r="E142" s="9">
        <v>44277</v>
      </c>
      <c r="F142" t="s">
        <v>9</v>
      </c>
      <c r="G142">
        <v>58960</v>
      </c>
      <c r="H142" t="s">
        <v>207</v>
      </c>
      <c r="I142" s="10">
        <f ca="1">(TODAY()-Staff[[#This Row],[Date Joined]])/365</f>
        <v>3.9726027397260273</v>
      </c>
      <c r="J142" s="20">
        <f ca="1">ROUNDUP(IF(Staff[[#This Row],[Tenure]]&gt;2,3%,2%)*Staff[[#This Row],[Salary]],0)</f>
        <v>1769</v>
      </c>
      <c r="K142">
        <f>VLOOKUP(Staff[[#This Row],[Rating]], 'mapping '!$B$2:$C$6, 2, FALSE)</f>
        <v>3</v>
      </c>
    </row>
    <row r="143" spans="1:11">
      <c r="A143" t="s">
        <v>106</v>
      </c>
      <c r="B143" t="s">
        <v>15</v>
      </c>
      <c r="C143" s="14">
        <v>36</v>
      </c>
      <c r="D143" t="s">
        <v>16</v>
      </c>
      <c r="E143" s="9">
        <v>44019</v>
      </c>
      <c r="F143" t="s">
        <v>12</v>
      </c>
      <c r="G143">
        <v>118840</v>
      </c>
      <c r="H143" t="s">
        <v>207</v>
      </c>
      <c r="I143" s="10">
        <f ca="1">(TODAY()-Staff[[#This Row],[Date Joined]])/365</f>
        <v>4.6794520547945204</v>
      </c>
      <c r="J143" s="20">
        <f ca="1">ROUNDUP(IF(Staff[[#This Row],[Tenure]]&gt;2,3%,2%)*Staff[[#This Row],[Salary]],0)</f>
        <v>3566</v>
      </c>
      <c r="K143">
        <f>VLOOKUP(Staff[[#This Row],[Rating]], 'mapping '!$B$2:$C$6, 2, FALSE)</f>
        <v>3</v>
      </c>
    </row>
    <row r="144" spans="1:11">
      <c r="A144" t="s">
        <v>29</v>
      </c>
      <c r="B144" t="s">
        <v>15</v>
      </c>
      <c r="C144" s="14">
        <v>28</v>
      </c>
      <c r="D144" t="s">
        <v>13</v>
      </c>
      <c r="E144" s="9">
        <v>44041</v>
      </c>
      <c r="F144" t="s">
        <v>21</v>
      </c>
      <c r="G144">
        <v>48170</v>
      </c>
      <c r="H144" t="s">
        <v>207</v>
      </c>
      <c r="I144" s="10">
        <f ca="1">(TODAY()-Staff[[#This Row],[Date Joined]])/365</f>
        <v>4.6191780821917812</v>
      </c>
      <c r="J144" s="20">
        <f ca="1">ROUNDUP(IF(Staff[[#This Row],[Tenure]]&gt;2,3%,2%)*Staff[[#This Row],[Salary]],0)</f>
        <v>1446</v>
      </c>
      <c r="K144">
        <f>VLOOKUP(Staff[[#This Row],[Rating]], 'mapping '!$B$2:$C$6, 2, FALSE)</f>
        <v>4</v>
      </c>
    </row>
    <row r="145" spans="1:11">
      <c r="A145" t="s">
        <v>108</v>
      </c>
      <c r="B145" t="s">
        <v>8</v>
      </c>
      <c r="C145" s="14">
        <v>32</v>
      </c>
      <c r="D145" t="s">
        <v>16</v>
      </c>
      <c r="E145" s="9">
        <v>44400</v>
      </c>
      <c r="F145" t="s">
        <v>56</v>
      </c>
      <c r="G145">
        <v>45510</v>
      </c>
      <c r="H145" t="s">
        <v>207</v>
      </c>
      <c r="I145" s="10">
        <f ca="1">(TODAY()-Staff[[#This Row],[Date Joined]])/365</f>
        <v>3.6356164383561644</v>
      </c>
      <c r="J145" s="20">
        <f ca="1">ROUNDUP(IF(Staff[[#This Row],[Tenure]]&gt;2,3%,2%)*Staff[[#This Row],[Salary]],0)</f>
        <v>1366</v>
      </c>
      <c r="K145">
        <f>VLOOKUP(Staff[[#This Row],[Rating]], 'mapping '!$B$2:$C$6, 2, FALSE)</f>
        <v>3</v>
      </c>
    </row>
    <row r="146" spans="1:11">
      <c r="A146" t="s">
        <v>83</v>
      </c>
      <c r="B146" t="s">
        <v>8</v>
      </c>
      <c r="C146" s="14">
        <v>36</v>
      </c>
      <c r="D146" t="s">
        <v>16</v>
      </c>
      <c r="E146" s="9">
        <v>44085</v>
      </c>
      <c r="F146" t="s">
        <v>9</v>
      </c>
      <c r="G146">
        <v>114890</v>
      </c>
      <c r="H146" t="s">
        <v>207</v>
      </c>
      <c r="I146" s="10">
        <f ca="1">(TODAY()-Staff[[#This Row],[Date Joined]])/365</f>
        <v>4.4986301369863018</v>
      </c>
      <c r="J146" s="20">
        <f ca="1">ROUNDUP(IF(Staff[[#This Row],[Tenure]]&gt;2,3%,2%)*Staff[[#This Row],[Salary]],0)</f>
        <v>3447</v>
      </c>
      <c r="K146">
        <f>VLOOKUP(Staff[[#This Row],[Rating]], 'mapping '!$B$2:$C$6, 2, FALSE)</f>
        <v>3</v>
      </c>
    </row>
    <row r="147" spans="1:11">
      <c r="A147" t="s">
        <v>67</v>
      </c>
      <c r="B147" t="s">
        <v>15</v>
      </c>
      <c r="C147" s="14">
        <v>30</v>
      </c>
      <c r="D147" t="s">
        <v>16</v>
      </c>
      <c r="E147" s="9">
        <v>44850</v>
      </c>
      <c r="F147" t="s">
        <v>12</v>
      </c>
      <c r="G147">
        <v>69710</v>
      </c>
      <c r="H147" t="s">
        <v>207</v>
      </c>
      <c r="I147" s="10">
        <f ca="1">(TODAY()-Staff[[#This Row],[Date Joined]])/365</f>
        <v>2.4027397260273973</v>
      </c>
      <c r="J147" s="20">
        <f ca="1">ROUNDUP(IF(Staff[[#This Row],[Tenure]]&gt;2,3%,2%)*Staff[[#This Row],[Salary]],0)</f>
        <v>2092</v>
      </c>
      <c r="K147">
        <f>VLOOKUP(Staff[[#This Row],[Rating]], 'mapping '!$B$2:$C$6, 2, FALSE)</f>
        <v>3</v>
      </c>
    </row>
    <row r="148" spans="1:11">
      <c r="A148" t="s">
        <v>94</v>
      </c>
      <c r="B148" t="s">
        <v>15</v>
      </c>
      <c r="C148" s="14">
        <v>36</v>
      </c>
      <c r="D148" t="s">
        <v>16</v>
      </c>
      <c r="E148" s="9">
        <v>44333</v>
      </c>
      <c r="F148" t="s">
        <v>21</v>
      </c>
      <c r="G148">
        <v>71380</v>
      </c>
      <c r="H148" t="s">
        <v>207</v>
      </c>
      <c r="I148" s="10">
        <f ca="1">(TODAY()-Staff[[#This Row],[Date Joined]])/365</f>
        <v>3.8191780821917809</v>
      </c>
      <c r="J148" s="20">
        <f ca="1">ROUNDUP(IF(Staff[[#This Row],[Tenure]]&gt;2,3%,2%)*Staff[[#This Row],[Salary]],0)</f>
        <v>2142</v>
      </c>
      <c r="K148">
        <f>VLOOKUP(Staff[[#This Row],[Rating]], 'mapping '!$B$2:$C$6, 2, FALSE)</f>
        <v>3</v>
      </c>
    </row>
    <row r="149" spans="1:11">
      <c r="A149" t="s">
        <v>33</v>
      </c>
      <c r="B149" t="s">
        <v>8</v>
      </c>
      <c r="C149" s="14">
        <v>38</v>
      </c>
      <c r="D149" t="s">
        <v>10</v>
      </c>
      <c r="E149" s="9">
        <v>44377</v>
      </c>
      <c r="F149" t="s">
        <v>19</v>
      </c>
      <c r="G149">
        <v>109160</v>
      </c>
      <c r="H149" t="s">
        <v>207</v>
      </c>
      <c r="I149" s="10">
        <f ca="1">(TODAY()-Staff[[#This Row],[Date Joined]])/365</f>
        <v>3.6986301369863015</v>
      </c>
      <c r="J149" s="20">
        <f ca="1">ROUNDUP(IF(Staff[[#This Row],[Tenure]]&gt;2,3%,2%)*Staff[[#This Row],[Salary]],0)</f>
        <v>3275</v>
      </c>
      <c r="K149">
        <f>VLOOKUP(Staff[[#This Row],[Rating]], 'mapping '!$B$2:$C$6, 2, FALSE)</f>
        <v>5</v>
      </c>
    </row>
    <row r="150" spans="1:11">
      <c r="A150" t="s">
        <v>98</v>
      </c>
      <c r="B150" t="s">
        <v>15</v>
      </c>
      <c r="C150" s="14">
        <v>27</v>
      </c>
      <c r="D150" t="s">
        <v>42</v>
      </c>
      <c r="E150" s="9">
        <v>44609</v>
      </c>
      <c r="F150" t="s">
        <v>9</v>
      </c>
      <c r="G150">
        <v>113280</v>
      </c>
      <c r="H150" t="s">
        <v>207</v>
      </c>
      <c r="I150" s="10">
        <f ca="1">(TODAY()-Staff[[#This Row],[Date Joined]])/365</f>
        <v>3.0630136986301371</v>
      </c>
      <c r="J150" s="20">
        <f ca="1">ROUNDUP(IF(Staff[[#This Row],[Tenure]]&gt;2,3%,2%)*Staff[[#This Row],[Salary]],0)</f>
        <v>3399</v>
      </c>
      <c r="K150">
        <f>VLOOKUP(Staff[[#This Row],[Rating]], 'mapping '!$B$2:$C$6, 2, FALSE)</f>
        <v>1</v>
      </c>
    </row>
    <row r="151" spans="1:11">
      <c r="A151" t="s">
        <v>25</v>
      </c>
      <c r="B151" t="s">
        <v>15</v>
      </c>
      <c r="C151" s="14">
        <v>30</v>
      </c>
      <c r="D151" t="s">
        <v>16</v>
      </c>
      <c r="E151" s="9">
        <v>44273</v>
      </c>
      <c r="F151" t="s">
        <v>12</v>
      </c>
      <c r="G151">
        <v>69120</v>
      </c>
      <c r="H151" t="s">
        <v>207</v>
      </c>
      <c r="I151" s="10">
        <f ca="1">(TODAY()-Staff[[#This Row],[Date Joined]])/365</f>
        <v>3.9835616438356163</v>
      </c>
      <c r="J151" s="20">
        <f ca="1">ROUNDUP(IF(Staff[[#This Row],[Tenure]]&gt;2,3%,2%)*Staff[[#This Row],[Salary]],0)</f>
        <v>2074</v>
      </c>
      <c r="K151">
        <f>VLOOKUP(Staff[[#This Row],[Rating]], 'mapping '!$B$2:$C$6, 2, FALSE)</f>
        <v>3</v>
      </c>
    </row>
    <row r="152" spans="1:11">
      <c r="A152" t="s">
        <v>55</v>
      </c>
      <c r="B152" t="s">
        <v>8</v>
      </c>
      <c r="C152" s="14">
        <v>37</v>
      </c>
      <c r="D152" t="s">
        <v>16</v>
      </c>
      <c r="E152" s="9">
        <v>44451</v>
      </c>
      <c r="F152" t="s">
        <v>56</v>
      </c>
      <c r="G152">
        <v>118100</v>
      </c>
      <c r="H152" t="s">
        <v>207</v>
      </c>
      <c r="I152" s="10">
        <f ca="1">(TODAY()-Staff[[#This Row],[Date Joined]])/365</f>
        <v>3.495890410958904</v>
      </c>
      <c r="J152" s="20">
        <f ca="1">ROUNDUP(IF(Staff[[#This Row],[Tenure]]&gt;2,3%,2%)*Staff[[#This Row],[Salary]],0)</f>
        <v>3543</v>
      </c>
      <c r="K152">
        <f>VLOOKUP(Staff[[#This Row],[Rating]], 'mapping '!$B$2:$C$6, 2, FALSE)</f>
        <v>3</v>
      </c>
    </row>
    <row r="153" spans="1:11">
      <c r="A153" t="s">
        <v>62</v>
      </c>
      <c r="B153" t="s">
        <v>8</v>
      </c>
      <c r="C153" s="14">
        <v>22</v>
      </c>
      <c r="D153" t="s">
        <v>13</v>
      </c>
      <c r="E153" s="9">
        <v>44450</v>
      </c>
      <c r="F153" t="s">
        <v>9</v>
      </c>
      <c r="G153">
        <v>76900</v>
      </c>
      <c r="H153" t="s">
        <v>207</v>
      </c>
      <c r="I153" s="10">
        <f ca="1">(TODAY()-Staff[[#This Row],[Date Joined]])/365</f>
        <v>3.4986301369863013</v>
      </c>
      <c r="J153" s="20">
        <f ca="1">ROUNDUP(IF(Staff[[#This Row],[Tenure]]&gt;2,3%,2%)*Staff[[#This Row],[Salary]],0)</f>
        <v>2307</v>
      </c>
      <c r="K153">
        <f>VLOOKUP(Staff[[#This Row],[Rating]], 'mapping '!$B$2:$C$6, 2, FALSE)</f>
        <v>4</v>
      </c>
    </row>
    <row r="154" spans="1:11">
      <c r="A154" t="s">
        <v>17</v>
      </c>
      <c r="B154" t="s">
        <v>8</v>
      </c>
      <c r="C154" s="14">
        <v>43</v>
      </c>
      <c r="D154" t="s">
        <v>16</v>
      </c>
      <c r="E154" s="9">
        <v>45045</v>
      </c>
      <c r="F154" t="s">
        <v>12</v>
      </c>
      <c r="G154">
        <v>114870</v>
      </c>
      <c r="H154" t="s">
        <v>207</v>
      </c>
      <c r="I154" s="10">
        <f ca="1">(TODAY()-Staff[[#This Row],[Date Joined]])/365</f>
        <v>1.8684931506849316</v>
      </c>
      <c r="J154" s="20">
        <f ca="1">ROUNDUP(IF(Staff[[#This Row],[Tenure]]&gt;2,3%,2%)*Staff[[#This Row],[Salary]],0)</f>
        <v>2298</v>
      </c>
      <c r="K154">
        <f>VLOOKUP(Staff[[#This Row],[Rating]], 'mapping '!$B$2:$C$6, 2, FALSE)</f>
        <v>3</v>
      </c>
    </row>
    <row r="155" spans="1:11">
      <c r="A155" t="s">
        <v>52</v>
      </c>
      <c r="B155" t="s">
        <v>206</v>
      </c>
      <c r="C155" s="14">
        <v>32</v>
      </c>
      <c r="D155" t="s">
        <v>16</v>
      </c>
      <c r="E155" s="9">
        <v>44774</v>
      </c>
      <c r="F155" t="s">
        <v>12</v>
      </c>
      <c r="G155">
        <v>91310</v>
      </c>
      <c r="H155" t="s">
        <v>207</v>
      </c>
      <c r="I155" s="10">
        <f ca="1">(TODAY()-Staff[[#This Row],[Date Joined]])/365</f>
        <v>2.6109589041095891</v>
      </c>
      <c r="J155" s="20">
        <f ca="1">ROUNDUP(IF(Staff[[#This Row],[Tenure]]&gt;2,3%,2%)*Staff[[#This Row],[Salary]],0)</f>
        <v>2740</v>
      </c>
      <c r="K155">
        <f>VLOOKUP(Staff[[#This Row],[Rating]], 'mapping '!$B$2:$C$6, 2, FALSE)</f>
        <v>3</v>
      </c>
    </row>
    <row r="156" spans="1:11">
      <c r="A156" t="s">
        <v>43</v>
      </c>
      <c r="B156" t="s">
        <v>8</v>
      </c>
      <c r="C156" s="14">
        <v>28</v>
      </c>
      <c r="D156" t="s">
        <v>16</v>
      </c>
      <c r="E156" s="9">
        <v>44486</v>
      </c>
      <c r="F156" t="s">
        <v>9</v>
      </c>
      <c r="G156">
        <v>104770</v>
      </c>
      <c r="H156" t="s">
        <v>207</v>
      </c>
      <c r="I156" s="10">
        <f ca="1">(TODAY()-Staff[[#This Row],[Date Joined]])/365</f>
        <v>3.4</v>
      </c>
      <c r="J156" s="20">
        <f ca="1">ROUNDUP(IF(Staff[[#This Row],[Tenure]]&gt;2,3%,2%)*Staff[[#This Row],[Salary]],0)</f>
        <v>3144</v>
      </c>
      <c r="K156">
        <f>VLOOKUP(Staff[[#This Row],[Rating]], 'mapping '!$B$2:$C$6, 2, FALSE)</f>
        <v>3</v>
      </c>
    </row>
    <row r="157" spans="1:11">
      <c r="A157" t="s">
        <v>89</v>
      </c>
      <c r="B157" t="s">
        <v>15</v>
      </c>
      <c r="C157" s="14">
        <v>27</v>
      </c>
      <c r="D157" t="s">
        <v>16</v>
      </c>
      <c r="E157" s="9">
        <v>44134</v>
      </c>
      <c r="F157" t="s">
        <v>19</v>
      </c>
      <c r="G157">
        <v>54970</v>
      </c>
      <c r="H157" t="s">
        <v>207</v>
      </c>
      <c r="I157" s="10">
        <f ca="1">(TODAY()-Staff[[#This Row],[Date Joined]])/365</f>
        <v>4.3643835616438356</v>
      </c>
      <c r="J157" s="20">
        <f ca="1">ROUNDUP(IF(Staff[[#This Row],[Tenure]]&gt;2,3%,2%)*Staff[[#This Row],[Salary]],0)</f>
        <v>1650</v>
      </c>
      <c r="K157">
        <f>VLOOKUP(Staff[[#This Row],[Rating]], 'mapping '!$B$2:$C$6, 2, FALSE)</f>
        <v>3</v>
      </c>
    </row>
    <row r="158" spans="1:11">
      <c r="A158" t="s">
        <v>11</v>
      </c>
      <c r="B158" t="s">
        <v>206</v>
      </c>
      <c r="C158" s="14">
        <v>26</v>
      </c>
      <c r="D158" t="s">
        <v>13</v>
      </c>
      <c r="E158" s="9">
        <v>44271</v>
      </c>
      <c r="F158" t="s">
        <v>12</v>
      </c>
      <c r="G158">
        <v>90700</v>
      </c>
      <c r="H158" t="s">
        <v>207</v>
      </c>
      <c r="I158" s="10">
        <f ca="1">(TODAY()-Staff[[#This Row],[Date Joined]])/365</f>
        <v>3.989041095890411</v>
      </c>
      <c r="J158" s="20">
        <f ca="1">ROUNDUP(IF(Staff[[#This Row],[Tenure]]&gt;2,3%,2%)*Staff[[#This Row],[Salary]],0)</f>
        <v>2721</v>
      </c>
      <c r="K158">
        <f>VLOOKUP(Staff[[#This Row],[Rating]], 'mapping '!$B$2:$C$6, 2, FALSE)</f>
        <v>4</v>
      </c>
    </row>
    <row r="159" spans="1:11">
      <c r="A159" t="s">
        <v>109</v>
      </c>
      <c r="B159" t="s">
        <v>8</v>
      </c>
      <c r="C159" s="14">
        <v>38</v>
      </c>
      <c r="D159" t="s">
        <v>13</v>
      </c>
      <c r="E159" s="9">
        <v>44329</v>
      </c>
      <c r="F159" t="s">
        <v>19</v>
      </c>
      <c r="G159">
        <v>56870</v>
      </c>
      <c r="H159" t="s">
        <v>207</v>
      </c>
      <c r="I159" s="10">
        <f ca="1">(TODAY()-Staff[[#This Row],[Date Joined]])/365</f>
        <v>3.8301369863013699</v>
      </c>
      <c r="J159" s="20">
        <f ca="1">ROUNDUP(IF(Staff[[#This Row],[Tenure]]&gt;2,3%,2%)*Staff[[#This Row],[Salary]],0)</f>
        <v>1707</v>
      </c>
      <c r="K159">
        <f>VLOOKUP(Staff[[#This Row],[Rating]], 'mapping '!$B$2:$C$6, 2, FALSE)</f>
        <v>4</v>
      </c>
    </row>
    <row r="160" spans="1:11">
      <c r="A160" t="s">
        <v>77</v>
      </c>
      <c r="B160" t="s">
        <v>8</v>
      </c>
      <c r="C160" s="14">
        <v>25</v>
      </c>
      <c r="D160" t="s">
        <v>16</v>
      </c>
      <c r="E160" s="9">
        <v>44205</v>
      </c>
      <c r="F160" t="s">
        <v>19</v>
      </c>
      <c r="G160">
        <v>92700</v>
      </c>
      <c r="H160" t="s">
        <v>207</v>
      </c>
      <c r="I160" s="10">
        <f ca="1">(TODAY()-Staff[[#This Row],[Date Joined]])/365</f>
        <v>4.1698630136986301</v>
      </c>
      <c r="J160" s="20">
        <f ca="1">ROUNDUP(IF(Staff[[#This Row],[Tenure]]&gt;2,3%,2%)*Staff[[#This Row],[Salary]],0)</f>
        <v>2781</v>
      </c>
      <c r="K160">
        <f>VLOOKUP(Staff[[#This Row],[Rating]], 'mapping '!$B$2:$C$6, 2, FALSE)</f>
        <v>3</v>
      </c>
    </row>
    <row r="161" spans="1:11">
      <c r="A161" t="s">
        <v>32</v>
      </c>
      <c r="B161" t="s">
        <v>8</v>
      </c>
      <c r="C161" s="14">
        <v>21</v>
      </c>
      <c r="D161" t="s">
        <v>16</v>
      </c>
      <c r="E161" s="9">
        <v>44317</v>
      </c>
      <c r="F161" t="s">
        <v>21</v>
      </c>
      <c r="G161">
        <v>65920</v>
      </c>
      <c r="H161" t="s">
        <v>207</v>
      </c>
      <c r="I161" s="10">
        <f ca="1">(TODAY()-Staff[[#This Row],[Date Joined]])/365</f>
        <v>3.8630136986301369</v>
      </c>
      <c r="J161" s="20">
        <f ca="1">ROUNDUP(IF(Staff[[#This Row],[Tenure]]&gt;2,3%,2%)*Staff[[#This Row],[Salary]],0)</f>
        <v>1978</v>
      </c>
      <c r="K161">
        <f>VLOOKUP(Staff[[#This Row],[Rating]], 'mapping '!$B$2:$C$6, 2, FALSE)</f>
        <v>3</v>
      </c>
    </row>
    <row r="162" spans="1:11">
      <c r="A162" t="s">
        <v>59</v>
      </c>
      <c r="B162" t="s">
        <v>15</v>
      </c>
      <c r="C162" s="14">
        <v>26</v>
      </c>
      <c r="D162" t="s">
        <v>16</v>
      </c>
      <c r="E162" s="9">
        <v>44225</v>
      </c>
      <c r="F162" t="s">
        <v>9</v>
      </c>
      <c r="G162">
        <v>47360</v>
      </c>
      <c r="H162" t="s">
        <v>207</v>
      </c>
      <c r="I162" s="10">
        <f ca="1">(TODAY()-Staff[[#This Row],[Date Joined]])/365</f>
        <v>4.1150684931506847</v>
      </c>
      <c r="J162" s="20">
        <f ca="1">ROUNDUP(IF(Staff[[#This Row],[Tenure]]&gt;2,3%,2%)*Staff[[#This Row],[Salary]],0)</f>
        <v>1421</v>
      </c>
      <c r="K162">
        <f>VLOOKUP(Staff[[#This Row],[Rating]], 'mapping '!$B$2:$C$6, 2, FALSE)</f>
        <v>3</v>
      </c>
    </row>
    <row r="163" spans="1:11">
      <c r="A163" t="s">
        <v>37</v>
      </c>
      <c r="B163" t="s">
        <v>15</v>
      </c>
      <c r="C163" s="14">
        <v>30</v>
      </c>
      <c r="D163" t="s">
        <v>16</v>
      </c>
      <c r="E163" s="9">
        <v>44666</v>
      </c>
      <c r="F163" t="s">
        <v>9</v>
      </c>
      <c r="G163">
        <v>60570</v>
      </c>
      <c r="H163" t="s">
        <v>207</v>
      </c>
      <c r="I163" s="10">
        <f ca="1">(TODAY()-Staff[[#This Row],[Date Joined]])/365</f>
        <v>2.9068493150684933</v>
      </c>
      <c r="J163" s="20">
        <f ca="1">ROUNDUP(IF(Staff[[#This Row],[Tenure]]&gt;2,3%,2%)*Staff[[#This Row],[Salary]],0)</f>
        <v>1818</v>
      </c>
      <c r="K163">
        <f>VLOOKUP(Staff[[#This Row],[Rating]], 'mapping '!$B$2:$C$6, 2, FALSE)</f>
        <v>3</v>
      </c>
    </row>
    <row r="164" spans="1:11">
      <c r="A164" t="s">
        <v>96</v>
      </c>
      <c r="B164" t="s">
        <v>8</v>
      </c>
      <c r="C164" s="14">
        <v>28</v>
      </c>
      <c r="D164" t="s">
        <v>16</v>
      </c>
      <c r="E164" s="9">
        <v>44649</v>
      </c>
      <c r="F164" t="s">
        <v>9</v>
      </c>
      <c r="G164">
        <v>104120</v>
      </c>
      <c r="H164" t="s">
        <v>207</v>
      </c>
      <c r="I164" s="10">
        <f ca="1">(TODAY()-Staff[[#This Row],[Date Joined]])/365</f>
        <v>2.9534246575342467</v>
      </c>
      <c r="J164" s="20">
        <f ca="1">ROUNDUP(IF(Staff[[#This Row],[Tenure]]&gt;2,3%,2%)*Staff[[#This Row],[Salary]],0)</f>
        <v>3124</v>
      </c>
      <c r="K164">
        <f>VLOOKUP(Staff[[#This Row],[Rating]], 'mapping '!$B$2:$C$6, 2, FALSE)</f>
        <v>3</v>
      </c>
    </row>
    <row r="165" spans="1:11">
      <c r="A165" t="s">
        <v>23</v>
      </c>
      <c r="B165" t="s">
        <v>15</v>
      </c>
      <c r="C165" s="14">
        <v>37</v>
      </c>
      <c r="D165" t="s">
        <v>24</v>
      </c>
      <c r="E165" s="9">
        <v>44338</v>
      </c>
      <c r="F165" t="s">
        <v>12</v>
      </c>
      <c r="G165">
        <v>88050</v>
      </c>
      <c r="H165" t="s">
        <v>207</v>
      </c>
      <c r="I165" s="10">
        <f ca="1">(TODAY()-Staff[[#This Row],[Date Joined]])/365</f>
        <v>3.8054794520547945</v>
      </c>
      <c r="J165" s="20">
        <f ca="1">ROUNDUP(IF(Staff[[#This Row],[Tenure]]&gt;2,3%,2%)*Staff[[#This Row],[Salary]],0)</f>
        <v>2642</v>
      </c>
      <c r="K165">
        <f>VLOOKUP(Staff[[#This Row],[Rating]], 'mapping '!$B$2:$C$6, 2, FALSE)</f>
        <v>2</v>
      </c>
    </row>
    <row r="166" spans="1:11">
      <c r="A166" t="s">
        <v>103</v>
      </c>
      <c r="B166" t="s">
        <v>15</v>
      </c>
      <c r="C166" s="14">
        <v>24</v>
      </c>
      <c r="D166" t="s">
        <v>16</v>
      </c>
      <c r="E166" s="9">
        <v>44686</v>
      </c>
      <c r="F166" t="s">
        <v>12</v>
      </c>
      <c r="G166">
        <v>100420</v>
      </c>
      <c r="H166" t="s">
        <v>207</v>
      </c>
      <c r="I166" s="10">
        <f ca="1">(TODAY()-Staff[[#This Row],[Date Joined]])/365</f>
        <v>2.8520547945205479</v>
      </c>
      <c r="J166" s="20">
        <f ca="1">ROUNDUP(IF(Staff[[#This Row],[Tenure]]&gt;2,3%,2%)*Staff[[#This Row],[Salary]],0)</f>
        <v>3013</v>
      </c>
      <c r="K166">
        <f>VLOOKUP(Staff[[#This Row],[Rating]], 'mapping '!$B$2:$C$6, 2, FALSE)</f>
        <v>3</v>
      </c>
    </row>
    <row r="167" spans="1:11">
      <c r="A167" t="s">
        <v>54</v>
      </c>
      <c r="B167" t="s">
        <v>8</v>
      </c>
      <c r="C167" s="14">
        <v>30</v>
      </c>
      <c r="D167" t="s">
        <v>16</v>
      </c>
      <c r="E167" s="9">
        <v>44850</v>
      </c>
      <c r="F167" t="s">
        <v>9</v>
      </c>
      <c r="G167">
        <v>114180</v>
      </c>
      <c r="H167" t="s">
        <v>207</v>
      </c>
      <c r="I167" s="10">
        <f ca="1">(TODAY()-Staff[[#This Row],[Date Joined]])/365</f>
        <v>2.4027397260273973</v>
      </c>
      <c r="J167" s="20">
        <f ca="1">ROUNDUP(IF(Staff[[#This Row],[Tenure]]&gt;2,3%,2%)*Staff[[#This Row],[Salary]],0)</f>
        <v>3426</v>
      </c>
      <c r="K167">
        <f>VLOOKUP(Staff[[#This Row],[Rating]], 'mapping '!$B$2:$C$6, 2, FALSE)</f>
        <v>3</v>
      </c>
    </row>
    <row r="168" spans="1:11">
      <c r="A168" t="s">
        <v>86</v>
      </c>
      <c r="B168" t="s">
        <v>8</v>
      </c>
      <c r="C168" s="14">
        <v>21</v>
      </c>
      <c r="D168" t="s">
        <v>16</v>
      </c>
      <c r="E168" s="9">
        <v>44678</v>
      </c>
      <c r="F168" t="s">
        <v>12</v>
      </c>
      <c r="G168">
        <v>33920</v>
      </c>
      <c r="H168" t="s">
        <v>207</v>
      </c>
      <c r="I168" s="10">
        <f ca="1">(TODAY()-Staff[[#This Row],[Date Joined]])/365</f>
        <v>2.8739726027397259</v>
      </c>
      <c r="J168" s="20">
        <f ca="1">ROUNDUP(IF(Staff[[#This Row],[Tenure]]&gt;2,3%,2%)*Staff[[#This Row],[Salary]],0)</f>
        <v>1018</v>
      </c>
      <c r="K168">
        <f>VLOOKUP(Staff[[#This Row],[Rating]], 'mapping '!$B$2:$C$6, 2, FALSE)</f>
        <v>3</v>
      </c>
    </row>
    <row r="169" spans="1:11">
      <c r="A169" t="s">
        <v>69</v>
      </c>
      <c r="B169" t="s">
        <v>15</v>
      </c>
      <c r="C169" s="14">
        <v>23</v>
      </c>
      <c r="D169" t="s">
        <v>16</v>
      </c>
      <c r="E169" s="9">
        <v>44440</v>
      </c>
      <c r="F169" t="s">
        <v>9</v>
      </c>
      <c r="G169">
        <v>106460</v>
      </c>
      <c r="H169" t="s">
        <v>207</v>
      </c>
      <c r="I169" s="10">
        <f ca="1">(TODAY()-Staff[[#This Row],[Date Joined]])/365</f>
        <v>3.526027397260274</v>
      </c>
      <c r="J169" s="20">
        <f ca="1">ROUNDUP(IF(Staff[[#This Row],[Tenure]]&gt;2,3%,2%)*Staff[[#This Row],[Salary]],0)</f>
        <v>3194</v>
      </c>
      <c r="K169">
        <f>VLOOKUP(Staff[[#This Row],[Rating]], 'mapping '!$B$2:$C$6, 2, FALSE)</f>
        <v>3</v>
      </c>
    </row>
    <row r="170" spans="1:11">
      <c r="A170" t="s">
        <v>57</v>
      </c>
      <c r="B170" t="s">
        <v>15</v>
      </c>
      <c r="C170" s="14">
        <v>35</v>
      </c>
      <c r="D170" t="s">
        <v>16</v>
      </c>
      <c r="E170" s="9">
        <v>44727</v>
      </c>
      <c r="F170" t="s">
        <v>9</v>
      </c>
      <c r="G170">
        <v>40400</v>
      </c>
      <c r="H170" t="s">
        <v>207</v>
      </c>
      <c r="I170" s="10">
        <f ca="1">(TODAY()-Staff[[#This Row],[Date Joined]])/365</f>
        <v>2.7397260273972601</v>
      </c>
      <c r="J170" s="20">
        <f ca="1">ROUNDUP(IF(Staff[[#This Row],[Tenure]]&gt;2,3%,2%)*Staff[[#This Row],[Salary]],0)</f>
        <v>1212</v>
      </c>
      <c r="K170">
        <f>VLOOKUP(Staff[[#This Row],[Rating]], 'mapping '!$B$2:$C$6, 2, FALSE)</f>
        <v>3</v>
      </c>
    </row>
    <row r="171" spans="1:11">
      <c r="A171" t="s">
        <v>68</v>
      </c>
      <c r="B171" t="s">
        <v>15</v>
      </c>
      <c r="C171" s="14">
        <v>27</v>
      </c>
      <c r="D171" t="s">
        <v>13</v>
      </c>
      <c r="E171" s="9">
        <v>44236</v>
      </c>
      <c r="F171" t="s">
        <v>21</v>
      </c>
      <c r="G171">
        <v>91650</v>
      </c>
      <c r="H171" t="s">
        <v>207</v>
      </c>
      <c r="I171" s="10">
        <f ca="1">(TODAY()-Staff[[#This Row],[Date Joined]])/365</f>
        <v>4.0849315068493155</v>
      </c>
      <c r="J171" s="20">
        <f ca="1">ROUNDUP(IF(Staff[[#This Row],[Tenure]]&gt;2,3%,2%)*Staff[[#This Row],[Salary]],0)</f>
        <v>2750</v>
      </c>
      <c r="K171">
        <f>VLOOKUP(Staff[[#This Row],[Rating]], 'mapping '!$B$2:$C$6, 2, FALSE)</f>
        <v>4</v>
      </c>
    </row>
    <row r="172" spans="1:11">
      <c r="A172" t="s">
        <v>99</v>
      </c>
      <c r="B172" t="s">
        <v>15</v>
      </c>
      <c r="C172" s="14">
        <v>43</v>
      </c>
      <c r="D172" t="s">
        <v>16</v>
      </c>
      <c r="E172" s="9">
        <v>44620</v>
      </c>
      <c r="F172" t="s">
        <v>19</v>
      </c>
      <c r="G172">
        <v>36040</v>
      </c>
      <c r="H172" t="s">
        <v>207</v>
      </c>
      <c r="I172" s="10">
        <f ca="1">(TODAY()-Staff[[#This Row],[Date Joined]])/365</f>
        <v>3.032876712328767</v>
      </c>
      <c r="J172" s="20">
        <f ca="1">ROUNDUP(IF(Staff[[#This Row],[Tenure]]&gt;2,3%,2%)*Staff[[#This Row],[Salary]],0)</f>
        <v>1082</v>
      </c>
      <c r="K172">
        <f>VLOOKUP(Staff[[#This Row],[Rating]], 'mapping '!$B$2:$C$6, 2, FALSE)</f>
        <v>3</v>
      </c>
    </row>
    <row r="173" spans="1:11">
      <c r="A173" t="s">
        <v>101</v>
      </c>
      <c r="B173" t="s">
        <v>8</v>
      </c>
      <c r="C173" s="14">
        <v>40</v>
      </c>
      <c r="D173" t="s">
        <v>16</v>
      </c>
      <c r="E173" s="9">
        <v>44381</v>
      </c>
      <c r="F173" t="s">
        <v>12</v>
      </c>
      <c r="G173">
        <v>104410</v>
      </c>
      <c r="H173" t="s">
        <v>207</v>
      </c>
      <c r="I173" s="10">
        <f ca="1">(TODAY()-Staff[[#This Row],[Date Joined]])/365</f>
        <v>3.6876712328767125</v>
      </c>
      <c r="J173" s="20">
        <f ca="1">ROUNDUP(IF(Staff[[#This Row],[Tenure]]&gt;2,3%,2%)*Staff[[#This Row],[Salary]],0)</f>
        <v>3133</v>
      </c>
      <c r="K173">
        <f>VLOOKUP(Staff[[#This Row],[Rating]], 'mapping '!$B$2:$C$6, 2, FALSE)</f>
        <v>3</v>
      </c>
    </row>
    <row r="174" spans="1:11">
      <c r="A174" t="s">
        <v>85</v>
      </c>
      <c r="B174" t="s">
        <v>15</v>
      </c>
      <c r="C174" s="14">
        <v>30</v>
      </c>
      <c r="D174" t="s">
        <v>16</v>
      </c>
      <c r="E174" s="9">
        <v>44606</v>
      </c>
      <c r="F174" t="s">
        <v>21</v>
      </c>
      <c r="G174">
        <v>96800</v>
      </c>
      <c r="H174" t="s">
        <v>207</v>
      </c>
      <c r="I174" s="10">
        <f ca="1">(TODAY()-Staff[[#This Row],[Date Joined]])/365</f>
        <v>3.0712328767123287</v>
      </c>
      <c r="J174" s="20">
        <f ca="1">ROUNDUP(IF(Staff[[#This Row],[Tenure]]&gt;2,3%,2%)*Staff[[#This Row],[Salary]],0)</f>
        <v>2904</v>
      </c>
      <c r="K174">
        <f>VLOOKUP(Staff[[#This Row],[Rating]], 'mapping '!$B$2:$C$6, 2, FALSE)</f>
        <v>3</v>
      </c>
    </row>
    <row r="175" spans="1:11">
      <c r="A175" t="s">
        <v>28</v>
      </c>
      <c r="B175" t="s">
        <v>8</v>
      </c>
      <c r="C175" s="14">
        <v>34</v>
      </c>
      <c r="D175" t="s">
        <v>16</v>
      </c>
      <c r="E175" s="9">
        <v>44459</v>
      </c>
      <c r="F175" t="s">
        <v>21</v>
      </c>
      <c r="G175">
        <v>85000</v>
      </c>
      <c r="H175" t="s">
        <v>207</v>
      </c>
      <c r="I175" s="10">
        <f ca="1">(TODAY()-Staff[[#This Row],[Date Joined]])/365</f>
        <v>3.473972602739726</v>
      </c>
      <c r="J175" s="20">
        <f ca="1">ROUNDUP(IF(Staff[[#This Row],[Tenure]]&gt;2,3%,2%)*Staff[[#This Row],[Salary]],0)</f>
        <v>2550</v>
      </c>
      <c r="K175">
        <f>VLOOKUP(Staff[[#This Row],[Rating]], 'mapping '!$B$2:$C$6, 2, FALSE)</f>
        <v>3</v>
      </c>
    </row>
    <row r="176" spans="1:11">
      <c r="A176" t="s">
        <v>80</v>
      </c>
      <c r="B176" t="s">
        <v>15</v>
      </c>
      <c r="C176" s="14">
        <v>28</v>
      </c>
      <c r="D176" t="s">
        <v>42</v>
      </c>
      <c r="E176" s="9">
        <v>44820</v>
      </c>
      <c r="F176" t="s">
        <v>19</v>
      </c>
      <c r="G176">
        <v>43510</v>
      </c>
      <c r="H176" t="s">
        <v>207</v>
      </c>
      <c r="I176" s="10">
        <f ca="1">(TODAY()-Staff[[#This Row],[Date Joined]])/365</f>
        <v>2.484931506849315</v>
      </c>
      <c r="J176" s="20">
        <f ca="1">ROUNDUP(IF(Staff[[#This Row],[Tenure]]&gt;2,3%,2%)*Staff[[#This Row],[Salary]],0)</f>
        <v>1306</v>
      </c>
      <c r="K176">
        <f>VLOOKUP(Staff[[#This Row],[Rating]], 'mapping '!$B$2:$C$6, 2, FALSE)</f>
        <v>1</v>
      </c>
    </row>
    <row r="177" spans="1:11">
      <c r="A177" t="s">
        <v>79</v>
      </c>
      <c r="B177" t="s">
        <v>15</v>
      </c>
      <c r="C177" s="14">
        <v>33</v>
      </c>
      <c r="D177" t="s">
        <v>16</v>
      </c>
      <c r="E177" s="9">
        <v>44243</v>
      </c>
      <c r="F177" t="s">
        <v>21</v>
      </c>
      <c r="G177">
        <v>59430</v>
      </c>
      <c r="H177" t="s">
        <v>207</v>
      </c>
      <c r="I177" s="10">
        <f ca="1">(TODAY()-Staff[[#This Row],[Date Joined]])/365</f>
        <v>4.065753424657534</v>
      </c>
      <c r="J177" s="20">
        <f ca="1">ROUNDUP(IF(Staff[[#This Row],[Tenure]]&gt;2,3%,2%)*Staff[[#This Row],[Salary]],0)</f>
        <v>1783</v>
      </c>
      <c r="K177">
        <f>VLOOKUP(Staff[[#This Row],[Rating]], 'mapping '!$B$2:$C$6, 2, FALSE)</f>
        <v>3</v>
      </c>
    </row>
    <row r="178" spans="1:11">
      <c r="A178" t="s">
        <v>93</v>
      </c>
      <c r="B178" t="s">
        <v>8</v>
      </c>
      <c r="C178" s="14">
        <v>33</v>
      </c>
      <c r="D178" t="s">
        <v>16</v>
      </c>
      <c r="E178" s="9">
        <v>44067</v>
      </c>
      <c r="F178" t="s">
        <v>21</v>
      </c>
      <c r="G178">
        <v>65360</v>
      </c>
      <c r="H178" t="s">
        <v>207</v>
      </c>
      <c r="I178" s="10">
        <f ca="1">(TODAY()-Staff[[#This Row],[Date Joined]])/365</f>
        <v>4.5479452054794525</v>
      </c>
      <c r="J178" s="20">
        <f ca="1">ROUNDUP(IF(Staff[[#This Row],[Tenure]]&gt;2,3%,2%)*Staff[[#This Row],[Salary]],0)</f>
        <v>1961</v>
      </c>
      <c r="K178">
        <f>VLOOKUP(Staff[[#This Row],[Rating]], 'mapping '!$B$2:$C$6, 2, FALSE)</f>
        <v>3</v>
      </c>
    </row>
    <row r="179" spans="1:11">
      <c r="A179" t="s">
        <v>66</v>
      </c>
      <c r="B179" t="s">
        <v>8</v>
      </c>
      <c r="C179" s="14">
        <v>32</v>
      </c>
      <c r="D179" t="s">
        <v>16</v>
      </c>
      <c r="E179" s="9">
        <v>44611</v>
      </c>
      <c r="F179" t="s">
        <v>9</v>
      </c>
      <c r="G179">
        <v>41570</v>
      </c>
      <c r="H179" t="s">
        <v>207</v>
      </c>
      <c r="I179" s="10">
        <f ca="1">(TODAY()-Staff[[#This Row],[Date Joined]])/365</f>
        <v>3.0575342465753423</v>
      </c>
      <c r="J179" s="20">
        <f ca="1">ROUNDUP(IF(Staff[[#This Row],[Tenure]]&gt;2,3%,2%)*Staff[[#This Row],[Salary]],0)</f>
        <v>1248</v>
      </c>
      <c r="K179">
        <f>VLOOKUP(Staff[[#This Row],[Rating]], 'mapping '!$B$2:$C$6, 2, FALSE)</f>
        <v>3</v>
      </c>
    </row>
    <row r="180" spans="1:11">
      <c r="A180" t="s">
        <v>95</v>
      </c>
      <c r="B180" t="s">
        <v>8</v>
      </c>
      <c r="C180" s="14">
        <v>33</v>
      </c>
      <c r="D180" t="s">
        <v>16</v>
      </c>
      <c r="E180" s="9">
        <v>44312</v>
      </c>
      <c r="F180" t="s">
        <v>12</v>
      </c>
      <c r="G180">
        <v>75280</v>
      </c>
      <c r="H180" t="s">
        <v>207</v>
      </c>
      <c r="I180" s="10">
        <f ca="1">(TODAY()-Staff[[#This Row],[Date Joined]])/365</f>
        <v>3.8767123287671232</v>
      </c>
      <c r="J180" s="20">
        <f ca="1">ROUNDUP(IF(Staff[[#This Row],[Tenure]]&gt;2,3%,2%)*Staff[[#This Row],[Salary]],0)</f>
        <v>2259</v>
      </c>
      <c r="K180">
        <f>VLOOKUP(Staff[[#This Row],[Rating]], 'mapping '!$B$2:$C$6, 2, FALSE)</f>
        <v>3</v>
      </c>
    </row>
    <row r="181" spans="1:11">
      <c r="A181" t="s">
        <v>18</v>
      </c>
      <c r="B181" t="s">
        <v>15</v>
      </c>
      <c r="C181" s="14">
        <v>33</v>
      </c>
      <c r="D181" t="s">
        <v>16</v>
      </c>
      <c r="E181" s="9">
        <v>44385</v>
      </c>
      <c r="F181" t="s">
        <v>19</v>
      </c>
      <c r="G181">
        <v>74550</v>
      </c>
      <c r="H181" t="s">
        <v>207</v>
      </c>
      <c r="I181" s="10">
        <f ca="1">(TODAY()-Staff[[#This Row],[Date Joined]])/365</f>
        <v>3.6767123287671235</v>
      </c>
      <c r="J181" s="20">
        <f ca="1">ROUNDUP(IF(Staff[[#This Row],[Tenure]]&gt;2,3%,2%)*Staff[[#This Row],[Salary]],0)</f>
        <v>2237</v>
      </c>
      <c r="K181">
        <f>VLOOKUP(Staff[[#This Row],[Rating]], 'mapping '!$B$2:$C$6, 2, FALSE)</f>
        <v>3</v>
      </c>
    </row>
    <row r="182" spans="1:11">
      <c r="A182" t="s">
        <v>45</v>
      </c>
      <c r="B182" t="s">
        <v>15</v>
      </c>
      <c r="C182" s="14">
        <v>30</v>
      </c>
      <c r="D182" t="s">
        <v>16</v>
      </c>
      <c r="E182" s="9">
        <v>44701</v>
      </c>
      <c r="F182" t="s">
        <v>9</v>
      </c>
      <c r="G182">
        <v>67950</v>
      </c>
      <c r="H182" t="s">
        <v>207</v>
      </c>
      <c r="I182" s="10">
        <f ca="1">(TODAY()-Staff[[#This Row],[Date Joined]])/365</f>
        <v>2.8109589041095893</v>
      </c>
      <c r="J182" s="20">
        <f ca="1">ROUNDUP(IF(Staff[[#This Row],[Tenure]]&gt;2,3%,2%)*Staff[[#This Row],[Salary]],0)</f>
        <v>2039</v>
      </c>
      <c r="K182">
        <f>VLOOKUP(Staff[[#This Row],[Rating]], 'mapping '!$B$2:$C$6, 2, FALSE)</f>
        <v>3</v>
      </c>
    </row>
    <row r="183" spans="1:11">
      <c r="A183" t="s">
        <v>90</v>
      </c>
      <c r="B183" t="s">
        <v>15</v>
      </c>
      <c r="C183" s="14">
        <v>42</v>
      </c>
      <c r="D183" t="s">
        <v>24</v>
      </c>
      <c r="E183" s="9">
        <v>44731</v>
      </c>
      <c r="F183" t="s">
        <v>21</v>
      </c>
      <c r="G183">
        <v>70270</v>
      </c>
      <c r="H183" t="s">
        <v>207</v>
      </c>
      <c r="I183" s="10">
        <f ca="1">(TODAY()-Staff[[#This Row],[Date Joined]])/365</f>
        <v>2.7287671232876711</v>
      </c>
      <c r="J183" s="20">
        <f ca="1">ROUNDUP(IF(Staff[[#This Row],[Tenure]]&gt;2,3%,2%)*Staff[[#This Row],[Salary]],0)</f>
        <v>2109</v>
      </c>
      <c r="K183">
        <f>VLOOKUP(Staff[[#This Row],[Rating]], 'mapping '!$B$2:$C$6, 2, FALSE)</f>
        <v>2</v>
      </c>
    </row>
    <row r="184" spans="1:11">
      <c r="A184" t="s">
        <v>46</v>
      </c>
      <c r="B184" t="s">
        <v>15</v>
      </c>
      <c r="C184" s="14">
        <v>26</v>
      </c>
      <c r="D184" t="s">
        <v>16</v>
      </c>
      <c r="E184" s="9">
        <v>44411</v>
      </c>
      <c r="F184" t="s">
        <v>9</v>
      </c>
      <c r="G184">
        <v>53540</v>
      </c>
      <c r="H184" t="s">
        <v>207</v>
      </c>
      <c r="I184" s="10">
        <f ca="1">(TODAY()-Staff[[#This Row],[Date Joined]])/365</f>
        <v>3.6054794520547944</v>
      </c>
      <c r="J184" s="20">
        <f ca="1">ROUNDUP(IF(Staff[[#This Row],[Tenure]]&gt;2,3%,2%)*Staff[[#This Row],[Salary]],0)</f>
        <v>1607</v>
      </c>
      <c r="K184">
        <f>VLOOKUP(Staff[[#This Row],[Rating]], 'mapping '!$B$2:$C$6, 2, FALSE)</f>
        <v>3</v>
      </c>
    </row>
  </sheetData>
  <phoneticPr fontId="5"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643EB-C6C9-4F9C-A242-5A062B0EBF5F}">
  <dimension ref="B2:L28"/>
  <sheetViews>
    <sheetView workbookViewId="0">
      <selection activeCell="C28" sqref="C28"/>
    </sheetView>
  </sheetViews>
  <sheetFormatPr defaultRowHeight="14.4"/>
  <cols>
    <col min="2" max="2" width="16" bestFit="1" customWidth="1"/>
    <col min="3" max="3" width="15.5546875" bestFit="1" customWidth="1"/>
    <col min="4" max="4" width="10.44140625" bestFit="1" customWidth="1"/>
    <col min="5" max="5" width="10.77734375" bestFit="1" customWidth="1"/>
    <col min="6" max="6" width="12" bestFit="1" customWidth="1"/>
    <col min="7" max="7" width="15.5546875" bestFit="1" customWidth="1"/>
    <col min="8" max="9" width="18.6640625" bestFit="1" customWidth="1"/>
    <col min="12" max="12" width="9.44140625" bestFit="1" customWidth="1"/>
  </cols>
  <sheetData>
    <row r="2" spans="2:4">
      <c r="B2" s="12">
        <v>3</v>
      </c>
      <c r="C2" t="s">
        <v>224</v>
      </c>
    </row>
    <row r="6" spans="2:4">
      <c r="C6" s="17" t="s">
        <v>225</v>
      </c>
    </row>
    <row r="7" spans="2:4">
      <c r="B7" s="17" t="s">
        <v>229</v>
      </c>
      <c r="C7" t="s">
        <v>8</v>
      </c>
      <c r="D7" t="s">
        <v>15</v>
      </c>
    </row>
    <row r="8" spans="2:4">
      <c r="B8" s="18" t="s">
        <v>227</v>
      </c>
      <c r="C8" s="45">
        <v>43</v>
      </c>
      <c r="D8" s="45">
        <v>45</v>
      </c>
    </row>
    <row r="9" spans="2:4">
      <c r="B9" s="18" t="s">
        <v>228</v>
      </c>
      <c r="C9" s="19">
        <v>31.418604651162791</v>
      </c>
      <c r="D9" s="19">
        <v>29.444444444444443</v>
      </c>
    </row>
    <row r="10" spans="2:4">
      <c r="B10" s="18" t="s">
        <v>230</v>
      </c>
      <c r="C10" s="4">
        <v>78284.186046511633</v>
      </c>
      <c r="D10" s="4">
        <v>75334.444444444438</v>
      </c>
    </row>
    <row r="11" spans="2:4">
      <c r="B11" s="18" t="s">
        <v>231</v>
      </c>
      <c r="C11" s="19">
        <v>3.6310927046830201</v>
      </c>
      <c r="D11" s="19">
        <v>3.6141248097412486</v>
      </c>
    </row>
    <row r="15" spans="2:4">
      <c r="B15" s="12">
        <v>4</v>
      </c>
      <c r="C15" t="s">
        <v>233</v>
      </c>
    </row>
    <row r="18" spans="3:12">
      <c r="C18" s="5" t="s">
        <v>0</v>
      </c>
      <c r="D18" s="6" t="s">
        <v>1</v>
      </c>
      <c r="E18" s="31" t="s">
        <v>3</v>
      </c>
      <c r="F18" s="6" t="s">
        <v>6</v>
      </c>
      <c r="G18" s="6" t="s">
        <v>4</v>
      </c>
      <c r="H18" s="6" t="s">
        <v>2</v>
      </c>
      <c r="I18" s="6" t="s">
        <v>5</v>
      </c>
      <c r="J18" s="6" t="s">
        <v>204</v>
      </c>
      <c r="K18" s="32" t="s">
        <v>213</v>
      </c>
      <c r="L18" s="33" t="s">
        <v>232</v>
      </c>
    </row>
    <row r="19" spans="3:12">
      <c r="C19" s="21" t="s">
        <v>142</v>
      </c>
      <c r="D19" s="7" t="s">
        <v>206</v>
      </c>
      <c r="E19" s="22">
        <v>37</v>
      </c>
      <c r="F19" s="7" t="s">
        <v>24</v>
      </c>
      <c r="G19" s="23">
        <v>44085</v>
      </c>
      <c r="H19" s="7" t="s">
        <v>21</v>
      </c>
      <c r="I19" s="7">
        <v>115440</v>
      </c>
      <c r="J19" s="7" t="s">
        <v>205</v>
      </c>
      <c r="K19" s="24">
        <v>4.4986301369863018</v>
      </c>
      <c r="L19" s="30">
        <v>3464</v>
      </c>
    </row>
    <row r="20" spans="3:12">
      <c r="C20" s="25" t="s">
        <v>199</v>
      </c>
      <c r="D20" s="8" t="s">
        <v>15</v>
      </c>
      <c r="E20" s="26">
        <v>36</v>
      </c>
      <c r="F20" s="8" t="s">
        <v>16</v>
      </c>
      <c r="G20" s="27">
        <v>43958</v>
      </c>
      <c r="H20" s="8" t="s">
        <v>12</v>
      </c>
      <c r="I20" s="8">
        <v>118840</v>
      </c>
      <c r="J20" s="8" t="s">
        <v>205</v>
      </c>
      <c r="K20" s="28">
        <v>4.8465753424657532</v>
      </c>
      <c r="L20" s="29">
        <v>3566</v>
      </c>
    </row>
    <row r="21" spans="3:12">
      <c r="C21" s="21" t="s">
        <v>152</v>
      </c>
      <c r="D21" s="7" t="s">
        <v>8</v>
      </c>
      <c r="E21" s="22">
        <v>27</v>
      </c>
      <c r="F21" s="7" t="s">
        <v>16</v>
      </c>
      <c r="G21" s="23">
        <v>44061</v>
      </c>
      <c r="H21" s="7" t="s">
        <v>56</v>
      </c>
      <c r="I21" s="7">
        <v>119110</v>
      </c>
      <c r="J21" s="7" t="s">
        <v>205</v>
      </c>
      <c r="K21" s="24">
        <v>4.5643835616438357</v>
      </c>
      <c r="L21" s="30">
        <v>3574</v>
      </c>
    </row>
    <row r="22" spans="3:12">
      <c r="C22" s="25" t="s">
        <v>134</v>
      </c>
      <c r="D22" s="8" t="s">
        <v>15</v>
      </c>
      <c r="E22" s="26">
        <v>33</v>
      </c>
      <c r="F22" s="8" t="s">
        <v>16</v>
      </c>
      <c r="G22" s="27">
        <v>44103</v>
      </c>
      <c r="H22" s="8" t="s">
        <v>9</v>
      </c>
      <c r="I22" s="8">
        <v>115920</v>
      </c>
      <c r="J22" s="8" t="s">
        <v>205</v>
      </c>
      <c r="K22" s="28">
        <v>4.4493150684931511</v>
      </c>
      <c r="L22" s="29">
        <v>3478</v>
      </c>
    </row>
    <row r="23" spans="3:12">
      <c r="C23" s="21" t="s">
        <v>148</v>
      </c>
      <c r="D23" s="7" t="s">
        <v>8</v>
      </c>
      <c r="E23" s="22">
        <v>37</v>
      </c>
      <c r="F23" s="7" t="s">
        <v>16</v>
      </c>
      <c r="G23" s="23">
        <v>44389</v>
      </c>
      <c r="H23" s="7" t="s">
        <v>56</v>
      </c>
      <c r="I23" s="7">
        <v>118100</v>
      </c>
      <c r="J23" s="7" t="s">
        <v>205</v>
      </c>
      <c r="K23" s="24">
        <v>3.6657534246575341</v>
      </c>
      <c r="L23" s="30">
        <v>3543</v>
      </c>
    </row>
    <row r="24" spans="3:12">
      <c r="C24" s="25" t="s">
        <v>49</v>
      </c>
      <c r="D24" s="8" t="s">
        <v>206</v>
      </c>
      <c r="E24" s="26">
        <v>37</v>
      </c>
      <c r="F24" s="8" t="s">
        <v>24</v>
      </c>
      <c r="G24" s="27">
        <v>44146</v>
      </c>
      <c r="H24" s="8" t="s">
        <v>21</v>
      </c>
      <c r="I24" s="8">
        <v>115440</v>
      </c>
      <c r="J24" s="8" t="s">
        <v>207</v>
      </c>
      <c r="K24" s="28">
        <v>4.3315068493150681</v>
      </c>
      <c r="L24" s="29">
        <v>3464</v>
      </c>
    </row>
    <row r="25" spans="3:12">
      <c r="C25" s="21" t="s">
        <v>60</v>
      </c>
      <c r="D25" s="7" t="s">
        <v>8</v>
      </c>
      <c r="E25" s="22">
        <v>27</v>
      </c>
      <c r="F25" s="7" t="s">
        <v>16</v>
      </c>
      <c r="G25" s="23">
        <v>44122</v>
      </c>
      <c r="H25" s="7" t="s">
        <v>56</v>
      </c>
      <c r="I25" s="7">
        <v>119110</v>
      </c>
      <c r="J25" s="7" t="s">
        <v>207</v>
      </c>
      <c r="K25" s="24">
        <v>4.397260273972603</v>
      </c>
      <c r="L25" s="30">
        <v>3574</v>
      </c>
    </row>
    <row r="26" spans="3:12">
      <c r="C26" s="25" t="s">
        <v>40</v>
      </c>
      <c r="D26" s="8" t="s">
        <v>15</v>
      </c>
      <c r="E26" s="26">
        <v>33</v>
      </c>
      <c r="F26" s="8" t="s">
        <v>16</v>
      </c>
      <c r="G26" s="27">
        <v>44164</v>
      </c>
      <c r="H26" s="8" t="s">
        <v>9</v>
      </c>
      <c r="I26" s="8">
        <v>115920</v>
      </c>
      <c r="J26" s="8" t="s">
        <v>207</v>
      </c>
      <c r="K26" s="28">
        <v>4.2821917808219174</v>
      </c>
      <c r="L26" s="29">
        <v>3478</v>
      </c>
    </row>
    <row r="27" spans="3:12">
      <c r="C27" s="21" t="s">
        <v>106</v>
      </c>
      <c r="D27" s="7" t="s">
        <v>15</v>
      </c>
      <c r="E27" s="22">
        <v>36</v>
      </c>
      <c r="F27" s="7" t="s">
        <v>16</v>
      </c>
      <c r="G27" s="23">
        <v>44019</v>
      </c>
      <c r="H27" s="7" t="s">
        <v>12</v>
      </c>
      <c r="I27" s="7">
        <v>118840</v>
      </c>
      <c r="J27" s="7" t="s">
        <v>207</v>
      </c>
      <c r="K27" s="24">
        <v>4.6794520547945204</v>
      </c>
      <c r="L27" s="30">
        <v>3566</v>
      </c>
    </row>
    <row r="28" spans="3:12">
      <c r="C28" s="25" t="s">
        <v>55</v>
      </c>
      <c r="D28" s="8" t="s">
        <v>8</v>
      </c>
      <c r="E28" s="26">
        <v>37</v>
      </c>
      <c r="F28" s="8" t="s">
        <v>16</v>
      </c>
      <c r="G28" s="27">
        <v>44451</v>
      </c>
      <c r="H28" s="8" t="s">
        <v>56</v>
      </c>
      <c r="I28" s="8">
        <v>118100</v>
      </c>
      <c r="J28" s="8" t="s">
        <v>207</v>
      </c>
      <c r="K28" s="28">
        <v>3.495890410958904</v>
      </c>
      <c r="L28" s="29">
        <v>3543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4661-95F8-4A61-9891-E8FC87AE52DC}">
  <dimension ref="A1"/>
  <sheetViews>
    <sheetView workbookViewId="0">
      <selection activeCell="N12" sqref="N12"/>
    </sheetView>
  </sheetViews>
  <sheetFormatPr defaultRowHeight="14.4"/>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A7502-5E23-4F9A-830E-840756D7610D}">
  <dimension ref="B7:D13"/>
  <sheetViews>
    <sheetView workbookViewId="0">
      <selection activeCell="Q12" sqref="Q12"/>
    </sheetView>
  </sheetViews>
  <sheetFormatPr defaultRowHeight="14.4"/>
  <cols>
    <col min="2" max="2" width="13.109375" bestFit="1" customWidth="1"/>
    <col min="3" max="3" width="13.88671875" bestFit="1" customWidth="1"/>
    <col min="4" max="4" width="15.77734375" bestFit="1" customWidth="1"/>
  </cols>
  <sheetData>
    <row r="7" spans="2:4">
      <c r="B7" s="17" t="s">
        <v>234</v>
      </c>
      <c r="C7" t="s">
        <v>227</v>
      </c>
      <c r="D7" t="s">
        <v>230</v>
      </c>
    </row>
    <row r="8" spans="2:4">
      <c r="B8" s="18" t="s">
        <v>10</v>
      </c>
      <c r="C8">
        <v>4</v>
      </c>
      <c r="D8" s="34">
        <v>92080</v>
      </c>
    </row>
    <row r="9" spans="2:4">
      <c r="B9" s="18" t="s">
        <v>13</v>
      </c>
      <c r="C9">
        <v>20</v>
      </c>
      <c r="D9" s="34">
        <v>75933</v>
      </c>
    </row>
    <row r="10" spans="2:4">
      <c r="B10" s="18" t="s">
        <v>16</v>
      </c>
      <c r="C10">
        <v>137</v>
      </c>
      <c r="D10" s="34">
        <v>76798.759124087592</v>
      </c>
    </row>
    <row r="11" spans="2:4">
      <c r="B11" s="18" t="s">
        <v>24</v>
      </c>
      <c r="C11">
        <v>16</v>
      </c>
      <c r="D11" s="34">
        <v>78115</v>
      </c>
    </row>
    <row r="12" spans="2:4">
      <c r="B12" s="18" t="s">
        <v>42</v>
      </c>
      <c r="C12">
        <v>6</v>
      </c>
      <c r="D12" s="34">
        <v>77423.333333333328</v>
      </c>
    </row>
    <row r="13" spans="2:4">
      <c r="B13" s="18" t="s">
        <v>226</v>
      </c>
      <c r="C13">
        <v>183</v>
      </c>
      <c r="D13" s="34">
        <v>77173.715846994543</v>
      </c>
    </row>
  </sheetData>
  <conditionalFormatting sqref="D1:D7 D14:D1048576">
    <cfRule type="dataBar" priority="1">
      <dataBar>
        <cfvo type="min"/>
        <cfvo type="max"/>
        <color rgb="FF638EC6"/>
      </dataBar>
      <extLst>
        <ext xmlns:x14="http://schemas.microsoft.com/office/spreadsheetml/2009/9/main" uri="{B025F937-C7B1-47D3-B67F-A62EFF666E3E}">
          <x14:id>{072196E7-8EEF-41DA-84C6-E39EAC2C9D05}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072196E7-8EEF-41DA-84C6-E39EAC2C9D05}">
            <x14:dataBar minLength="0" maxLength="100" gradient="0">
              <x14:cfvo type="autoMin"/>
              <x14:cfvo type="autoMax"/>
              <x14:negativeFillColor rgb="FFFF0000"/>
              <x14:axisColor rgb="FF000000"/>
            </x14:dataBar>
          </x14:cfRule>
          <xm:sqref>D1:D7 D14:D1048576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90F68-C97A-44F6-833D-E2C610B5AF12}">
  <dimension ref="B2:C6"/>
  <sheetViews>
    <sheetView workbookViewId="0">
      <selection activeCell="E23" sqref="E23"/>
    </sheetView>
  </sheetViews>
  <sheetFormatPr defaultRowHeight="14.4"/>
  <cols>
    <col min="2" max="3" width="14.21875" customWidth="1"/>
  </cols>
  <sheetData>
    <row r="2" spans="2:3">
      <c r="B2" t="s">
        <v>10</v>
      </c>
      <c r="C2">
        <v>5</v>
      </c>
    </row>
    <row r="3" spans="2:3">
      <c r="B3" t="s">
        <v>13</v>
      </c>
      <c r="C3">
        <v>4</v>
      </c>
    </row>
    <row r="4" spans="2:3">
      <c r="B4" t="s">
        <v>16</v>
      </c>
      <c r="C4">
        <v>3</v>
      </c>
    </row>
    <row r="5" spans="2:3">
      <c r="B5" t="s">
        <v>24</v>
      </c>
      <c r="C5">
        <v>2</v>
      </c>
    </row>
    <row r="6" spans="2:3">
      <c r="B6" t="s">
        <v>42</v>
      </c>
      <c r="C6">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3165C-950D-48C4-9967-9E85ECE4E2A9}">
  <dimension ref="B2:Y40"/>
  <sheetViews>
    <sheetView topLeftCell="R1" workbookViewId="0">
      <selection activeCell="AJ12" sqref="AJ12"/>
    </sheetView>
  </sheetViews>
  <sheetFormatPr defaultRowHeight="14.4"/>
  <cols>
    <col min="2" max="2" width="12.5546875" bestFit="1" customWidth="1"/>
    <col min="3" max="3" width="13.88671875" bestFit="1" customWidth="1"/>
    <col min="23" max="23" width="18.44140625" style="36" customWidth="1"/>
    <col min="24" max="24" width="10.6640625" customWidth="1"/>
    <col min="25" max="25" width="11.88671875" customWidth="1"/>
  </cols>
  <sheetData>
    <row r="2" spans="2:25">
      <c r="X2" t="s">
        <v>254</v>
      </c>
    </row>
    <row r="3" spans="2:25">
      <c r="B3" s="17" t="s">
        <v>234</v>
      </c>
      <c r="C3" t="s">
        <v>227</v>
      </c>
      <c r="W3" s="36" t="s">
        <v>252</v>
      </c>
      <c r="X3" t="s">
        <v>255</v>
      </c>
      <c r="Y3" t="s">
        <v>253</v>
      </c>
    </row>
    <row r="4" spans="2:25">
      <c r="B4" s="18" t="s">
        <v>236</v>
      </c>
      <c r="V4">
        <v>1</v>
      </c>
      <c r="W4" s="36">
        <f>EDATE(DATE(2020,4,1),V4+0)</f>
        <v>43952</v>
      </c>
      <c r="X4">
        <f>COUNTIFS(Staff[Date Joined], "&gt;=" &amp; W4, Staff[Date Joined], "&lt;=" &amp; EOMONTH(W4, 0))</f>
        <v>3</v>
      </c>
      <c r="Y4">
        <f>SUM($X$4:X4)</f>
        <v>3</v>
      </c>
    </row>
    <row r="5" spans="2:25">
      <c r="B5" s="35" t="s">
        <v>237</v>
      </c>
      <c r="C5">
        <v>3</v>
      </c>
      <c r="V5">
        <v>2</v>
      </c>
      <c r="W5" s="36">
        <f t="shared" ref="W5:W39" si="0">EDATE(DATE(2020,4,1),V5+0)</f>
        <v>43983</v>
      </c>
      <c r="X5">
        <f>COUNTIFS(Staff[Date Joined], "&gt;=" &amp; W5, Staff[Date Joined], "&lt;=" &amp; EOMONTH(W5, 0))</f>
        <v>1</v>
      </c>
      <c r="Y5">
        <f>SUM($X$4:X5)</f>
        <v>4</v>
      </c>
    </row>
    <row r="6" spans="2:25">
      <c r="B6" s="35" t="s">
        <v>238</v>
      </c>
      <c r="C6">
        <v>4</v>
      </c>
      <c r="V6">
        <v>3</v>
      </c>
      <c r="W6" s="36">
        <f t="shared" si="0"/>
        <v>44013</v>
      </c>
      <c r="X6">
        <f>COUNTIFS(Staff[Date Joined], "&gt;=" &amp; W6, Staff[Date Joined], "&lt;=" &amp; EOMONTH(W6, 0))</f>
        <v>5</v>
      </c>
      <c r="Y6">
        <f>SUM($X$4:X6)</f>
        <v>9</v>
      </c>
    </row>
    <row r="7" spans="2:25">
      <c r="B7" s="35" t="s">
        <v>239</v>
      </c>
      <c r="C7">
        <v>9</v>
      </c>
      <c r="V7">
        <v>4</v>
      </c>
      <c r="W7" s="36">
        <f t="shared" si="0"/>
        <v>44044</v>
      </c>
      <c r="X7">
        <f>COUNTIFS(Staff[Date Joined], "&gt;=" &amp; W7, Staff[Date Joined], "&lt;=" &amp; EOMONTH(W7, 0))</f>
        <v>3</v>
      </c>
      <c r="Y7">
        <f>SUM($X$4:X7)</f>
        <v>12</v>
      </c>
    </row>
    <row r="8" spans="2:25">
      <c r="B8" s="35" t="s">
        <v>240</v>
      </c>
      <c r="C8">
        <v>12</v>
      </c>
      <c r="V8">
        <v>5</v>
      </c>
      <c r="W8" s="36">
        <f t="shared" si="0"/>
        <v>44075</v>
      </c>
      <c r="X8">
        <f>COUNTIFS(Staff[Date Joined], "&gt;=" &amp; W8, Staff[Date Joined], "&lt;=" &amp; EOMONTH(W8, 0))</f>
        <v>6</v>
      </c>
      <c r="Y8">
        <f>SUM($X$4:X8)</f>
        <v>18</v>
      </c>
    </row>
    <row r="9" spans="2:25">
      <c r="B9" s="35" t="s">
        <v>241</v>
      </c>
      <c r="C9">
        <v>18</v>
      </c>
      <c r="V9">
        <v>6</v>
      </c>
      <c r="W9" s="36">
        <f t="shared" si="0"/>
        <v>44105</v>
      </c>
      <c r="X9">
        <f>COUNTIFS(Staff[Date Joined], "&gt;=" &amp; W9, Staff[Date Joined], "&lt;=" &amp; EOMONTH(W9, 0))</f>
        <v>6</v>
      </c>
      <c r="Y9">
        <f>SUM($X$4:X9)</f>
        <v>24</v>
      </c>
    </row>
    <row r="10" spans="2:25">
      <c r="B10" s="35" t="s">
        <v>242</v>
      </c>
      <c r="C10">
        <v>24</v>
      </c>
      <c r="V10">
        <v>7</v>
      </c>
      <c r="W10" s="36">
        <f t="shared" si="0"/>
        <v>44136</v>
      </c>
      <c r="X10">
        <f>COUNTIFS(Staff[Date Joined], "&gt;=" &amp; W10, Staff[Date Joined], "&lt;=" &amp; EOMONTH(W10, 0))</f>
        <v>6</v>
      </c>
      <c r="Y10">
        <f>SUM($X$4:X10)</f>
        <v>30</v>
      </c>
    </row>
    <row r="11" spans="2:25">
      <c r="B11" s="35" t="s">
        <v>243</v>
      </c>
      <c r="C11">
        <v>30</v>
      </c>
      <c r="V11">
        <v>8</v>
      </c>
      <c r="W11" s="36">
        <f t="shared" si="0"/>
        <v>44166</v>
      </c>
      <c r="X11">
        <f>COUNTIFS(Staff[Date Joined], "&gt;=" &amp; W11, Staff[Date Joined], "&lt;=" &amp; EOMONTH(W11, 0))</f>
        <v>7</v>
      </c>
      <c r="Y11">
        <f>SUM($X$4:X11)</f>
        <v>37</v>
      </c>
    </row>
    <row r="12" spans="2:25">
      <c r="B12" s="35" t="s">
        <v>244</v>
      </c>
      <c r="C12">
        <v>37</v>
      </c>
      <c r="V12">
        <v>9</v>
      </c>
      <c r="W12" s="36">
        <f t="shared" si="0"/>
        <v>44197</v>
      </c>
      <c r="X12">
        <f>COUNTIFS(Staff[Date Joined], "&gt;=" &amp; W12, Staff[Date Joined], "&lt;=" &amp; EOMONTH(W12, 0))</f>
        <v>6</v>
      </c>
      <c r="Y12">
        <f>SUM($X$4:X12)</f>
        <v>43</v>
      </c>
    </row>
    <row r="13" spans="2:25">
      <c r="B13" s="18" t="s">
        <v>245</v>
      </c>
      <c r="V13">
        <v>10</v>
      </c>
      <c r="W13" s="36">
        <f t="shared" si="0"/>
        <v>44228</v>
      </c>
      <c r="X13">
        <f>COUNTIFS(Staff[Date Joined], "&gt;=" &amp; W13, Staff[Date Joined], "&lt;=" &amp; EOMONTH(W13, 0))</f>
        <v>4</v>
      </c>
      <c r="Y13">
        <f>SUM($X$4:X13)</f>
        <v>47</v>
      </c>
    </row>
    <row r="14" spans="2:25">
      <c r="B14" s="35" t="s">
        <v>246</v>
      </c>
      <c r="C14">
        <v>6</v>
      </c>
      <c r="V14">
        <v>11</v>
      </c>
      <c r="W14" s="36">
        <f t="shared" si="0"/>
        <v>44256</v>
      </c>
      <c r="X14">
        <f>COUNTIFS(Staff[Date Joined], "&gt;=" &amp; W14, Staff[Date Joined], "&lt;=" &amp; EOMONTH(W14, 0))</f>
        <v>9</v>
      </c>
      <c r="Y14">
        <f>SUM($X$4:X14)</f>
        <v>56</v>
      </c>
    </row>
    <row r="15" spans="2:25">
      <c r="B15" s="35" t="s">
        <v>247</v>
      </c>
      <c r="C15">
        <v>10</v>
      </c>
      <c r="V15">
        <v>12</v>
      </c>
      <c r="W15" s="36">
        <f t="shared" si="0"/>
        <v>44287</v>
      </c>
      <c r="X15">
        <f>COUNTIFS(Staff[Date Joined], "&gt;=" &amp; W15, Staff[Date Joined], "&lt;=" &amp; EOMONTH(W15, 0))</f>
        <v>5</v>
      </c>
      <c r="Y15">
        <f>SUM($X$4:X15)</f>
        <v>61</v>
      </c>
    </row>
    <row r="16" spans="2:25">
      <c r="B16" s="35" t="s">
        <v>248</v>
      </c>
      <c r="C16">
        <v>19</v>
      </c>
      <c r="V16">
        <v>13</v>
      </c>
      <c r="W16" s="36">
        <f t="shared" si="0"/>
        <v>44317</v>
      </c>
      <c r="X16">
        <f>COUNTIFS(Staff[Date Joined], "&gt;=" &amp; W16, Staff[Date Joined], "&lt;=" &amp; EOMONTH(W16, 0))</f>
        <v>10</v>
      </c>
      <c r="Y16">
        <f>SUM($X$4:X16)</f>
        <v>71</v>
      </c>
    </row>
    <row r="17" spans="2:25">
      <c r="B17" s="35" t="s">
        <v>249</v>
      </c>
      <c r="C17">
        <v>24</v>
      </c>
      <c r="V17">
        <v>14</v>
      </c>
      <c r="W17" s="36">
        <f t="shared" si="0"/>
        <v>44348</v>
      </c>
      <c r="X17">
        <f>COUNTIFS(Staff[Date Joined], "&gt;=" &amp; W17, Staff[Date Joined], "&lt;=" &amp; EOMONTH(W17, 0))</f>
        <v>6</v>
      </c>
      <c r="Y17">
        <f>SUM($X$4:X17)</f>
        <v>77</v>
      </c>
    </row>
    <row r="18" spans="2:25">
      <c r="B18" s="35" t="s">
        <v>237</v>
      </c>
      <c r="C18">
        <v>34</v>
      </c>
      <c r="V18">
        <v>15</v>
      </c>
      <c r="W18" s="36">
        <f t="shared" si="0"/>
        <v>44378</v>
      </c>
      <c r="X18">
        <f>COUNTIFS(Staff[Date Joined], "&gt;=" &amp; W18, Staff[Date Joined], "&lt;=" &amp; EOMONTH(W18, 0))</f>
        <v>13</v>
      </c>
      <c r="Y18">
        <f>SUM($X$4:X18)</f>
        <v>90</v>
      </c>
    </row>
    <row r="19" spans="2:25">
      <c r="B19" s="35" t="s">
        <v>238</v>
      </c>
      <c r="C19">
        <v>40</v>
      </c>
      <c r="V19">
        <v>16</v>
      </c>
      <c r="W19" s="36">
        <f t="shared" si="0"/>
        <v>44409</v>
      </c>
      <c r="X19">
        <f>COUNTIFS(Staff[Date Joined], "&gt;=" &amp; W19, Staff[Date Joined], "&lt;=" &amp; EOMONTH(W19, 0))</f>
        <v>4</v>
      </c>
      <c r="Y19">
        <f>SUM($X$4:X19)</f>
        <v>94</v>
      </c>
    </row>
    <row r="20" spans="2:25">
      <c r="B20" s="35" t="s">
        <v>239</v>
      </c>
      <c r="C20">
        <v>53</v>
      </c>
      <c r="V20">
        <v>17</v>
      </c>
      <c r="W20" s="36">
        <f t="shared" si="0"/>
        <v>44440</v>
      </c>
      <c r="X20">
        <f>COUNTIFS(Staff[Date Joined], "&gt;=" &amp; W20, Staff[Date Joined], "&lt;=" &amp; EOMONTH(W20, 0))</f>
        <v>11</v>
      </c>
      <c r="Y20">
        <f>SUM($X$4:X20)</f>
        <v>105</v>
      </c>
    </row>
    <row r="21" spans="2:25">
      <c r="B21" s="35" t="s">
        <v>240</v>
      </c>
      <c r="C21">
        <v>57</v>
      </c>
      <c r="V21">
        <v>18</v>
      </c>
      <c r="W21" s="36">
        <f t="shared" si="0"/>
        <v>44470</v>
      </c>
      <c r="X21">
        <f>COUNTIFS(Staff[Date Joined], "&gt;=" &amp; W21, Staff[Date Joined], "&lt;=" &amp; EOMONTH(W21, 0))</f>
        <v>3</v>
      </c>
      <c r="Y21">
        <f>SUM($X$4:X21)</f>
        <v>108</v>
      </c>
    </row>
    <row r="22" spans="2:25">
      <c r="B22" s="35" t="s">
        <v>241</v>
      </c>
      <c r="C22">
        <v>68</v>
      </c>
      <c r="V22">
        <v>19</v>
      </c>
      <c r="W22" s="36">
        <f t="shared" si="0"/>
        <v>44501</v>
      </c>
      <c r="X22">
        <f>COUNTIFS(Staff[Date Joined], "&gt;=" &amp; W22, Staff[Date Joined], "&lt;=" &amp; EOMONTH(W22, 0))</f>
        <v>4</v>
      </c>
      <c r="Y22">
        <f>SUM($X$4:X22)</f>
        <v>112</v>
      </c>
    </row>
    <row r="23" spans="2:25">
      <c r="B23" s="35" t="s">
        <v>242</v>
      </c>
      <c r="C23">
        <v>71</v>
      </c>
      <c r="V23">
        <v>20</v>
      </c>
      <c r="W23" s="36">
        <f t="shared" si="0"/>
        <v>44531</v>
      </c>
      <c r="X23">
        <f>COUNTIFS(Staff[Date Joined], "&gt;=" &amp; W23, Staff[Date Joined], "&lt;=" &amp; EOMONTH(W23, 0))</f>
        <v>7</v>
      </c>
      <c r="Y23">
        <f>SUM($X$4:X23)</f>
        <v>119</v>
      </c>
    </row>
    <row r="24" spans="2:25">
      <c r="B24" s="35" t="s">
        <v>243</v>
      </c>
      <c r="C24">
        <v>75</v>
      </c>
      <c r="V24">
        <v>21</v>
      </c>
      <c r="W24" s="36">
        <f t="shared" si="0"/>
        <v>44562</v>
      </c>
      <c r="X24">
        <f>COUNTIFS(Staff[Date Joined], "&gt;=" &amp; W24, Staff[Date Joined], "&lt;=" &amp; EOMONTH(W24, 0))</f>
        <v>3</v>
      </c>
      <c r="Y24">
        <f>SUM($X$4:X24)</f>
        <v>122</v>
      </c>
    </row>
    <row r="25" spans="2:25">
      <c r="B25" s="35" t="s">
        <v>244</v>
      </c>
      <c r="C25">
        <v>82</v>
      </c>
      <c r="V25">
        <v>22</v>
      </c>
      <c r="W25" s="36">
        <f t="shared" si="0"/>
        <v>44593</v>
      </c>
      <c r="X25">
        <f>COUNTIFS(Staff[Date Joined], "&gt;=" &amp; W25, Staff[Date Joined], "&lt;=" &amp; EOMONTH(W25, 0))</f>
        <v>10</v>
      </c>
      <c r="Y25">
        <f>SUM($X$4:X25)</f>
        <v>132</v>
      </c>
    </row>
    <row r="26" spans="2:25">
      <c r="B26" s="18" t="s">
        <v>250</v>
      </c>
      <c r="V26">
        <v>23</v>
      </c>
      <c r="W26" s="36">
        <f t="shared" si="0"/>
        <v>44621</v>
      </c>
      <c r="X26">
        <f>COUNTIFS(Staff[Date Joined], "&gt;=" &amp; W26, Staff[Date Joined], "&lt;=" &amp; EOMONTH(W26, 0))</f>
        <v>9</v>
      </c>
      <c r="Y26">
        <f>SUM($X$4:X26)</f>
        <v>141</v>
      </c>
    </row>
    <row r="27" spans="2:25">
      <c r="B27" s="35" t="s">
        <v>246</v>
      </c>
      <c r="C27">
        <v>3</v>
      </c>
      <c r="V27">
        <v>24</v>
      </c>
      <c r="W27" s="36">
        <f t="shared" si="0"/>
        <v>44652</v>
      </c>
      <c r="X27">
        <f>COUNTIFS(Staff[Date Joined], "&gt;=" &amp; W27, Staff[Date Joined], "&lt;=" &amp; EOMONTH(W27, 0))</f>
        <v>9</v>
      </c>
      <c r="Y27">
        <f>SUM($X$4:X27)</f>
        <v>150</v>
      </c>
    </row>
    <row r="28" spans="2:25">
      <c r="B28" s="35" t="s">
        <v>247</v>
      </c>
      <c r="C28">
        <v>13</v>
      </c>
      <c r="V28">
        <v>25</v>
      </c>
      <c r="W28" s="36">
        <f t="shared" si="0"/>
        <v>44682</v>
      </c>
      <c r="X28">
        <f>COUNTIFS(Staff[Date Joined], "&gt;=" &amp; W28, Staff[Date Joined], "&lt;=" &amp; EOMONTH(W28, 0))</f>
        <v>9</v>
      </c>
      <c r="Y28">
        <f>SUM($X$4:X28)</f>
        <v>159</v>
      </c>
    </row>
    <row r="29" spans="2:25">
      <c r="B29" s="35" t="s">
        <v>248</v>
      </c>
      <c r="C29">
        <v>22</v>
      </c>
      <c r="V29">
        <v>26</v>
      </c>
      <c r="W29" s="36">
        <f t="shared" si="0"/>
        <v>44713</v>
      </c>
      <c r="X29">
        <f>COUNTIFS(Staff[Date Joined], "&gt;=" &amp; W29, Staff[Date Joined], "&lt;=" &amp; EOMONTH(W29, 0))</f>
        <v>7</v>
      </c>
      <c r="Y29">
        <f>SUM($X$4:X29)</f>
        <v>166</v>
      </c>
    </row>
    <row r="30" spans="2:25">
      <c r="B30" s="35" t="s">
        <v>249</v>
      </c>
      <c r="C30">
        <v>31</v>
      </c>
      <c r="V30">
        <v>27</v>
      </c>
      <c r="W30" s="36">
        <f t="shared" si="0"/>
        <v>44743</v>
      </c>
      <c r="X30">
        <f>COUNTIFS(Staff[Date Joined], "&gt;=" &amp; W30, Staff[Date Joined], "&lt;=" &amp; EOMONTH(W30, 0))</f>
        <v>5</v>
      </c>
      <c r="Y30">
        <f>SUM($X$4:X30)</f>
        <v>171</v>
      </c>
    </row>
    <row r="31" spans="2:25">
      <c r="B31" s="35" t="s">
        <v>237</v>
      </c>
      <c r="C31">
        <v>40</v>
      </c>
      <c r="V31">
        <v>28</v>
      </c>
      <c r="W31" s="36">
        <f t="shared" si="0"/>
        <v>44774</v>
      </c>
      <c r="X31">
        <f>COUNTIFS(Staff[Date Joined], "&gt;=" &amp; W31, Staff[Date Joined], "&lt;=" &amp; EOMONTH(W31, 0))</f>
        <v>5</v>
      </c>
      <c r="Y31">
        <f>SUM($X$4:X31)</f>
        <v>176</v>
      </c>
    </row>
    <row r="32" spans="2:25">
      <c r="B32" s="35" t="s">
        <v>238</v>
      </c>
      <c r="C32">
        <v>47</v>
      </c>
      <c r="V32">
        <v>29</v>
      </c>
      <c r="W32" s="36">
        <f t="shared" si="0"/>
        <v>44805</v>
      </c>
      <c r="X32">
        <f>COUNTIFS(Staff[Date Joined], "&gt;=" &amp; W32, Staff[Date Joined], "&lt;=" &amp; EOMONTH(W32, 0))</f>
        <v>2</v>
      </c>
      <c r="Y32">
        <f>SUM($X$4:X32)</f>
        <v>178</v>
      </c>
    </row>
    <row r="33" spans="2:25">
      <c r="B33" s="35" t="s">
        <v>239</v>
      </c>
      <c r="C33">
        <v>52</v>
      </c>
      <c r="V33">
        <v>30</v>
      </c>
      <c r="W33" s="36">
        <f t="shared" si="0"/>
        <v>44835</v>
      </c>
      <c r="X33">
        <f>COUNTIFS(Staff[Date Joined], "&gt;=" &amp; W33, Staff[Date Joined], "&lt;=" &amp; EOMONTH(W33, 0))</f>
        <v>3</v>
      </c>
      <c r="Y33">
        <f>SUM($X$4:X33)</f>
        <v>181</v>
      </c>
    </row>
    <row r="34" spans="2:25">
      <c r="B34" s="35" t="s">
        <v>240</v>
      </c>
      <c r="C34">
        <v>57</v>
      </c>
      <c r="V34">
        <v>31</v>
      </c>
      <c r="W34" s="36">
        <f t="shared" si="0"/>
        <v>44866</v>
      </c>
      <c r="X34">
        <f>COUNTIFS(Staff[Date Joined], "&gt;=" &amp; W34, Staff[Date Joined], "&lt;=" &amp; EOMONTH(W34, 0))</f>
        <v>0</v>
      </c>
      <c r="Y34">
        <f>SUM($X$4:X34)</f>
        <v>181</v>
      </c>
    </row>
    <row r="35" spans="2:25">
      <c r="B35" s="35" t="s">
        <v>241</v>
      </c>
      <c r="C35">
        <v>59</v>
      </c>
      <c r="V35">
        <v>32</v>
      </c>
      <c r="W35" s="36">
        <f t="shared" si="0"/>
        <v>44896</v>
      </c>
      <c r="X35">
        <f>COUNTIFS(Staff[Date Joined], "&gt;=" &amp; W35, Staff[Date Joined], "&lt;=" &amp; EOMONTH(W35, 0))</f>
        <v>0</v>
      </c>
      <c r="Y35">
        <f>SUM($X$4:X35)</f>
        <v>181</v>
      </c>
    </row>
    <row r="36" spans="2:25">
      <c r="B36" s="35" t="s">
        <v>242</v>
      </c>
      <c r="C36">
        <v>62</v>
      </c>
      <c r="V36">
        <v>33</v>
      </c>
      <c r="W36" s="36">
        <f t="shared" si="0"/>
        <v>44927</v>
      </c>
      <c r="X36">
        <f>COUNTIFS(Staff[Date Joined], "&gt;=" &amp; W36, Staff[Date Joined], "&lt;=" &amp; EOMONTH(W36, 0))</f>
        <v>0</v>
      </c>
      <c r="Y36">
        <f>SUM($X$4:X36)</f>
        <v>181</v>
      </c>
    </row>
    <row r="37" spans="2:25">
      <c r="B37" s="18" t="s">
        <v>251</v>
      </c>
      <c r="V37">
        <v>34</v>
      </c>
      <c r="W37" s="36">
        <f t="shared" si="0"/>
        <v>44958</v>
      </c>
      <c r="X37">
        <f>COUNTIFS(Staff[Date Joined], "&gt;=" &amp; W37, Staff[Date Joined], "&lt;=" &amp; EOMONTH(W37, 0))</f>
        <v>1</v>
      </c>
      <c r="Y37">
        <f>SUM($X$4:X37)</f>
        <v>182</v>
      </c>
    </row>
    <row r="38" spans="2:25">
      <c r="B38" s="35" t="s">
        <v>247</v>
      </c>
      <c r="C38">
        <v>1</v>
      </c>
      <c r="V38">
        <v>35</v>
      </c>
      <c r="W38" s="36">
        <f t="shared" si="0"/>
        <v>44986</v>
      </c>
      <c r="X38">
        <f>COUNTIFS(Staff[Date Joined], "&gt;=" &amp; W38, Staff[Date Joined], "&lt;=" &amp; EOMONTH(W38, 0))</f>
        <v>0</v>
      </c>
      <c r="Y38">
        <f>SUM($X$4:X38)</f>
        <v>182</v>
      </c>
    </row>
    <row r="39" spans="2:25">
      <c r="B39" s="35" t="s">
        <v>249</v>
      </c>
      <c r="C39">
        <v>2</v>
      </c>
      <c r="V39">
        <v>36</v>
      </c>
      <c r="W39" s="36">
        <f t="shared" si="0"/>
        <v>45017</v>
      </c>
      <c r="X39">
        <f>COUNTIFS(Staff[Date Joined], "&gt;=" &amp; W39, Staff[Date Joined], "&lt;=" &amp; EOMONTH(W39, 0))</f>
        <v>1</v>
      </c>
      <c r="Y39">
        <f>SUM($X$4:X39)</f>
        <v>183</v>
      </c>
    </row>
    <row r="40" spans="2:25">
      <c r="B40" s="18" t="s">
        <v>226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DFDA4-B177-4393-8698-43617E86C0C8}">
  <dimension ref="C1:N5"/>
  <sheetViews>
    <sheetView showGridLines="0" workbookViewId="0">
      <selection activeCell="P8" sqref="P8"/>
    </sheetView>
  </sheetViews>
  <sheetFormatPr defaultRowHeight="14.4"/>
  <cols>
    <col min="3" max="3" width="22.109375" customWidth="1"/>
    <col min="4" max="4" width="5.77734375" customWidth="1"/>
    <col min="5" max="5" width="22.109375" customWidth="1"/>
    <col min="6" max="6" width="4.33203125" customWidth="1"/>
    <col min="7" max="7" width="20" customWidth="1"/>
    <col min="10" max="10" width="22.109375" customWidth="1"/>
    <col min="11" max="11" width="5.77734375" customWidth="1"/>
    <col min="12" max="12" width="22.109375" customWidth="1"/>
    <col min="13" max="13" width="4.33203125" customWidth="1"/>
    <col min="14" max="14" width="20" customWidth="1"/>
  </cols>
  <sheetData>
    <row r="1" spans="3:14" ht="40.799999999999997" customHeight="1">
      <c r="E1" s="44" t="s">
        <v>257</v>
      </c>
      <c r="L1" s="44" t="s">
        <v>205</v>
      </c>
    </row>
    <row r="3" spans="3:14" ht="133.19999999999999" customHeight="1">
      <c r="C3" s="39">
        <f>J3</f>
        <v>92</v>
      </c>
      <c r="E3" s="38">
        <f>COUNTIFS(Staff[country],"NZ",Staff[Gender],"Female")/C3</f>
        <v>0.46739130434782611</v>
      </c>
      <c r="G3" s="37">
        <f>AVERAGEIFS(Staff[Salary],Staff[country],"NZ")</f>
        <v>76978.791208791212</v>
      </c>
      <c r="J3" s="40">
        <f>COUNTIFS(Staff[country],"India")</f>
        <v>92</v>
      </c>
      <c r="L3" s="42">
        <f>COUNTIFS(Staff[country],"India",Staff[Gender],"Female")/C3</f>
        <v>0.46739130434782611</v>
      </c>
      <c r="N3" s="41">
        <f>AVERAGEIFS(Staff[Salary],Staff[country],"India")</f>
        <v>77366.521739130432</v>
      </c>
    </row>
    <row r="4" spans="3:14">
      <c r="C4" s="15"/>
      <c r="G4" s="4"/>
    </row>
    <row r="5" spans="3:14" s="1" customFormat="1" ht="28.2" customHeight="1">
      <c r="G5" s="43" t="s">
        <v>256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f 1 4 7 3 2 7 - b 0 2 5 - 4 d 5 0 - a 3 7 4 - 4 9 3 d 1 f b 5 a 5 f 5 "   x m l n s = " h t t p : / / s c h e m a s . m i c r o s o f t . c o m / D a t a M a s h u p " > A A A A A L o E A A B Q S w M E F A A C A A g A d m 1 r 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H Z t a 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b W t a c S Z D 5 r M B A A A K B w A A E w A c A E Z v c m 1 1 b G F z L 1 N l Y 3 R p b 2 4 x L m 0 g o h g A K K A U A A A A A A A A A A A A A A A A A A A A A A A A A A A A 7 Z R L a + M w E M f v g X w H o V 5 s E I X u t Q 8 o z m 7 Z P e Q Q h x Y a c l D s S S K q R 5 B H b Y P J d + / Y T l K 7 8 U L p n h b q i + E / n u d v x g V k q J x l a f O + u B w O h o N i L T 3 k b P z I r p k G H A 4 Y P a k L P g N S f r 5 m o M + T 4 D 1 Y f H D + a e H c U x S X s 7 E 0 c M 3 H j 3 y + m y X O I p n n o n E + 4 8 l a 2 h U F n W 4 3 w C n K V C 4 0 n E + 9 t M X S e Z M 4 H Y y t j E X U Z B J l y a u I X D A k m S G 8 4 k 6 w k t + B z c G f y C P Y S I + G k p 6 Y b l f H K D a Y B f j G Q S K w P 0 5 Z y A / W n C R U B m p 7 K r X 0 2 x 7 H i U R l V w e D t N v d L j 7 2 e Z v n 1 G U S C n T m v U 9 S m w 6 j D 5 M Q j G c u W K w T g c z W r B p g P B w o 2 x u x z e e M / 7 a 5 k i x F u V z y r 7 C q / b 9 x / R O u Z o a f I 1 a T 6 g X V 5 E 2 c W V C D U d l F K + g U W z V P w L h n i j Y K G 6 0 y m k H x X v l I F d R t h g c q b E + l 4 7 7 R M i P / e 6 l D C + 5 e r 9 W o N 4 u w Q W v B H a 4 r o P v v f c d R H I G 3 M v 5 S G q H q f + J e W r W m o O m v U 2 n R S V X 7 6 U a z F v Y 5 u 7 p h V Q l x / J U 9 / V h H t b F / W S r a k D b P T p L u B T Z E o x 9 x / / 1 9 Y / 1 v s L 4 B U E s B A i 0 A F A A C A A g A d m 1 r W r U j 4 E y l A A A A 9 g A A A B I A A A A A A A A A A A A A A A A A A A A A A E N v b m Z p Z y 9 Q Y W N r Y W d l L n h t b F B L A Q I t A B Q A A g A I A H Z t a 1 o P y u m r p A A A A O k A A A A T A A A A A A A A A A A A A A A A A P E A A A B b Q 2 9 u d G V u d F 9 U e X B l c 1 0 u e G 1 s U E s B A i 0 A F A A C A A g A d m 1 r W n E m Q + a z A Q A A C g c A A B M A A A A A A A A A A A A A A A A A 4 g E A A E Z v c m 1 1 b G F z L 1 N l Y 3 R p b 2 4 x L m 1 Q S w U G A A A A A A M A A w D C A A A A 4 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C M A A A A A A A A i 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l o 8 L 0 l 0 Z W 1 Q Y X R o P j w v S X R l b U x v Y 2 F 0 a W 9 u P j x T d G F i b G V F b n R y a W V z P j x F b n R y e S B U e X B l P S J J c 1 B y a X Z h d G U i I F Z h b H V l P S J s M C I g L z 4 8 R W 5 0 c n k g V H l w Z T 0 i U X V l c n l J R C I g V m F s d W U 9 I n M 4 Y z Y 5 Z j A 2 Z C 0 0 Y 2 R l L T R i Y 2 M t O W I z Z C 0 2 N m J k M D c 1 O T l i M T Y 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x M V Q w N T o x O T o w O C 4 2 M z M 4 M D Y y W i I g L z 4 8 R W 5 0 c n k g V H l w Z T 0 i R m l s b F N 0 Y X R 1 c y I g V m F s d W U 9 I n N D b 2 1 w b G V 0 Z S I g L z 4 8 L 1 N 0 Y W J s Z U V u d H J p Z X M + P C 9 J d G V t P j x J d G V t P j x J d G V t T G 9 j Y X R p b 2 4 + P E l 0 Z W 1 U e X B l P k Z v c m 1 1 b G E 8 L 0 l 0 Z W 1 U e X B l P j x J d G V t U G F 0 a D 5 T Z W N 0 a W 9 u M S 9 O W i 9 T b 3 V y Y 2 U 8 L 0 l 0 Z W 1 Q Y X R o P j w v S X R l b U x v Y 2 F 0 a W 9 u P j x T d G F i b G V F b n R y a W V z I C 8 + P C 9 J d G V t P j x J d G V t P j x J d G V t T G 9 j Y X R p b 2 4 + P E l 0 Z W 1 U e X B l P k Z v c m 1 1 b G E 8 L 0 l 0 Z W 1 U e X B l P j x J d G V t U G F 0 a D 5 T Z W N 0 a W 9 u M S 9 O W i 9 D a G F u Z 2 V k J T I w V H l w Z T w v S X R l b V B h d G g + P C 9 J d G V t T G 9 j Y X R p b 2 4 + P F N 0 Y W J s Z U V u d H J p Z X M g L z 4 8 L 0 l 0 Z W 0 + P E l 0 Z W 0 + P E l 0 Z W 1 M b 2 N h d G l v b j 4 8 S X R l b V R 5 c G U + R m 9 y b X V s Y T w v S X R l b V R 5 c G U + P E l 0 Z W 1 Q Y X R o P l N l Y 3 R p b 2 4 x L 0 l u Z G l h J T I w U 3 R h Z m Y 8 L 0 l 0 Z W 1 Q Y X R o P j w v S X R l b U x v Y 2 F 0 a W 9 u P j x T d G F i b G V F b n R y a W V z P j x F b n R y e S B U e X B l P S J J c 1 B y a X Z h d G U i I F Z h b H V l P S J s M C I g L z 4 8 R W 5 0 c n k g V H l w Z T 0 i U X V l c n l J R C I g V m F s d W U 9 I n M 3 Y m F j N D Y 3 M y 1 h M z B j L T R j O T Q t O T I 1 Y y 1 k N D k 1 Y z I z N T k 0 M z M i I C 8 + P E V u d H J 5 I F R 5 c G U 9 I k x v Y W R l Z F R v Q W 5 h b H l z a X N T Z X J 2 a W N l c y I g V m F s d W U 9 I m w w I i A v P j x F b n R y e S B U e X B l P S J G a W x s U 3 R h d H V z I i B W Y W x 1 Z T 0 i c 0 N v b X B s Z X R l I i A v P j x F b n R y e S B U e X B l P S J G a W x s T G F z d F V w Z G F 0 Z W Q i I F Z h b H V l P S J k M j A y N S 0 w M y 0 x M V Q w N T o x O T o w O C 4 2 N D g 3 N D c 3 W i I g L z 4 8 R W 5 0 c n k g V H l w Z T 0 i R m l s b E V y c m 9 y Q 2 9 k Z S I g V m F s d W U 9 I n N V b m t u b 3 d u I i A v P j x F b n R y e S B U e X B l P S J B Z G R l Z F R v R G F 0 Y U 1 v Z G V s 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C 9 T d G F i b G V F b n R y a W V z P j w v S X R l b T 4 8 S X R l b T 4 8 S X R l b U x v Y 2 F 0 a W 9 u P j x J d G V t V H l w Z T 5 G b 3 J t d W x h P C 9 J d G V t V H l w Z T 4 8 S X R l b V B h d G g + U 2 V j d G l v b j E v S W 5 k a W E l M j B T d G F m Z i 9 T b 3 V y Y 2 U 8 L 0 l 0 Z W 1 Q Y X R o P j w v S X R l b U x v Y 2 F 0 a W 9 u P j x T d G F i b G V F b n R y a W V z I C 8 + P C 9 J d G V t P j x J d G V t P j x J d G V t T G 9 j Y X R p b 2 4 + P E l 0 Z W 1 U e X B l P k Z v c m 1 1 b G E 8 L 0 l 0 Z W 1 U e X B l P j x J d G V t U G F 0 a D 5 T Z W N 0 a W 9 u M S 9 J b m R p Y S U y M F N 0 Y W Z m L 0 N o Y W 5 n Z W Q l M j B U e X B l P C 9 J d G V t U G F 0 a D 4 8 L 0 l 0 Z W 1 M b 2 N h d G l v b j 4 8 U 3 R h Y m x l R W 5 0 c m l l c y A v P j w v S X R l b T 4 8 S X R l b T 4 8 S X R l b U x v Y 2 F 0 a W 9 u P j x J d G V t V H l w Z T 5 G b 3 J t d W x h P C 9 J d G V t V H l w Z T 4 8 S X R l b V B h d G g + U 2 V j d G l v b j E v T l o v Q W R k Z W Q l M j B D d X N 0 b 2 0 8 L 0 l 0 Z W 1 Q Y X R o P j w v S X R l b U x v Y 2 F 0 a W 9 u P j x T d G F i b G V F b n R y a W V z I C 8 + P C 9 J d G V t P j x J d G V t P j x J d G V t T G 9 j Y X R p b 2 4 + P E l 0 Z W 1 U e X B l P k Z v c m 1 1 b G E 8 L 0 l 0 Z W 1 U e X B l P j x J d G V t U G F 0 a D 5 T Z W N 0 a W 9 u M S 9 J b m R p Y S U y M F N 0 Y W Z m L 0 F k Z G V k J T I w Q 3 V z d G 9 t P C 9 J d G V t U G F 0 a D 4 8 L 0 l 0 Z W 1 M b 2 N h d G l v b j 4 8 U 3 R h Y m x l R W 5 0 c m l l c y A v P j w v S X R l b T 4 8 S X R l b T 4 8 S X R l b U x v Y 2 F 0 a W 9 u P j x J d G V t V H l w Z T 5 G b 3 J t d W x h P C 9 J d G V t V H l w Z T 4 8 S X R l b V B h d G g + U 2 V j d G l v b j E v U 3 R h Z m Y 8 L 0 l 0 Z W 1 Q Y X R o P j w v S X R l b U x v Y 2 F 0 a W 9 u P j x T d G F i b G V F b n R y a W V z P j x F b n R y e S B U e X B l P S J J c 1 B y a X Z h d G U i I F Z h b H V l P S J s M C I g L z 4 8 R W 5 0 c n k g V H l w Z T 0 i U X V l c n l J R C I g V m F s d W U 9 I n M x M j I 5 M G M 2 M y 1 j Y T k 5 L T Q 2 O G U t O W M 1 N C 0 4 Y j R k N j M y Z D c y M z 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4 M y I g L z 4 8 R W 5 0 c n k g V H l w Z T 0 i R m l s b E V y c m 9 y Q 2 9 k Z S I g V m F s d W U 9 I n N V b m t u b 3 d u I i A v P j x F b n R y e S B U e X B l P S J G a W x s R X J y b 3 J D b 3 V u d C I g V m F s d W U 9 I m w w I i A v P j x F b n R y e S B U e X B l P S J G a W x s T G F z d F V w Z G F 0 Z W Q i I F Z h b H V l P S J k M j A y N S 0 w M y 0 x M V Q w N T o y M T o y M S 4 0 N D A x O T Q 0 W i I g L z 4 8 R W 5 0 c n k g V H l w Z T 0 i R m l s b E N v b H V t b l R 5 c G V z I i B W Y W x 1 Z T 0 i c 0 J n W U Z B Q W t H Q l F B P S I g L z 4 8 R W 5 0 c n k g V H l w Z T 0 i R m l s b E N v b H V t b k 5 h b W V z I i B W Y W x 1 Z T 0 i c 1 s m c X V v d D t O Y W 1 l J n F 1 b 3 Q 7 L C Z x d W 9 0 O 0 d l b m R l c i Z x d W 9 0 O y w m c X V v d D t B Z 2 U m c X V v d D s s J n F 1 b 3 Q 7 U m F 0 a W 5 n J n F 1 b 3 Q 7 L C Z x d W 9 0 O 0 R h d G U g S m 9 p b m V k J n F 1 b 3 Q 7 L C Z x d W 9 0 O 0 R l c G F y d G 1 l b n Q m c X V v d D s s J n F 1 b 3 Q 7 U 2 F s Y X J 5 J n F 1 b 3 Q 7 L C Z x d W 9 0 O 2 N v d W 5 0 c n k m c X V v d D t d I i A v P j x F b n R y e S B U e X B l P S J G a W x s U 3 R h d H V z I i B W Y W x 1 Z T 0 i c 0 N v b X B s Z X R l I i A v P j x F b n R y e S B U e X B l P S J S Z W x h d G l v b n N o a X B J b m Z v Q 2 9 u d G F p b m V y I i B W Y W x 1 Z T 0 i c 3 s m c X V v d D t j b 2 x 1 b W 5 D b 3 V u d C Z x d W 9 0 O z o 4 L C Z x d W 9 0 O 2 t l e U N v b H V t b k 5 h b W V z J n F 1 b 3 Q 7 O l s m c X V v d D t O Y W 1 l J n F 1 b 3 Q 7 X S w m c X V v d D t x d W V y e V J l b G F 0 a W 9 u c 2 h p c H M m c X V v d D s 6 W 1 0 s J n F 1 b 3 Q 7 Y 2 9 s d W 1 u S W R l b n R p d G l l c y Z x d W 9 0 O z p b J n F 1 b 3 Q 7 U 2 V j d G l v b j E v U 3 R h Z m Y v U 2 9 1 c m N l L n t O Y W 1 l L D B 9 J n F 1 b 3 Q 7 L C Z x d W 9 0 O 1 N l Y 3 R p b 2 4 x L 1 N 0 Y W Z m L 1 J l c G x h Y 2 V k I F Z h b H V l L n t H Z W 5 k Z X I s M X 0 m c X V v d D s s J n F 1 b 3 Q 7 U 2 V j d G l v b j E v U 3 R h Z m Y v U 2 9 1 c m N l L n t B Z 2 U s M n 0 m c X V v d D s s J n F 1 b 3 Q 7 U 2 V j d G l v b j E v U 3 R h Z m Y v U 2 9 1 c m N l L n t S Y X R p b m c s M 3 0 m c X V v d D s s J n F 1 b 3 Q 7 U 2 V j d G l v b j E v U 3 R h Z m Y v Q 2 h h b m d l Z C B U e X B l L n t E Y X R l I E p v a W 5 l Z C w 0 f S Z x d W 9 0 O y w m c X V v d D t T Z W N 0 a W 9 u M S 9 T d G F m Z i 9 T b 3 V y Y 2 U u e 0 R l c G F y d G 1 l b n Q s N X 0 m c X V v d D s s J n F 1 b 3 Q 7 U 2 V j d G l v b j E v U 3 R h Z m Y v U 2 9 1 c m N l L n t T Y W x h c n k s N n 0 m c X V v d D s s J n F 1 b 3 Q 7 U 2 V j d G l v b j E v U 3 R h Z m Y v U 2 9 1 c m N l L n t j b 3 V u d H J 5 L D d 9 J n F 1 b 3 Q 7 X S w m c X V v d D t D b 2 x 1 b W 5 D b 3 V u d C Z x d W 9 0 O z o 4 L C Z x d W 9 0 O 0 t l e U N v b H V t b k 5 h b W V z J n F 1 b 3 Q 7 O l s m c X V v d D t O Y W 1 l J n F 1 b 3 Q 7 X S w m c X V v d D t D b 2 x 1 b W 5 J Z G V u d G l 0 a W V z J n F 1 b 3 Q 7 O l s m c X V v d D t T Z W N 0 a W 9 u M S 9 T d G F m Z i 9 T b 3 V y Y 2 U u e 0 5 h b W U s M H 0 m c X V v d D s s J n F 1 b 3 Q 7 U 2 V j d G l v b j E v U 3 R h Z m Y v U m V w b G F j Z W Q g V m F s d W U u e 0 d l b m R l c i w x f S Z x d W 9 0 O y w m c X V v d D t T Z W N 0 a W 9 u M S 9 T d G F m Z i 9 T b 3 V y Y 2 U u e 0 F n Z S w y f S Z x d W 9 0 O y w m c X V v d D t T Z W N 0 a W 9 u M S 9 T d G F m Z i 9 T b 3 V y Y 2 U u e 1 J h d G l u Z y w z f S Z x d W 9 0 O y w m c X V v d D t T Z W N 0 a W 9 u M S 9 T d G F m Z i 9 D a G F u Z 2 V k I F R 5 c G U u e 0 R h d G U g S m 9 p b m V k L D R 9 J n F 1 b 3 Q 7 L C Z x d W 9 0 O 1 N l Y 3 R p b 2 4 x L 1 N 0 Y W Z m L 1 N v d X J j Z S 5 7 R G V w Y X J 0 b W V u d C w 1 f S Z x d W 9 0 O y w m c X V v d D t T Z W N 0 a W 9 u M S 9 T d G F m Z i 9 T b 3 V y Y 2 U u e 1 N h b G F y e S w 2 f S Z x d W 9 0 O y w m c X V v d D t T Z W N 0 a W 9 u M S 9 T d G F m Z i 9 T b 3 V y Y 2 U u e 2 N v d W 5 0 c n k s N 3 0 m c X V v d D t d L C Z x d W 9 0 O 1 J l b G F 0 a W 9 u c 2 h p c E l u Z m 8 m c X V v d D s 6 W 1 1 9 I i A v P j x F b n R y e S B U e X B l P S J S Z W N v d m V y e V R h c m d l d F N o Z W V 0 I i B W Y W x 1 Z T 0 i c 2 F s b C I g L z 4 8 R W 5 0 c n k g V H l w Z T 0 i U m V j b 3 Z l c n l U Y X J n Z X R D b 2 x 1 b W 4 i I F Z h b H V l P S J s M S I g L z 4 8 R W 5 0 c n k g V H l w Z T 0 i U m V j b 3 Z l c n l U Y X J n Z X R S b 3 c i I F Z h b H V l P S J s M S I g L z 4 8 R W 5 0 c n k g V H l w Z T 0 i R m l s b F R h c m d l d C I g V m F s d W U 9 I n N T d G F m Z i I g L z 4 8 L 1 N 0 Y W J s Z U V u d H J p Z X M + P C 9 J d G V t P j x J d G V t P j x J d G V t T G 9 j Y X R p b 2 4 + P E l 0 Z W 1 U e X B l P k Z v c m 1 1 b G E 8 L 0 l 0 Z W 1 U e X B l P j x J d G V t U G F 0 a D 5 T Z W N 0 a W 9 u M S 9 T d G F m Z i 9 T b 3 V y Y 2 U 8 L 0 l 0 Z W 1 Q Y X R o P j w v S X R l b U x v Y 2 F 0 a W 9 u P j x T d G F i b G V F b n R y a W V z I C 8 + P C 9 J d G V t P j x J d G V t P j x J d G V t T G 9 j Y X R p b 2 4 + P E l 0 Z W 1 U e X B l P k Z v c m 1 1 b G E 8 L 0 l 0 Z W 1 U e X B l P j x J d G V t U G F 0 a D 5 T Z W N 0 a W 9 u M S 9 T d G F m Z i 9 S Z W 1 v d m V k J T I w R H V w b G l j Y X R l c z w v S X R l b V B h d G g + P C 9 J d G V t T G 9 j Y X R p b 2 4 + P F N 0 Y W J s Z U V u d H J p Z X M g L z 4 8 L 0 l 0 Z W 0 + P E l 0 Z W 0 + P E l 0 Z W 1 M b 2 N h d G l v b j 4 8 S X R l b V R 5 c G U + R m 9 y b X V s Y T w v S X R l b V R 5 c G U + P E l 0 Z W 1 Q Y X R o P l N l Y 3 R p b 2 4 x L 1 N 0 Y W Z m L 1 J l c G x h Y 2 V k J T I w V m F s d W U 8 L 0 l 0 Z W 1 Q Y X R o P j w v S X R l b U x v Y 2 F 0 a W 9 u P j x T d G F i b G V F b n R y a W V z I C 8 + P C 9 J d G V t P j x J d G V t P j x J d G V t T G 9 j Y X R p b 2 4 + P E l 0 Z W 1 U e X B l P k Z v c m 1 1 b G E 8 L 0 l 0 Z W 1 U e X B l P j x J d G V t U G F 0 a D 5 T Z W N 0 a W 9 u M S 9 T d G F m Z i 9 G a W x 0 Z X J l Z C U y M F J v d 3 M 8 L 0 l 0 Z W 1 Q Y X R o P j w v S X R l b U x v Y 2 F 0 a W 9 u P j x T d G F i b G V F b n R y a W V z I C 8 + P C 9 J d G V t P j x J d G V t P j x J d G V t T G 9 j Y X R p b 2 4 + P E l 0 Z W 1 U e X B l P k Z v c m 1 1 b G E 8 L 0 l 0 Z W 1 U e X B l P j x J d G V t U G F 0 a D 5 T Z W N 0 a W 9 u M S 9 T d G F m Z i 9 D a G F u Z 2 V k J T I w V H l w Z T w v S X R l b V B h d G g + P C 9 J d G V t T G 9 j Y X R p b 2 4 + P F N 0 Y W J s Z U V u d H J p Z X M g L z 4 8 L 0 l 0 Z W 0 + P E l 0 Z W 0 + P E l 0 Z W 1 M b 2 N h d G l v b j 4 8 S X R l b V R 5 c G U + R m 9 y b X V s Y T w v S X R l b V R 5 c G U + P E l 0 Z W 1 Q Y X R o P l N l Y 3 R p b 2 4 x L 1 N 0 Y W Z m J T I w K D I p P C 9 J d G V t U G F 0 a D 4 8 L 0 l 0 Z W 1 M b 2 N h d G l v b j 4 8 U 3 R h Y m x l R W 5 0 c m l l c z 4 8 R W 5 0 c n k g V H l w Z T 0 i S X N Q c m l 2 Y X R l I i B W Y W x 1 Z T 0 i b D A i I C 8 + P E V u d H J 5 I F R 5 c G U 9 I l F 1 Z X J 5 S U Q i I F Z h b H V l P S J z M D J j Y j c 3 N j g t Y W Q w N y 0 0 O T c 0 L W I x O D I t M D d k N D k 3 Y W F k Z T I z 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M t M T F U M D U 6 M j E 6 M j E u N D Q w M T k 0 N F o i I C 8 + P E V u d H J 5 I F R 5 c G U 9 I k Z p b G x D b 2 x 1 b W 5 U e X B l c y I g V m F s d W U 9 I n N C Z 1 l G Q U F r R 0 J R Q T 0 i I C 8 + P E V u d H J 5 I F R 5 c G U 9 I k Z p b G x D b 2 x 1 b W 5 O Y W 1 l c y I g V m F s d W U 9 I n N b J n F 1 b 3 Q 7 T m F t Z S Z x d W 9 0 O y w m c X V v d D t H Z W 5 k Z X I m c X V v d D s s J n F 1 b 3 Q 7 Q W d l J n F 1 b 3 Q 7 L C Z x d W 9 0 O 1 J h d G l u Z y Z x d W 9 0 O y w m c X V v d D t E Y X R l I E p v a W 5 l Z C Z x d W 9 0 O y w m c X V v d D t E Z X B h c n R t Z W 5 0 J n F 1 b 3 Q 7 L C Z x d W 9 0 O 1 N h b G F y e S Z x d W 9 0 O y w m c X V v d D t j b 3 V u d H J 5 J n F 1 b 3 Q 7 X S I g L z 4 8 R W 5 0 c n k g V H l w Z T 0 i R m l s b F N 0 Y X R 1 c y I g V m F s d W U 9 I n N D b 2 1 w b G V 0 Z S I g L z 4 8 R W 5 0 c n k g V H l w Z T 0 i R m l s b E N v d W 5 0 I i B W Y W x 1 Z T 0 i b D E 4 M y I g L z 4 8 R W 5 0 c n k g V H l w Z T 0 i U m V s Y X R p b 2 5 z a G l w S W 5 m b 0 N v b n R h a W 5 l c i I g V m F s d W U 9 I n N 7 J n F 1 b 3 Q 7 Y 2 9 s d W 1 u Q 2 9 1 b n Q m c X V v d D s 6 O C w m c X V v d D t r Z X l D b 2 x 1 b W 5 O Y W 1 l c y Z x d W 9 0 O z p b J n F 1 b 3 Q 7 T m F t Z S Z x d W 9 0 O 1 0 s J n F 1 b 3 Q 7 c X V l c n l S Z W x h d G l v b n N o a X B z J n F 1 b 3 Q 7 O l t d L C Z x d W 9 0 O 2 N v b H V t b k l k Z W 5 0 a X R p Z X M m c X V v d D s 6 W y Z x d W 9 0 O 1 N l Y 3 R p b 2 4 x L 1 N 0 Y W Z m L 1 N v d X J j Z S 5 7 T m F t Z S w w f S Z x d W 9 0 O y w m c X V v d D t T Z W N 0 a W 9 u M S 9 T d G F m Z i 9 S Z X B s Y W N l Z C B W Y W x 1 Z S 5 7 R 2 V u Z G V y L D F 9 J n F 1 b 3 Q 7 L C Z x d W 9 0 O 1 N l Y 3 R p b 2 4 x L 1 N 0 Y W Z m L 1 N v d X J j Z S 5 7 Q W d l L D J 9 J n F 1 b 3 Q 7 L C Z x d W 9 0 O 1 N l Y 3 R p b 2 4 x L 1 N 0 Y W Z m L 1 N v d X J j Z S 5 7 U m F 0 a W 5 n L D N 9 J n F 1 b 3 Q 7 L C Z x d W 9 0 O 1 N l Y 3 R p b 2 4 x L 1 N 0 Y W Z m L 0 N o Y W 5 n Z W Q g V H l w Z S 5 7 R G F 0 Z S B K b 2 l u Z W Q s N H 0 m c X V v d D s s J n F 1 b 3 Q 7 U 2 V j d G l v b j E v U 3 R h Z m Y v U 2 9 1 c m N l L n t E Z X B h c n R t Z W 5 0 L D V 9 J n F 1 b 3 Q 7 L C Z x d W 9 0 O 1 N l Y 3 R p b 2 4 x L 1 N 0 Y W Z m L 1 N v d X J j Z S 5 7 U 2 F s Y X J 5 L D Z 9 J n F 1 b 3 Q 7 L C Z x d W 9 0 O 1 N l Y 3 R p b 2 4 x L 1 N 0 Y W Z m L 1 N v d X J j Z S 5 7 Y 2 9 1 b n R y e S w 3 f S Z x d W 9 0 O 1 0 s J n F 1 b 3 Q 7 Q 2 9 s d W 1 u Q 2 9 1 b n Q m c X V v d D s 6 O C w m c X V v d D t L Z X l D b 2 x 1 b W 5 O Y W 1 l c y Z x d W 9 0 O z p b J n F 1 b 3 Q 7 T m F t Z S Z x d W 9 0 O 1 0 s J n F 1 b 3 Q 7 Q 2 9 s d W 1 u S W R l b n R p d G l l c y Z x d W 9 0 O z p b J n F 1 b 3 Q 7 U 2 V j d G l v b j E v U 3 R h Z m Y v U 2 9 1 c m N l L n t O Y W 1 l L D B 9 J n F 1 b 3 Q 7 L C Z x d W 9 0 O 1 N l Y 3 R p b 2 4 x L 1 N 0 Y W Z m L 1 J l c G x h Y 2 V k I F Z h b H V l L n t H Z W 5 k Z X I s M X 0 m c X V v d D s s J n F 1 b 3 Q 7 U 2 V j d G l v b j E v U 3 R h Z m Y v U 2 9 1 c m N l L n t B Z 2 U s M n 0 m c X V v d D s s J n F 1 b 3 Q 7 U 2 V j d G l v b j E v U 3 R h Z m Y v U 2 9 1 c m N l L n t S Y X R p b m c s M 3 0 m c X V v d D s s J n F 1 b 3 Q 7 U 2 V j d G l v b j E v U 3 R h Z m Y v Q 2 h h b m d l Z C B U e X B l L n t E Y X R l I E p v a W 5 l Z C w 0 f S Z x d W 9 0 O y w m c X V v d D t T Z W N 0 a W 9 u M S 9 T d G F m Z i 9 T b 3 V y Y 2 U u e 0 R l c G F y d G 1 l b n Q s N X 0 m c X V v d D s s J n F 1 b 3 Q 7 U 2 V j d G l v b j E v U 3 R h Z m Y v U 2 9 1 c m N l L n t T Y W x h c n k s N n 0 m c X V v d D s s J n F 1 b 3 Q 7 U 2 V j d G l v b j E v U 3 R h Z m Y v U 2 9 1 c m N l L n t j b 3 V u d H J 5 L D d 9 J n F 1 b 3 Q 7 X S w m c X V v d D t S Z W x h d G l v b n N o a X B J b m Z v J n F 1 b 3 Q 7 O l t d f S I g L z 4 8 R W 5 0 c n k g V H l w Z T 0 i T G 9 h Z G V k V G 9 B b m F s e X N p c 1 N l c n Z p Y 2 V z I i B W Y W x 1 Z T 0 i b D A i I C 8 + P C 9 T d G F i b G V F b n R y a W V z P j w v S X R l b T 4 8 S X R l b T 4 8 S X R l b U x v Y 2 F 0 a W 9 u P j x J d G V t V H l w Z T 5 G b 3 J t d W x h P C 9 J d G V t V H l w Z T 4 8 S X R l b V B h d G g + U 2 V j d G l v b j E v U 3 R h Z m Y l M j A o M i k v U 2 9 1 c m N l P C 9 J d G V t U G F 0 a D 4 8 L 0 l 0 Z W 1 M b 2 N h d G l v b j 4 8 U 3 R h Y m x l R W 5 0 c m l l c y A v P j w v S X R l b T 4 8 S X R l b T 4 8 S X R l b U x v Y 2 F 0 a W 9 u P j x J d G V t V H l w Z T 5 G b 3 J t d W x h P C 9 J d G V t V H l w Z T 4 8 S X R l b V B h d G g + U 2 V j d G l v b j E v U 3 R h Z m Y l M j A o M i k v U m V t b 3 Z l Z C U y M E R 1 c G x p Y 2 F 0 Z X M 8 L 0 l 0 Z W 1 Q Y X R o P j w v S X R l b U x v Y 2 F 0 a W 9 u P j x T d G F i b G V F b n R y a W V z I C 8 + P C 9 J d G V t P j x J d G V t P j x J d G V t T G 9 j Y X R p b 2 4 + P E l 0 Z W 1 U e X B l P k Z v c m 1 1 b G E 8 L 0 l 0 Z W 1 U e X B l P j x J d G V t U G F 0 a D 5 T Z W N 0 a W 9 u M S 9 T d G F m Z i U y M C g y K S 9 S Z X B s Y W N l Z C U y M F Z h b H V l P C 9 J d G V t U G F 0 a D 4 8 L 0 l 0 Z W 1 M b 2 N h d G l v b j 4 8 U 3 R h Y m x l R W 5 0 c m l l c y A v P j w v S X R l b T 4 8 S X R l b T 4 8 S X R l b U x v Y 2 F 0 a W 9 u P j x J d G V t V H l w Z T 5 G b 3 J t d W x h P C 9 J d G V t V H l w Z T 4 8 S X R l b V B h d G g + U 2 V j d G l v b j E v U 3 R h Z m Y l M j A o M i k v R m l s d G V y Z W Q l M j B S b 3 d z P C 9 J d G V t U G F 0 a D 4 8 L 0 l 0 Z W 1 M b 2 N h d G l v b j 4 8 U 3 R h Y m x l R W 5 0 c m l l c y A v P j w v S X R l b T 4 8 S X R l b T 4 8 S X R l b U x v Y 2 F 0 a W 9 u P j x J d G V t V H l w Z T 5 G b 3 J t d W x h P C 9 J d G V t V H l w Z T 4 8 S X R l b V B h d G g + U 2 V j d G l v b j E v U 3 R h Z m Y l M j A o M i k v Q 2 h h b m d l Z C U y M F R 5 c G U 8 L 0 l 0 Z W 1 Q Y X R o P j w v S X R l b U x v Y 2 F 0 a W 9 u P j x T d G F i b G V F b n R y a W V z I C 8 + P C 9 J d G V t P j w v S X R l b X M + P C 9 M b 2 N h b F B h Y 2 t h Z 2 V N Z X R h Z G F 0 Y U Z p b G U + F g A A A F B L B Q Y A A A A A A A A A A A A A A A A A A A A A A A A m A Q A A A Q A A A N C M n d 8 B F d E R j H o A w E / C l + s B A A A A y W s r O p v d R U q J d w C U 0 Y U 0 e A A A A A A C A A A A A A A Q Z g A A A A E A A C A A A A B G C E W v g L j V i k 7 6 7 / F 1 P z P 1 A J L y w 7 z n l G B T I 9 V m r f l C t g A A A A A O g A A A A A I A A C A A A A A y F N T M q W d 4 T N n b i W / Y p Q 9 6 Y O 2 m h d b G g g F C A G v L X S b n X l A A A A C X X Z s D G z f G U o L L 9 S k g a G 9 P t z j r z S D G Z T k l L k 9 m t Y k l E a S G u 6 n a Y E n T R h J 3 O 4 C B g c y g p h l m s 9 q 0 C i v K A w Z S 5 d u l / M H r k L 5 y o o M S A n N y O G k 3 f k A A A A C 8 y k M Q v k j S G x o G y t S G h N q P N s A c m G Z n R V o h / 1 P T M T T 1 S 6 z N 0 B H P j P t g s u T T 7 p 9 Z e r Q C 7 6 w M v l l Y W C R s N a u M Q 6 g Z < / D a t a M a s h u p > 
</file>

<file path=customXml/itemProps1.xml><?xml version="1.0" encoding="utf-8"?>
<ds:datastoreItem xmlns:ds="http://schemas.openxmlformats.org/officeDocument/2006/customXml" ds:itemID="{F5273DC8-7D47-4C25-99E6-F352A6BDA7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India Staff</vt:lpstr>
      <vt:lpstr>all</vt:lpstr>
      <vt:lpstr>EIF</vt:lpstr>
      <vt:lpstr>salary spread</vt:lpstr>
      <vt:lpstr>salary vs rating</vt:lpstr>
      <vt:lpstr>mapping </vt:lpstr>
      <vt:lpstr>company growth</vt:lpstr>
      <vt:lpstr>Report Card</vt:lpstr>
      <vt:lpstr>report card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jyoti singh</cp:lastModifiedBy>
  <dcterms:created xsi:type="dcterms:W3CDTF">2021-03-14T20:21:32Z</dcterms:created>
  <dcterms:modified xsi:type="dcterms:W3CDTF">2025-03-11T11:57:45Z</dcterms:modified>
</cp:coreProperties>
</file>