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5" windowWidth="15360" windowHeight="8130" tabRatio="300"/>
  </bookViews>
  <sheets>
    <sheet name="Лист1" sheetId="1" r:id="rId1"/>
    <sheet name="Лист2" sheetId="2" r:id="rId2"/>
    <sheet name="Лист3" sheetId="3" r:id="rId3"/>
  </sheets>
  <calcPr calcId="145621"/>
</workbook>
</file>

<file path=xl/calcChain.xml><?xml version="1.0" encoding="utf-8"?>
<calcChain xmlns="http://schemas.openxmlformats.org/spreadsheetml/2006/main">
  <c r="L45" i="2" l="1"/>
  <c r="H21" i="1" l="1"/>
  <c r="G38" i="2"/>
  <c r="G37" i="2"/>
  <c r="L47" i="2"/>
  <c r="L50" i="2"/>
  <c r="F28" i="1" l="1"/>
  <c r="H28" i="1" s="1"/>
  <c r="L49" i="2"/>
  <c r="F25" i="1"/>
  <c r="H25" i="1" s="1"/>
  <c r="H6" i="1"/>
  <c r="H19" i="1"/>
  <c r="L20" i="2"/>
  <c r="H20" i="1" s="1"/>
  <c r="L17" i="2"/>
  <c r="H17" i="1"/>
  <c r="H16" i="1"/>
  <c r="H15" i="1"/>
  <c r="H14" i="1"/>
  <c r="L16" i="2"/>
  <c r="L15" i="2"/>
  <c r="L12" i="2"/>
  <c r="H12" i="1" s="1"/>
  <c r="L11" i="2" l="1"/>
  <c r="H11" i="1" s="1"/>
  <c r="F27" i="1"/>
  <c r="H27" i="1" s="1"/>
  <c r="H13" i="1"/>
  <c r="F23" i="1" l="1"/>
  <c r="H23" i="1" s="1"/>
  <c r="L13" i="2"/>
  <c r="L9" i="2"/>
  <c r="L8" i="2"/>
  <c r="L7" i="2"/>
  <c r="L6" i="2"/>
  <c r="H9" i="1"/>
  <c r="H7" i="1"/>
  <c r="H8" i="1"/>
  <c r="AQ60" i="3"/>
  <c r="Y60" i="3"/>
  <c r="W60" i="3"/>
  <c r="M60" i="3" s="1"/>
  <c r="U60" i="3"/>
  <c r="P60" i="3"/>
  <c r="AQ59" i="3"/>
  <c r="Y59" i="3"/>
  <c r="W59" i="3"/>
  <c r="M59" i="3" s="1"/>
  <c r="U59" i="3"/>
  <c r="P59" i="3"/>
  <c r="AQ58" i="3"/>
  <c r="Y58" i="3"/>
  <c r="W58" i="3"/>
  <c r="M58" i="3" s="1"/>
  <c r="U58" i="3"/>
  <c r="P58" i="3"/>
  <c r="AQ57" i="3"/>
  <c r="Y57" i="3"/>
  <c r="W57" i="3"/>
  <c r="M57" i="3" s="1"/>
  <c r="U57" i="3"/>
  <c r="P57" i="3"/>
  <c r="AQ56" i="3"/>
  <c r="Y56" i="3"/>
  <c r="W56" i="3"/>
  <c r="M56" i="3" s="1"/>
  <c r="U56" i="3"/>
  <c r="P56" i="3"/>
  <c r="AQ55" i="3"/>
  <c r="Y55" i="3"/>
  <c r="W55" i="3"/>
  <c r="M55" i="3" s="1"/>
  <c r="U55" i="3"/>
  <c r="P55" i="3"/>
  <c r="AQ54" i="3"/>
  <c r="Y54" i="3"/>
  <c r="W54" i="3"/>
  <c r="M54" i="3" s="1"/>
  <c r="U54" i="3"/>
  <c r="P54" i="3"/>
  <c r="AQ53" i="3"/>
  <c r="Y53" i="3"/>
  <c r="W53" i="3"/>
  <c r="P53" i="3"/>
  <c r="M53" i="3"/>
  <c r="AQ52" i="3"/>
  <c r="Y52" i="3"/>
  <c r="W52" i="3"/>
  <c r="U52" i="3"/>
  <c r="P52" i="3"/>
  <c r="M52" i="3"/>
  <c r="AQ51" i="3"/>
  <c r="Y51" i="3"/>
  <c r="W51" i="3"/>
  <c r="U51" i="3"/>
  <c r="P51" i="3"/>
  <c r="M51" i="3"/>
  <c r="AQ50" i="3"/>
  <c r="Y50" i="3"/>
  <c r="W50" i="3"/>
  <c r="U50" i="3"/>
  <c r="P50" i="3"/>
  <c r="M50" i="3"/>
  <c r="AQ49" i="3"/>
  <c r="Y49" i="3"/>
  <c r="W49" i="3"/>
  <c r="U49" i="3"/>
  <c r="P49" i="3"/>
  <c r="M49" i="3"/>
  <c r="AQ48" i="3"/>
  <c r="Y48" i="3"/>
  <c r="W48" i="3"/>
  <c r="U48" i="3"/>
  <c r="P48" i="3"/>
  <c r="M48" i="3"/>
  <c r="AQ47" i="3"/>
  <c r="Y47" i="3"/>
  <c r="W47" i="3"/>
  <c r="U47" i="3"/>
  <c r="P47" i="3"/>
  <c r="M47" i="3"/>
  <c r="AQ46" i="3"/>
  <c r="Y46" i="3"/>
  <c r="W46" i="3"/>
  <c r="U46" i="3"/>
  <c r="P46" i="3"/>
  <c r="M46" i="3"/>
  <c r="AQ45" i="3"/>
  <c r="Y45" i="3"/>
  <c r="W45" i="3"/>
  <c r="U45" i="3"/>
  <c r="P45" i="3"/>
  <c r="M45" i="3"/>
  <c r="AQ44" i="3"/>
  <c r="Y44" i="3"/>
  <c r="W44" i="3"/>
  <c r="U44" i="3"/>
  <c r="P44" i="3"/>
  <c r="M44" i="3"/>
  <c r="AQ43" i="3"/>
  <c r="Y43" i="3"/>
  <c r="W43" i="3"/>
  <c r="U43" i="3"/>
  <c r="P43" i="3"/>
  <c r="M43" i="3"/>
  <c r="AQ42" i="3"/>
  <c r="Y42" i="3"/>
  <c r="W42" i="3"/>
  <c r="U42" i="3"/>
  <c r="P42" i="3"/>
  <c r="M42" i="3"/>
  <c r="AQ41" i="3"/>
  <c r="Y41" i="3"/>
  <c r="W41" i="3"/>
  <c r="U41" i="3"/>
  <c r="P41" i="3"/>
  <c r="M41" i="3"/>
  <c r="AQ40" i="3"/>
  <c r="Y40" i="3"/>
  <c r="W40" i="3"/>
  <c r="U40" i="3"/>
  <c r="P40" i="3"/>
  <c r="M40" i="3"/>
  <c r="AQ39" i="3"/>
  <c r="Y39" i="3"/>
  <c r="W39" i="3"/>
  <c r="U39" i="3"/>
  <c r="P39" i="3"/>
  <c r="M39" i="3"/>
  <c r="AQ38" i="3"/>
  <c r="Y38" i="3"/>
  <c r="W38" i="3"/>
  <c r="U38" i="3"/>
  <c r="P38" i="3"/>
  <c r="M38" i="3"/>
  <c r="AQ37" i="3"/>
  <c r="Y37" i="3"/>
  <c r="W37" i="3"/>
  <c r="U37" i="3"/>
  <c r="P37" i="3"/>
  <c r="M37" i="3"/>
  <c r="AQ36" i="3"/>
  <c r="Y36" i="3"/>
  <c r="W36" i="3"/>
  <c r="U36" i="3"/>
  <c r="P36" i="3"/>
  <c r="M36" i="3"/>
  <c r="AQ35" i="3"/>
  <c r="Y35" i="3"/>
  <c r="W35" i="3"/>
  <c r="U35" i="3"/>
  <c r="P35" i="3"/>
  <c r="M35" i="3"/>
  <c r="AQ34" i="3"/>
  <c r="Y34" i="3"/>
  <c r="W34" i="3"/>
  <c r="P34" i="3"/>
  <c r="M34" i="3"/>
  <c r="AQ33" i="3"/>
  <c r="Y33" i="3"/>
  <c r="W33" i="3"/>
  <c r="M33" i="3" s="1"/>
  <c r="U33" i="3"/>
  <c r="P33" i="3"/>
  <c r="AQ32" i="3"/>
  <c r="Y32" i="3"/>
  <c r="W32" i="3"/>
  <c r="M32" i="3" s="1"/>
  <c r="U32" i="3"/>
  <c r="P32" i="3"/>
  <c r="AQ31" i="3"/>
  <c r="Y31" i="3"/>
  <c r="W31" i="3"/>
  <c r="M31" i="3" s="1"/>
  <c r="U31" i="3"/>
  <c r="P31" i="3"/>
  <c r="AQ30" i="3"/>
  <c r="Y30" i="3"/>
  <c r="W30" i="3"/>
  <c r="M30" i="3" s="1"/>
  <c r="U30" i="3"/>
  <c r="P30" i="3"/>
  <c r="AQ29" i="3"/>
  <c r="Y29" i="3"/>
  <c r="W29" i="3"/>
  <c r="M29" i="3" s="1"/>
  <c r="U29" i="3"/>
  <c r="P29" i="3"/>
  <c r="AQ28" i="3"/>
  <c r="Y28" i="3"/>
  <c r="W28" i="3"/>
  <c r="P28" i="3"/>
  <c r="M28" i="3"/>
  <c r="AQ27" i="3"/>
  <c r="Y27" i="3"/>
  <c r="W27" i="3"/>
  <c r="U27" i="3"/>
  <c r="P27" i="3"/>
  <c r="M27" i="3"/>
  <c r="AQ26" i="3"/>
  <c r="Y26" i="3"/>
  <c r="W26" i="3"/>
  <c r="U26" i="3"/>
  <c r="P26" i="3"/>
  <c r="M26" i="3"/>
  <c r="AQ25" i="3"/>
  <c r="Y25" i="3"/>
  <c r="W25" i="3"/>
  <c r="U25" i="3"/>
  <c r="P25" i="3"/>
  <c r="M25" i="3"/>
  <c r="AQ24" i="3"/>
  <c r="Y24" i="3"/>
  <c r="W24" i="3"/>
  <c r="U24" i="3"/>
  <c r="P24" i="3"/>
  <c r="M24" i="3"/>
  <c r="AQ23" i="3"/>
  <c r="Y23" i="3"/>
  <c r="W23" i="3"/>
  <c r="U23" i="3"/>
  <c r="P23" i="3"/>
  <c r="M23" i="3"/>
  <c r="AQ22" i="3"/>
  <c r="Y22" i="3"/>
  <c r="W22" i="3"/>
  <c r="P22" i="3"/>
  <c r="M22" i="3"/>
  <c r="AQ21" i="3"/>
  <c r="Y21" i="3"/>
  <c r="W21" i="3"/>
  <c r="M21" i="3" s="1"/>
  <c r="U21" i="3"/>
  <c r="P21" i="3"/>
  <c r="AQ20" i="3"/>
  <c r="Y20" i="3"/>
  <c r="W20" i="3"/>
  <c r="M20" i="3" s="1"/>
  <c r="U20" i="3"/>
  <c r="P20" i="3"/>
  <c r="AQ19" i="3"/>
  <c r="Y19" i="3"/>
  <c r="W19" i="3"/>
  <c r="P19" i="3"/>
  <c r="M19" i="3"/>
  <c r="AQ18" i="3"/>
  <c r="Y18" i="3"/>
  <c r="W18" i="3"/>
  <c r="U18" i="3"/>
  <c r="P18" i="3"/>
  <c r="M18" i="3"/>
  <c r="AQ17" i="3"/>
  <c r="Y17" i="3"/>
  <c r="W17" i="3"/>
  <c r="P17" i="3"/>
  <c r="M17" i="3"/>
  <c r="AQ16" i="3"/>
  <c r="Y16" i="3"/>
  <c r="W16" i="3"/>
  <c r="M16" i="3" s="1"/>
  <c r="U16" i="3"/>
  <c r="P16" i="3"/>
  <c r="AQ15" i="3"/>
  <c r="Y15" i="3"/>
  <c r="W15" i="3"/>
  <c r="M15" i="3" s="1"/>
  <c r="U15" i="3"/>
  <c r="P15" i="3"/>
  <c r="AQ14" i="3"/>
  <c r="Y14" i="3"/>
  <c r="W14" i="3"/>
  <c r="P14" i="3"/>
  <c r="M14" i="3"/>
  <c r="AQ13" i="3"/>
  <c r="Y13" i="3"/>
  <c r="W13" i="3"/>
  <c r="U13" i="3"/>
  <c r="P13" i="3"/>
  <c r="M13" i="3"/>
  <c r="AQ12" i="3"/>
  <c r="Y12" i="3"/>
  <c r="W12" i="3"/>
  <c r="U12" i="3"/>
  <c r="P12" i="3"/>
  <c r="M12" i="3"/>
  <c r="AQ11" i="3"/>
  <c r="Y11" i="3"/>
  <c r="W11" i="3"/>
  <c r="U11" i="3"/>
  <c r="P11" i="3"/>
  <c r="M11" i="3"/>
  <c r="AQ10" i="3"/>
  <c r="Y10" i="3"/>
  <c r="W10" i="3"/>
  <c r="U10" i="3"/>
  <c r="P10" i="3"/>
  <c r="M10" i="3"/>
  <c r="AQ9" i="3"/>
  <c r="Y9" i="3"/>
  <c r="W9" i="3"/>
  <c r="U9" i="3"/>
  <c r="P9" i="3"/>
  <c r="M9" i="3"/>
  <c r="F26" i="1" l="1"/>
  <c r="G35" i="2" l="1"/>
  <c r="G34" i="2" s="1"/>
  <c r="G36" i="2" s="1"/>
  <c r="F24" i="1" s="1"/>
  <c r="H26" i="1"/>
  <c r="AY174" i="1"/>
  <c r="AY173" i="1"/>
  <c r="AX176" i="1"/>
  <c r="AX177" i="1"/>
  <c r="AX178" i="1"/>
  <c r="AX179" i="1"/>
  <c r="AX180" i="1"/>
  <c r="AX181" i="1"/>
  <c r="AX182" i="1"/>
  <c r="AX183" i="1"/>
  <c r="AX175" i="1"/>
  <c r="AQ176" i="1"/>
  <c r="AY176" i="1" s="1"/>
  <c r="AQ177" i="1"/>
  <c r="AY177" i="1" s="1"/>
  <c r="AQ178" i="1"/>
  <c r="AY178" i="1" s="1"/>
  <c r="AQ179" i="1"/>
  <c r="AY179" i="1" s="1"/>
  <c r="AQ180" i="1"/>
  <c r="AY180" i="1" s="1"/>
  <c r="AQ181" i="1"/>
  <c r="AY181" i="1" s="1"/>
  <c r="AQ182" i="1"/>
  <c r="AY182" i="1" s="1"/>
  <c r="AQ183" i="1"/>
  <c r="AY183" i="1" s="1"/>
  <c r="AQ175" i="1"/>
  <c r="AY175" i="1" s="1"/>
  <c r="AW176" i="1"/>
  <c r="AW177" i="1"/>
  <c r="AW178" i="1"/>
  <c r="AW179" i="1"/>
  <c r="AW180" i="1"/>
  <c r="AW181" i="1"/>
  <c r="AW182" i="1"/>
  <c r="AW183" i="1"/>
  <c r="AW175" i="1"/>
  <c r="AV176" i="1"/>
  <c r="AV177" i="1"/>
  <c r="AV178" i="1"/>
  <c r="AV179" i="1"/>
  <c r="AV180" i="1"/>
  <c r="AV181" i="1"/>
  <c r="AV182" i="1"/>
  <c r="AV183" i="1"/>
  <c r="AV175" i="1"/>
  <c r="AR176" i="1"/>
  <c r="AR177" i="1"/>
  <c r="AR178" i="1"/>
  <c r="AR179" i="1"/>
  <c r="AR180" i="1"/>
  <c r="AR181" i="1"/>
  <c r="AR182" i="1"/>
  <c r="AR183" i="1"/>
  <c r="AR175" i="1"/>
  <c r="AU176" i="1"/>
  <c r="AU177" i="1"/>
  <c r="AU178" i="1"/>
  <c r="AU179" i="1"/>
  <c r="AU180" i="1"/>
  <c r="AU181" i="1"/>
  <c r="AU182" i="1"/>
  <c r="AU183" i="1"/>
  <c r="AU175" i="1"/>
  <c r="AT176" i="1"/>
  <c r="AT177" i="1"/>
  <c r="AT178" i="1"/>
  <c r="AT179" i="1"/>
  <c r="AT180" i="1"/>
  <c r="AT181" i="1"/>
  <c r="AT182" i="1"/>
  <c r="AT183" i="1"/>
  <c r="AT175" i="1"/>
  <c r="BB176" i="1"/>
  <c r="BB177" i="1"/>
  <c r="BB178" i="1"/>
  <c r="BB179" i="1"/>
  <c r="BB180" i="1"/>
  <c r="BB181" i="1"/>
  <c r="BB182" i="1"/>
  <c r="BB183" i="1"/>
  <c r="BB175" i="1"/>
  <c r="BA176" i="1"/>
  <c r="BA177" i="1"/>
  <c r="BA178" i="1"/>
  <c r="BA179" i="1"/>
  <c r="BA180" i="1"/>
  <c r="BA181" i="1"/>
  <c r="BA182" i="1"/>
  <c r="BA183" i="1"/>
  <c r="BA175" i="1"/>
  <c r="AZ176" i="1"/>
  <c r="AZ177" i="1"/>
  <c r="AZ178" i="1"/>
  <c r="AZ179" i="1"/>
  <c r="AZ180" i="1"/>
  <c r="AZ181" i="1"/>
  <c r="AZ182" i="1"/>
  <c r="AZ183" i="1"/>
  <c r="AS176" i="1"/>
  <c r="AS177" i="1"/>
  <c r="AS178" i="1"/>
  <c r="AS179" i="1"/>
  <c r="AS180" i="1"/>
  <c r="AS181" i="1"/>
  <c r="AS182" i="1"/>
  <c r="AS183" i="1"/>
  <c r="AS175" i="1"/>
  <c r="AZ175" i="1"/>
  <c r="H24" i="1" l="1"/>
</calcChain>
</file>

<file path=xl/sharedStrings.xml><?xml version="1.0" encoding="utf-8"?>
<sst xmlns="http://schemas.openxmlformats.org/spreadsheetml/2006/main" count="851" uniqueCount="402">
  <si>
    <t xml:space="preserve">Наименова- </t>
  </si>
  <si>
    <t xml:space="preserve">ние </t>
  </si>
  <si>
    <t>насоса</t>
  </si>
  <si>
    <t>Р, кВт</t>
  </si>
  <si>
    <t>Уровень воды</t>
  </si>
  <si>
    <t>стат.</t>
  </si>
  <si>
    <t>дин.</t>
  </si>
  <si>
    <t>ЭЦВ 8-120-60</t>
  </si>
  <si>
    <t>скважина 137</t>
  </si>
  <si>
    <t>скважина 138</t>
  </si>
  <si>
    <t>скважина 139</t>
  </si>
  <si>
    <t>скважина 140</t>
  </si>
  <si>
    <t>скважина 141</t>
  </si>
  <si>
    <t>скважина 142</t>
  </si>
  <si>
    <t>скважина 143</t>
  </si>
  <si>
    <t>скважина 144</t>
  </si>
  <si>
    <t>скважина 145</t>
  </si>
  <si>
    <t>скважина 147</t>
  </si>
  <si>
    <t>скважина 148</t>
  </si>
  <si>
    <t>скважина 149</t>
  </si>
  <si>
    <t>скважина 150</t>
  </si>
  <si>
    <t>скважина 151</t>
  </si>
  <si>
    <t>скважина 152</t>
  </si>
  <si>
    <t>скважина 153</t>
  </si>
  <si>
    <t>скважина 154</t>
  </si>
  <si>
    <t>скважина 155</t>
  </si>
  <si>
    <t>скважина 156</t>
  </si>
  <si>
    <t>скважина 157</t>
  </si>
  <si>
    <t>скважина 158</t>
  </si>
  <si>
    <t>скважина 159</t>
  </si>
  <si>
    <t>скважина 160</t>
  </si>
  <si>
    <t>скважина 161</t>
  </si>
  <si>
    <t>скважина 162</t>
  </si>
  <si>
    <t>скважина 163</t>
  </si>
  <si>
    <t>скважина 164</t>
  </si>
  <si>
    <t>скважина 165</t>
  </si>
  <si>
    <t>скважина 166</t>
  </si>
  <si>
    <t>скважина 167</t>
  </si>
  <si>
    <t>скважина 168</t>
  </si>
  <si>
    <t>скважина 169</t>
  </si>
  <si>
    <t>скважина 170</t>
  </si>
  <si>
    <t>скважина 171</t>
  </si>
  <si>
    <t>скважина 172</t>
  </si>
  <si>
    <t>скважина 173</t>
  </si>
  <si>
    <t>2ЭЦВ 8-120-60</t>
  </si>
  <si>
    <t>DAB SS6E08</t>
  </si>
  <si>
    <t>ЭЦВ 8-65-65</t>
  </si>
  <si>
    <t>ЭЦВ 10-160-65</t>
  </si>
  <si>
    <t>2ЭЦВ 8-65-65</t>
  </si>
  <si>
    <t>DAB SS8A04</t>
  </si>
  <si>
    <t>Grundfus  SR 77-5</t>
  </si>
  <si>
    <t>Grundfus  MS6000R</t>
  </si>
  <si>
    <t>Caprari E8S64N-6/4K-V</t>
  </si>
  <si>
    <t>Caprari Е8Р135-6/3В-V</t>
  </si>
  <si>
    <t>Grundfus  SR 77-6</t>
  </si>
  <si>
    <t>Caprari E8P65-6/5A-V</t>
  </si>
  <si>
    <t>DAB SS8A</t>
  </si>
  <si>
    <t>DAB SS6E09</t>
  </si>
  <si>
    <t>глубина</t>
  </si>
  <si>
    <t>обс тр.</t>
  </si>
  <si>
    <t xml:space="preserve"> м3/ч</t>
  </si>
  <si>
    <t xml:space="preserve">№ </t>
  </si>
  <si>
    <t>п/п</t>
  </si>
  <si>
    <t>Фактич.</t>
  </si>
  <si>
    <t>пониж-е</t>
  </si>
  <si>
    <t>ур., м</t>
  </si>
  <si>
    <t>Дебит, м3/ч</t>
  </si>
  <si>
    <t>*</t>
  </si>
  <si>
    <t xml:space="preserve">Глубина </t>
  </si>
  <si>
    <t>загр нас.</t>
  </si>
  <si>
    <t xml:space="preserve">Caprari </t>
  </si>
  <si>
    <t>wilo</t>
  </si>
  <si>
    <t>№ скв</t>
  </si>
  <si>
    <t>Паспортные данные скважин</t>
  </si>
  <si>
    <t>Grundfos SP-77-5</t>
  </si>
  <si>
    <t>Grundfos SR 77-6</t>
  </si>
  <si>
    <t>Grundfos MS6000R</t>
  </si>
  <si>
    <t>Franclin Electric</t>
  </si>
  <si>
    <t>Caprari E8P135-6/3B-V</t>
  </si>
  <si>
    <t>№</t>
  </si>
  <si>
    <t>Гл.</t>
  </si>
  <si>
    <t>Переход</t>
  </si>
  <si>
    <t>Ур. воды</t>
  </si>
  <si>
    <t>Пр-ть</t>
  </si>
  <si>
    <t xml:space="preserve">Марка  </t>
  </si>
  <si>
    <t>дата</t>
  </si>
  <si>
    <t>Дата</t>
  </si>
  <si>
    <t>заг нас.</t>
  </si>
  <si>
    <t>отвод</t>
  </si>
  <si>
    <t>насос</t>
  </si>
  <si>
    <t>пэ</t>
  </si>
  <si>
    <t>колонна</t>
  </si>
  <si>
    <t>в/п</t>
  </si>
  <si>
    <t>PLP 10125/03</t>
  </si>
  <si>
    <t>PLD 770</t>
  </si>
  <si>
    <t>Задвижка</t>
  </si>
  <si>
    <t>Ду 100</t>
  </si>
  <si>
    <t xml:space="preserve">Обратный </t>
  </si>
  <si>
    <t>Клапан</t>
  </si>
  <si>
    <t xml:space="preserve">     Ду 150</t>
  </si>
  <si>
    <t>загр труб</t>
  </si>
  <si>
    <t>Задвижка ø150мм</t>
  </si>
  <si>
    <t>шт.</t>
  </si>
  <si>
    <t>Задвижка ø200мм</t>
  </si>
  <si>
    <t>Задвижка ø250мм</t>
  </si>
  <si>
    <t>Задвижка ø300мм</t>
  </si>
  <si>
    <t>Задвижка ø500мм</t>
  </si>
  <si>
    <t>Задвижка ø700мм</t>
  </si>
  <si>
    <t>Задвижка ø800мм</t>
  </si>
  <si>
    <t>Задвижка ø1000мм</t>
  </si>
  <si>
    <t>Задвижка ø1200мм</t>
  </si>
  <si>
    <t>Программа для подбора погружного насосного агрегата для артезианских скважин</t>
  </si>
  <si>
    <t>Мгновенная производительность насосного агрегата на данный момент:</t>
  </si>
  <si>
    <t>м3/ч</t>
  </si>
  <si>
    <t>Статический уровень воды в скважине:</t>
  </si>
  <si>
    <t>Динамический  уровень воды в скважине:</t>
  </si>
  <si>
    <t>Глубина загрузки насосного агрегата</t>
  </si>
  <si>
    <t>м в ст.</t>
  </si>
  <si>
    <t>м.</t>
  </si>
  <si>
    <t>Абсолютная глубина обсадной колонны от уровня земли до фильтра</t>
  </si>
  <si>
    <t>Разница высоты обвязки скважины и оголовка</t>
  </si>
  <si>
    <t>Давление в напорном водоводе</t>
  </si>
  <si>
    <t>Постоянный коэффициент запаса напора насоса</t>
  </si>
  <si>
    <t>Постоянный коэффициент запаса производительности насоса</t>
  </si>
  <si>
    <t>Исходные данные для расчёта дебита скважины</t>
  </si>
  <si>
    <t>Исходные данные для расчёта напора насосного агрегата</t>
  </si>
  <si>
    <t xml:space="preserve">Исходные данные для расчёта скорости обтекания двигателя жидкостью </t>
  </si>
  <si>
    <t>Диаметр обсадной колонны</t>
  </si>
  <si>
    <t>Диаметр электродвигателя</t>
  </si>
  <si>
    <t>м</t>
  </si>
  <si>
    <t>ВЫВОД ДАННЫХ:</t>
  </si>
  <si>
    <t>м/с</t>
  </si>
  <si>
    <t>Минимальная скорость обтекания электродвигателя:</t>
  </si>
  <si>
    <t>Температура перекачиваемой жидкости:</t>
  </si>
  <si>
    <t>град. С</t>
  </si>
  <si>
    <t>Примечания</t>
  </si>
  <si>
    <t xml:space="preserve">Потери напора в зависимости от диаметра, производительности, материала и длины  в/п труб. </t>
  </si>
  <si>
    <t>Наименование исходных данных</t>
  </si>
  <si>
    <t>Коэффициенты и постоянные</t>
  </si>
  <si>
    <t>Ускорение свободного падения</t>
  </si>
  <si>
    <t>Коэффициент гидравлического трения для ПЭ труб:</t>
  </si>
  <si>
    <t>Скорость обтекания двигателя водой</t>
  </si>
  <si>
    <t>Требуемый напор насосного агрегата</t>
  </si>
  <si>
    <t>Требуемая производительность насосного агрегата</t>
  </si>
  <si>
    <t>Внутренний диаметр водоподъёмных труб</t>
  </si>
  <si>
    <t>мм.</t>
  </si>
  <si>
    <t>Минимальная скорость обтекания водой электродвигателя</t>
  </si>
  <si>
    <t>Количество</t>
  </si>
  <si>
    <t>Размерность</t>
  </si>
  <si>
    <t>Максимальная температура перекачиваемой жидкости:</t>
  </si>
  <si>
    <t>Минимальная температура перекачиваемой жидкости:</t>
  </si>
  <si>
    <t>Число Рейнольдса</t>
  </si>
  <si>
    <t>Кинематическая вязкость жидкости  (воды)</t>
  </si>
  <si>
    <t>м2/с</t>
  </si>
  <si>
    <t>Коэффициент шероховатости труб для полиэтилена</t>
  </si>
  <si>
    <t>Коэффициент шероховатости труб для стали</t>
  </si>
  <si>
    <t>Максимально допустимая длинна водоподъёмных труб для данной скважины</t>
  </si>
  <si>
    <t>Минимальное расстояние от фланца трубы до фильтра</t>
  </si>
  <si>
    <t>Абсолютная высота оголовка скважины</t>
  </si>
  <si>
    <t>Скорость движения воды в водоподъёмной трубе</t>
  </si>
  <si>
    <t>Коэффициент местного сопротивления для отводов в скважине</t>
  </si>
  <si>
    <t>Потери напора в зависимости от числа отводов в обвязке скважины</t>
  </si>
  <si>
    <t>Количество поворотов (отводов) в обвязке скважины до манометра</t>
  </si>
  <si>
    <t>Введите число больше "0"</t>
  </si>
  <si>
    <t>Диаметр не может быть больше диаметра обсадной трубы</t>
  </si>
  <si>
    <t>Напор не может быть меньше "0"</t>
  </si>
  <si>
    <t>Длинна труб должна быть больше "0" !</t>
  </si>
  <si>
    <t>Производительность должна  быть больше "0" !</t>
  </si>
  <si>
    <t>Скорость движения воды должна быть больше "0" !</t>
  </si>
  <si>
    <t>НОРМА</t>
  </si>
  <si>
    <t>Данные введены корректно</t>
  </si>
  <si>
    <t>Абсолютная высота оголовка скважины от уровня земли</t>
  </si>
  <si>
    <t>Минимальная скорость обтекания (охлаждения водой) электродвигателя:</t>
  </si>
  <si>
    <t>Номинальные эксплуатационные показатели скважин</t>
  </si>
  <si>
    <t>при частоте сети 50 Гц</t>
  </si>
  <si>
    <t>Рабочие параметры  скважин  при оптимизированной частоте</t>
  </si>
  <si>
    <t>Паспортные данные по скважинам</t>
  </si>
  <si>
    <t>Расчет потерь напора арт.скважин</t>
  </si>
  <si>
    <t>Дополниительные данные</t>
  </si>
  <si>
    <t xml:space="preserve">Марка </t>
  </si>
  <si>
    <t xml:space="preserve">Инв. № </t>
  </si>
  <si>
    <t xml:space="preserve">Дата ввода  </t>
  </si>
  <si>
    <t>Рн,</t>
  </si>
  <si>
    <t>Iн</t>
  </si>
  <si>
    <t>Q н</t>
  </si>
  <si>
    <t>Нн</t>
  </si>
  <si>
    <t>Q раб</t>
  </si>
  <si>
    <t>Н раб</t>
  </si>
  <si>
    <t>I раб</t>
  </si>
  <si>
    <t>Р раб</t>
  </si>
  <si>
    <t>I, раб</t>
  </si>
  <si>
    <t xml:space="preserve">Fраб,   </t>
  </si>
  <si>
    <t>Загр.</t>
  </si>
  <si>
    <t>С учётом</t>
  </si>
  <si>
    <t>Учёт высот</t>
  </si>
  <si>
    <t xml:space="preserve">Расст от нас. </t>
  </si>
  <si>
    <t>Глубина</t>
  </si>
  <si>
    <t>Высота устья</t>
  </si>
  <si>
    <t>Глуб. обсад.</t>
  </si>
  <si>
    <t xml:space="preserve">Тип </t>
  </si>
  <si>
    <t>Проектный</t>
  </si>
  <si>
    <t>Эксплуат.</t>
  </si>
  <si>
    <t xml:space="preserve">Удельный </t>
  </si>
  <si>
    <t xml:space="preserve">Год </t>
  </si>
  <si>
    <t xml:space="preserve">Дата </t>
  </si>
  <si>
    <t>коэфициент потерь от:</t>
  </si>
  <si>
    <t>Потери</t>
  </si>
  <si>
    <t>скв.</t>
  </si>
  <si>
    <t xml:space="preserve"> насоса</t>
  </si>
  <si>
    <t>в эксплуатац.</t>
  </si>
  <si>
    <t>кВт</t>
  </si>
  <si>
    <t>A</t>
  </si>
  <si>
    <t xml:space="preserve"> А</t>
  </si>
  <si>
    <t>Гц</t>
  </si>
  <si>
    <t>стат.м</t>
  </si>
  <si>
    <t>дин.м</t>
  </si>
  <si>
    <t>замера</t>
  </si>
  <si>
    <t xml:space="preserve">нас. (м) </t>
  </si>
  <si>
    <t>высот  оголовка</t>
  </si>
  <si>
    <t>оголовка, обвязки</t>
  </si>
  <si>
    <t>до фильтра</t>
  </si>
  <si>
    <t>по</t>
  </si>
  <si>
    <t>скважины</t>
  </si>
  <si>
    <t xml:space="preserve"> тр. от ур  земли. </t>
  </si>
  <si>
    <t>фильтра</t>
  </si>
  <si>
    <t>дебит</t>
  </si>
  <si>
    <t>бурения</t>
  </si>
  <si>
    <t>последнего</t>
  </si>
  <si>
    <t>P сети</t>
  </si>
  <si>
    <t>D и произ-ти</t>
  </si>
  <si>
    <t>матер.</t>
  </si>
  <si>
    <t xml:space="preserve"> итого, м</t>
  </si>
  <si>
    <t>замены насоса</t>
  </si>
  <si>
    <t>обвязки и колодца</t>
  </si>
  <si>
    <t xml:space="preserve">колодца </t>
  </si>
  <si>
    <t>(м)</t>
  </si>
  <si>
    <t>пасспорту</t>
  </si>
  <si>
    <t>от земли (м)</t>
  </si>
  <si>
    <t>до фильтра (м)</t>
  </si>
  <si>
    <t>восст. Дебита</t>
  </si>
  <si>
    <t>ЭЦВ 6-10-80</t>
  </si>
  <si>
    <t>Списано</t>
  </si>
  <si>
    <t>дырчатый</t>
  </si>
  <si>
    <t>ст 50</t>
  </si>
  <si>
    <t>нет</t>
  </si>
  <si>
    <t>wilo SPI6.17-10-A1</t>
  </si>
  <si>
    <t>36579/82</t>
  </si>
  <si>
    <t>42335/87-№43</t>
  </si>
  <si>
    <t>пэ 125</t>
  </si>
  <si>
    <t>2108-1806</t>
  </si>
  <si>
    <t>1806-1806</t>
  </si>
  <si>
    <t>42334/87-42</t>
  </si>
  <si>
    <t>без фильт.</t>
  </si>
  <si>
    <t>1806-2108</t>
  </si>
  <si>
    <t>PLP894/05</t>
  </si>
  <si>
    <t>№135</t>
  </si>
  <si>
    <t>2108-1808</t>
  </si>
  <si>
    <t>Xiro SPI 07.95-5-A1</t>
  </si>
  <si>
    <t>320-Д/10</t>
  </si>
  <si>
    <t>перфор.щел.</t>
  </si>
  <si>
    <t>пэ 160</t>
  </si>
  <si>
    <t>2108-2408</t>
  </si>
  <si>
    <t>2408-1808</t>
  </si>
  <si>
    <t>42763/87</t>
  </si>
  <si>
    <t>2108-2108</t>
  </si>
  <si>
    <t>42904/87</t>
  </si>
  <si>
    <t>40-Э</t>
  </si>
  <si>
    <t>1806-1808</t>
  </si>
  <si>
    <t>41924/87</t>
  </si>
  <si>
    <t>2108-180?</t>
  </si>
  <si>
    <t>42200/87</t>
  </si>
  <si>
    <t>41923/87</t>
  </si>
  <si>
    <t>Grundfos  SP 77-5</t>
  </si>
  <si>
    <t>53785/09</t>
  </si>
  <si>
    <t>42333/87-29</t>
  </si>
  <si>
    <t>180?-2108</t>
  </si>
  <si>
    <t>42202/87</t>
  </si>
  <si>
    <t>53187/07</t>
  </si>
  <si>
    <t>88/14(151а)</t>
  </si>
  <si>
    <t>проволочный</t>
  </si>
  <si>
    <t>35235/81</t>
  </si>
  <si>
    <t>1808-2108</t>
  </si>
  <si>
    <t>36623/84</t>
  </si>
  <si>
    <t>Grundfos SP 77-6</t>
  </si>
  <si>
    <t>36624/84</t>
  </si>
  <si>
    <t>41768/87</t>
  </si>
  <si>
    <t>Grundfos SP 77-5</t>
  </si>
  <si>
    <t>41769/87-156</t>
  </si>
  <si>
    <t>41770/87-157</t>
  </si>
  <si>
    <t>41-М</t>
  </si>
  <si>
    <t>41771/87-159</t>
  </si>
  <si>
    <t>2408-2108</t>
  </si>
  <si>
    <t>41772/87-160</t>
  </si>
  <si>
    <t>53192/07</t>
  </si>
  <si>
    <t>PLD 770/04</t>
  </si>
  <si>
    <t>41781/87-162</t>
  </si>
  <si>
    <t>41597/87</t>
  </si>
  <si>
    <t>42194/87</t>
  </si>
  <si>
    <t>Caprari Е8Р65-6/5А-V</t>
  </si>
  <si>
    <t>53774/09</t>
  </si>
  <si>
    <t>53194/07 (166а)</t>
  </si>
  <si>
    <t>41784/87-167</t>
  </si>
  <si>
    <t>Grundfus  SP 77-6</t>
  </si>
  <si>
    <t>41785/87-168</t>
  </si>
  <si>
    <t>41786/87-169</t>
  </si>
  <si>
    <t>2108- ?</t>
  </si>
  <si>
    <t xml:space="preserve"> ?</t>
  </si>
  <si>
    <t>41787/87-170</t>
  </si>
  <si>
    <t>1808-?</t>
  </si>
  <si>
    <t>43948/88</t>
  </si>
  <si>
    <t>PLP877/05</t>
  </si>
  <si>
    <t>43949/88</t>
  </si>
  <si>
    <t>1806-2406</t>
  </si>
  <si>
    <t>43951/88-47</t>
  </si>
  <si>
    <t>321-Д/10</t>
  </si>
  <si>
    <t>2408-2408</t>
  </si>
  <si>
    <t>43892/88</t>
  </si>
  <si>
    <t>перфориров.</t>
  </si>
  <si>
    <t>Xiro SPI 8.110-04-A1</t>
  </si>
  <si>
    <t>43952/88</t>
  </si>
  <si>
    <t>DAB SS6E8А</t>
  </si>
  <si>
    <t>36536/82</t>
  </si>
  <si>
    <t>ст 100</t>
  </si>
  <si>
    <t>36560/82</t>
  </si>
  <si>
    <t>36561/82</t>
  </si>
  <si>
    <t>36571/82</t>
  </si>
  <si>
    <r>
      <t xml:space="preserve">Q </t>
    </r>
    <r>
      <rPr>
        <b/>
        <u/>
        <sz val="11"/>
        <color rgb="FFFF0000"/>
        <rFont val="Times New Roman"/>
        <family val="1"/>
        <charset val="204"/>
      </rPr>
      <t xml:space="preserve">расч </t>
    </r>
  </si>
  <si>
    <t>01410548</t>
  </si>
  <si>
    <t>31.07.2014</t>
  </si>
  <si>
    <t>01411015</t>
  </si>
  <si>
    <t>31.05.2015</t>
  </si>
  <si>
    <t>31.08.2019</t>
  </si>
  <si>
    <t>01411013</t>
  </si>
  <si>
    <t>01411073</t>
  </si>
  <si>
    <t>31.07.2016</t>
  </si>
  <si>
    <t>01411270</t>
  </si>
  <si>
    <t>01411269</t>
  </si>
  <si>
    <t>01411076</t>
  </si>
  <si>
    <t>28.07.2016</t>
  </si>
  <si>
    <t>01410621</t>
  </si>
  <si>
    <t>31.10.2014</t>
  </si>
  <si>
    <t>01410260</t>
  </si>
  <si>
    <t>31.08.2015</t>
  </si>
  <si>
    <t>01411037</t>
  </si>
  <si>
    <t>31.10.2015</t>
  </si>
  <si>
    <t>31.12.2013</t>
  </si>
  <si>
    <t>01411091</t>
  </si>
  <si>
    <t>30.09.2016</t>
  </si>
  <si>
    <t>01410250</t>
  </si>
  <si>
    <t>30.11.2014</t>
  </si>
  <si>
    <t>29.12.2011</t>
  </si>
  <si>
    <t>01411075</t>
  </si>
  <si>
    <t>01411117</t>
  </si>
  <si>
    <t>29.09.2017</t>
  </si>
  <si>
    <t>01410255</t>
  </si>
  <si>
    <t>30.04.2016</t>
  </si>
  <si>
    <t>01411064</t>
  </si>
  <si>
    <t>31.10.2012</t>
  </si>
  <si>
    <t>01411223</t>
  </si>
  <si>
    <t>01410620</t>
  </si>
  <si>
    <t>01411252</t>
  </si>
  <si>
    <t>01427777</t>
  </si>
  <si>
    <t>27.09.2011</t>
  </si>
  <si>
    <t>30.06.2018</t>
  </si>
  <si>
    <t>01410644</t>
  </si>
  <si>
    <t>01411078</t>
  </si>
  <si>
    <t>01411077</t>
  </si>
  <si>
    <t>01411221</t>
  </si>
  <si>
    <t>Дебит скважины по пасспорту</t>
  </si>
  <si>
    <t>Максимально допустимая длинна загрузки  водоподъёмных труб для данной скважины</t>
  </si>
  <si>
    <t>Длинна труб  (загрузки) насосного агрегата</t>
  </si>
  <si>
    <t>У нас нет таких глубоких колодцев. Введите значение  больше "-3"</t>
  </si>
  <si>
    <t>Малый диаметр водоподъёмных труб!</t>
  </si>
  <si>
    <t>У вас где то утечка воды на водоводе ! Или неисправен манометр.</t>
  </si>
  <si>
    <t>НЕТ таких диаметров обсадных колонн  на участке ВВС !</t>
  </si>
  <si>
    <t>Обычно, минимальная скорость обтекания составляет  "0,1" м/с</t>
  </si>
  <si>
    <t>Число какое то  слишком большое</t>
  </si>
  <si>
    <t>Проверьте пасспортные данные !</t>
  </si>
  <si>
    <t>Большая скорость воды</t>
  </si>
  <si>
    <t>Максимальная скорость обтекания водой электродвигателя</t>
  </si>
  <si>
    <t xml:space="preserve">Низкая скорость обтекания электродвигателя ! Должна быть больше 0,1 м/с. </t>
  </si>
  <si>
    <t>Минимальное давление в сети водопровода</t>
  </si>
  <si>
    <t>Максимальное давление в сети водопровода</t>
  </si>
  <si>
    <t>Мпа (Атм)</t>
  </si>
  <si>
    <t>Потери давления от одного отвода в обвязке скважины</t>
  </si>
  <si>
    <t>Взято из пасспорта насоса</t>
  </si>
  <si>
    <t>Из стандартных таблиц гидравлики</t>
  </si>
  <si>
    <t>Формула из гидравлики</t>
  </si>
  <si>
    <t>Взято из практического опыта</t>
  </si>
  <si>
    <t>Это запас расстояния 2 м - это длина насосного агрегата. Т.к. не допускается опускать насосный агрегат в фильтровую колонну.</t>
  </si>
  <si>
    <t>Взято из эксперементальных данных. Перемножаем число отводов на потерю давления от одного отвода</t>
  </si>
  <si>
    <t>Какой то большой напор у насоса</t>
  </si>
  <si>
    <t>Максимальный диаметр обсадной колонны на скважинах участка ВВС</t>
  </si>
  <si>
    <t>Взято из паспортов скважин участка ВВС</t>
  </si>
  <si>
    <t>Взято из пасспорта насоса, равен "минус 25 %" от дебита скважины</t>
  </si>
  <si>
    <t>Взято из пасспорта насоса  равен плюс 5% от расчётного напора</t>
  </si>
  <si>
    <t>Это физика 7 класс. Для разных точек на земле он незначительно отличается.</t>
  </si>
  <si>
    <t>Это температура воды в скважине. Можно самому измерить.</t>
  </si>
  <si>
    <t>Взято "из головы". Можно потом подумать и подкорректировать.</t>
  </si>
  <si>
    <t xml:space="preserve">Взято из практического опыта. У меня максимум было 4 АТМ при перекрытии  одного из двух водоводов и включении всех скважин на эту часть водовода, что было не очень умно. При закрытии одного из двух водоводов, лучше оставить минимум скважин на оставшийся открытый водовод, иначе будет давление на скважиных под 4 АТМ и погонит чёрную воду на водозабор. Если давление 5 атм и больше, значит сломалась запорная арматура или не открыли на полную задвижку на водоводе. </t>
  </si>
  <si>
    <t>Взято из практического опыта. Если меньше чем 0,5 АТМ , значит где то утечка воды на водоводе.</t>
  </si>
  <si>
    <t>Малая производительность насосного агрегата, меньше 30 м3/ч. Проведите исследование работоспособности системы.</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</si>
</sst>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dd/mm/yy;@"/>
  </numFmts>
  <fonts count="29" x14ac:knownFonts="1">
    <font>
      <sz val="11"/>
      <color theme="1"/>
      <name val="Calibri"/>
      <family val="2"/>
      <charset val="204"/>
      <scheme val="minor"/>
    </font>
    <font>
      <sz val="8"/>
      <name val="Arial"/>
      <family val="2"/>
      <charset val="204"/>
    </font>
    <font>
      <sz val="11"/>
      <color theme="1"/>
      <name val="Times New Roman"/>
      <family val="1"/>
      <charset val="204"/>
    </font>
    <font>
      <sz val="9"/>
      <color theme="1"/>
      <name val="Times New Roman"/>
      <family val="1"/>
      <charset val="204"/>
    </font>
    <font>
      <b/>
      <sz val="11"/>
      <color theme="1"/>
      <name val="Times New Roman"/>
      <family val="1"/>
      <charset val="204"/>
    </font>
    <font>
      <sz val="14"/>
      <color theme="1"/>
      <name val="Times New Roman"/>
      <family val="1"/>
      <charset val="204"/>
    </font>
    <font>
      <b/>
      <sz val="14"/>
      <color theme="1"/>
      <name val="Times New Roman"/>
      <family val="1"/>
      <charset val="204"/>
    </font>
    <font>
      <sz val="16"/>
      <color theme="1"/>
      <name val="Calibri"/>
      <family val="2"/>
      <charset val="204"/>
      <scheme val="minor"/>
    </font>
    <font>
      <sz val="16"/>
      <color theme="1"/>
      <name val="Times New Roman"/>
      <family val="1"/>
      <charset val="204"/>
    </font>
    <font>
      <sz val="14"/>
      <color theme="1"/>
      <name val="Calibri"/>
      <family val="2"/>
      <charset val="204"/>
      <scheme val="minor"/>
    </font>
    <font>
      <sz val="18"/>
      <color theme="1"/>
      <name val="Times New Roman"/>
      <family val="1"/>
      <charset val="204"/>
    </font>
    <font>
      <b/>
      <sz val="18"/>
      <color theme="1"/>
      <name val="Times New Roman"/>
      <family val="1"/>
      <charset val="204"/>
    </font>
    <font>
      <b/>
      <i/>
      <sz val="16"/>
      <color theme="1"/>
      <name val="Times New Roman"/>
      <family val="1"/>
      <charset val="204"/>
    </font>
    <font>
      <b/>
      <sz val="11"/>
      <name val="Times New Roman"/>
      <family val="1"/>
      <charset val="204"/>
    </font>
    <font>
      <sz val="12"/>
      <color theme="1"/>
      <name val="Times New Roman"/>
      <family val="1"/>
      <charset val="204"/>
    </font>
    <font>
      <b/>
      <u/>
      <sz val="11"/>
      <color rgb="FFFF0000"/>
      <name val="Times New Roman"/>
      <family val="1"/>
      <charset val="204"/>
    </font>
    <font>
      <i/>
      <sz val="11"/>
      <color theme="1"/>
      <name val="Times New Roman"/>
      <family val="1"/>
      <charset val="204"/>
    </font>
    <font>
      <i/>
      <sz val="11"/>
      <color theme="1"/>
      <name val="Calibri"/>
      <family val="2"/>
      <charset val="204"/>
      <scheme val="minor"/>
    </font>
    <font>
      <b/>
      <sz val="6"/>
      <color theme="1"/>
      <name val="Times New Roman"/>
      <family val="1"/>
      <charset val="204"/>
    </font>
    <font>
      <sz val="11"/>
      <name val="Calibri"/>
      <family val="2"/>
      <charset val="204"/>
      <scheme val="minor"/>
    </font>
    <font>
      <sz val="14"/>
      <name val="Times New Roman"/>
      <family val="1"/>
      <charset val="204"/>
    </font>
    <font>
      <sz val="14"/>
      <name val="Calibri"/>
      <family val="2"/>
      <charset val="204"/>
      <scheme val="minor"/>
    </font>
    <font>
      <sz val="13"/>
      <name val="Times New Roman"/>
      <family val="1"/>
      <charset val="204"/>
    </font>
    <font>
      <sz val="13"/>
      <color theme="1"/>
      <name val="Times New Roman"/>
      <family val="1"/>
      <charset val="204"/>
    </font>
    <font>
      <sz val="13"/>
      <color theme="1"/>
      <name val="Calibri"/>
      <family val="2"/>
      <charset val="204"/>
      <scheme val="minor"/>
    </font>
    <font>
      <i/>
      <sz val="14"/>
      <color theme="1"/>
      <name val="Times New Roman"/>
      <family val="1"/>
      <charset val="204"/>
    </font>
    <font>
      <sz val="11"/>
      <name val="Times New Roman"/>
      <family val="1"/>
      <charset val="204"/>
    </font>
    <font>
      <i/>
      <sz val="14"/>
      <color theme="1"/>
      <name val="Calibri"/>
      <family val="2"/>
      <charset val="204"/>
      <scheme val="minor"/>
    </font>
    <font>
      <sz val="13"/>
      <name val="Calibri"/>
      <family val="2"/>
      <charset val="204"/>
      <scheme val="minor"/>
    </font>
  </fonts>
  <fills count="13">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s>
  <cellStyleXfs count="8">
    <xf numFmtId="0" fontId="0" fillId="0" borderId="0"/>
    <xf numFmtId="0" fontId="1" fillId="0" borderId="0">
      <alignment horizontal="left"/>
    </xf>
    <xf numFmtId="0" fontId="1" fillId="0" borderId="0">
      <alignment horizontal="left"/>
    </xf>
    <xf numFmtId="0" fontId="1" fillId="0" borderId="0">
      <alignment horizontal="left"/>
    </xf>
    <xf numFmtId="0" fontId="1" fillId="0" borderId="0">
      <alignment horizontal="left"/>
    </xf>
    <xf numFmtId="0" fontId="1" fillId="0" borderId="0">
      <alignment horizontal="left"/>
    </xf>
    <xf numFmtId="0" fontId="1" fillId="0" borderId="0">
      <alignment horizontal="left"/>
    </xf>
    <xf numFmtId="0" fontId="1" fillId="0" borderId="0">
      <alignment horizontal="left"/>
    </xf>
  </cellStyleXfs>
  <cellXfs count="400">
    <xf numFmtId="0" fontId="0" fillId="0" borderId="0" xfId="0"/>
    <xf numFmtId="0" fontId="0" fillId="0" borderId="1" xfId="0" applyBorder="1" applyAlignment="1">
      <alignment horizontal="left"/>
    </xf>
    <xf numFmtId="0" fontId="0" fillId="0" borderId="1" xfId="0" applyBorder="1"/>
    <xf numFmtId="0" fontId="2" fillId="0" borderId="1" xfId="0" applyFont="1" applyBorder="1" applyAlignment="1">
      <alignment vertical="center" wrapText="1"/>
    </xf>
    <xf numFmtId="0" fontId="2" fillId="0" borderId="1" xfId="0" applyFont="1" applyFill="1" applyBorder="1" applyAlignment="1">
      <alignment horizontal="center"/>
    </xf>
    <xf numFmtId="0" fontId="2" fillId="0" borderId="1" xfId="0" applyFont="1" applyBorder="1" applyAlignment="1">
      <alignment horizontal="left"/>
    </xf>
    <xf numFmtId="0" fontId="0" fillId="0" borderId="1" xfId="0" applyBorder="1" applyAlignment="1">
      <alignment horizontal="center"/>
    </xf>
    <xf numFmtId="0" fontId="3" fillId="0" borderId="1" xfId="0" applyFont="1" applyFill="1" applyBorder="1" applyAlignment="1">
      <alignment horizontal="center"/>
    </xf>
    <xf numFmtId="0" fontId="2" fillId="0" borderId="1" xfId="0" applyFont="1" applyBorder="1" applyAlignment="1">
      <alignment horizontal="center"/>
    </xf>
    <xf numFmtId="0" fontId="0" fillId="0" borderId="0" xfId="0" applyBorder="1"/>
    <xf numFmtId="0" fontId="0" fillId="0" borderId="1" xfId="0" applyFill="1" applyBorder="1" applyAlignment="1">
      <alignment horizontal="center"/>
    </xf>
    <xf numFmtId="0" fontId="2" fillId="0" borderId="0" xfId="0" applyFont="1" applyBorder="1" applyAlignment="1">
      <alignment horizontal="left"/>
    </xf>
    <xf numFmtId="0" fontId="2" fillId="0" borderId="0" xfId="0" applyFont="1" applyBorder="1" applyAlignment="1"/>
    <xf numFmtId="0" fontId="2" fillId="0" borderId="0" xfId="0" applyFont="1" applyBorder="1" applyAlignment="1">
      <alignment horizontal="center"/>
    </xf>
    <xf numFmtId="0" fontId="2" fillId="0" borderId="0" xfId="0" applyFont="1" applyBorder="1" applyAlignment="1">
      <alignment vertical="center" wrapText="1"/>
    </xf>
    <xf numFmtId="0" fontId="4"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3" xfId="0" applyFont="1" applyBorder="1" applyAlignment="1">
      <alignment horizontal="left"/>
    </xf>
    <xf numFmtId="0" fontId="2" fillId="0" borderId="2" xfId="0" applyFont="1" applyBorder="1" applyAlignment="1">
      <alignment horizontal="left"/>
    </xf>
    <xf numFmtId="0" fontId="2" fillId="0" borderId="3" xfId="0" applyFont="1" applyFill="1" applyBorder="1" applyAlignment="1">
      <alignment horizontal="center"/>
    </xf>
    <xf numFmtId="0" fontId="2" fillId="0" borderId="2" xfId="0" applyFont="1" applyFill="1" applyBorder="1" applyAlignment="1">
      <alignment horizontal="center"/>
    </xf>
    <xf numFmtId="14" fontId="0" fillId="0" borderId="1" xfId="0" applyNumberFormat="1" applyBorder="1" applyAlignment="1">
      <alignment horizontal="left"/>
    </xf>
    <xf numFmtId="0" fontId="2" fillId="0" borderId="1" xfId="0" applyFont="1" applyBorder="1" applyAlignment="1">
      <alignment horizontal="center"/>
    </xf>
    <xf numFmtId="0" fontId="2" fillId="0" borderId="0" xfId="0" applyFont="1" applyFill="1" applyBorder="1" applyAlignment="1">
      <alignment horizontal="center"/>
    </xf>
    <xf numFmtId="0" fontId="4" fillId="0" borderId="0" xfId="0" applyFont="1" applyBorder="1" applyAlignment="1">
      <alignment horizontal="center"/>
    </xf>
    <xf numFmtId="0" fontId="4" fillId="0" borderId="0" xfId="0" applyFont="1" applyFill="1" applyBorder="1" applyAlignment="1">
      <alignment horizontal="center"/>
    </xf>
    <xf numFmtId="164" fontId="5" fillId="0" borderId="0" xfId="0" applyNumberFormat="1" applyFont="1"/>
    <xf numFmtId="0" fontId="2" fillId="0" borderId="0" xfId="0" applyFont="1"/>
    <xf numFmtId="164" fontId="6" fillId="0" borderId="0" xfId="0" applyNumberFormat="1" applyFont="1"/>
    <xf numFmtId="0" fontId="4" fillId="0" borderId="0" xfId="0" applyFont="1"/>
    <xf numFmtId="2" fontId="7" fillId="0" borderId="0" xfId="0" applyNumberFormat="1" applyFont="1"/>
    <xf numFmtId="2" fontId="7" fillId="0" borderId="0" xfId="0" applyNumberFormat="1" applyFont="1" applyBorder="1"/>
    <xf numFmtId="2" fontId="8" fillId="0" borderId="0" xfId="0" applyNumberFormat="1" applyFont="1" applyBorder="1" applyAlignment="1">
      <alignment vertical="center" wrapText="1"/>
    </xf>
    <xf numFmtId="0" fontId="2" fillId="0" borderId="1" xfId="0" applyFont="1" applyBorder="1" applyAlignment="1">
      <alignment horizontal="center"/>
    </xf>
    <xf numFmtId="0" fontId="0" fillId="0" borderId="0" xfId="0" applyFont="1"/>
    <xf numFmtId="0" fontId="0" fillId="0" borderId="1" xfId="0" applyFont="1" applyBorder="1"/>
    <xf numFmtId="0" fontId="9" fillId="0" borderId="1" xfId="0" applyFont="1" applyBorder="1" applyAlignment="1">
      <alignment horizont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xf>
    <xf numFmtId="0" fontId="0" fillId="0" borderId="0" xfId="0" applyAlignment="1">
      <alignment vertical="center"/>
    </xf>
    <xf numFmtId="0" fontId="2" fillId="0" borderId="0" xfId="0" applyFont="1" applyBorder="1" applyAlignment="1">
      <alignment horizontal="left"/>
    </xf>
    <xf numFmtId="0" fontId="2" fillId="0" borderId="0" xfId="0" applyFont="1" applyBorder="1" applyAlignment="1">
      <alignment horizontal="center"/>
    </xf>
    <xf numFmtId="0" fontId="5" fillId="0" borderId="0" xfId="0" applyFont="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2" borderId="1" xfId="0" applyFont="1" applyFill="1" applyBorder="1" applyAlignment="1">
      <alignment horizontal="center" vertical="center"/>
    </xf>
    <xf numFmtId="0" fontId="12" fillId="4" borderId="2" xfId="0" applyFont="1" applyFill="1" applyBorder="1" applyAlignment="1">
      <alignment horizontal="center" vertical="center" wrapText="1"/>
    </xf>
    <xf numFmtId="0" fontId="5" fillId="7" borderId="1" xfId="0" applyFont="1" applyFill="1" applyBorder="1" applyAlignment="1">
      <alignment horizontal="center" vertical="center"/>
    </xf>
    <xf numFmtId="0" fontId="10" fillId="6" borderId="1" xfId="0" applyFont="1" applyFill="1" applyBorder="1" applyAlignment="1">
      <alignment horizontal="center" vertical="center"/>
    </xf>
    <xf numFmtId="1" fontId="10" fillId="6" borderId="1" xfId="0" applyNumberFormat="1" applyFont="1" applyFill="1" applyBorder="1" applyAlignment="1">
      <alignment horizontal="center" vertical="center"/>
    </xf>
    <xf numFmtId="2" fontId="10" fillId="6"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1" fontId="5" fillId="7" borderId="1" xfId="0" applyNumberFormat="1" applyFont="1" applyFill="1" applyBorder="1" applyAlignment="1">
      <alignment horizontal="center" vertical="center"/>
    </xf>
    <xf numFmtId="165" fontId="5" fillId="7" borderId="1" xfId="0" applyNumberFormat="1" applyFont="1" applyFill="1" applyBorder="1" applyAlignment="1">
      <alignment horizontal="center" vertical="center"/>
    </xf>
    <xf numFmtId="2" fontId="5" fillId="7" borderId="1" xfId="0" applyNumberFormat="1" applyFont="1" applyFill="1" applyBorder="1" applyAlignment="1">
      <alignment horizontal="center" vertical="center"/>
    </xf>
    <xf numFmtId="0" fontId="13" fillId="10" borderId="16" xfId="0" applyFont="1" applyFill="1" applyBorder="1" applyAlignment="1">
      <alignment horizontal="center"/>
    </xf>
    <xf numFmtId="0" fontId="2" fillId="10" borderId="12" xfId="0" applyFont="1" applyFill="1" applyBorder="1" applyAlignment="1">
      <alignment horizontal="center"/>
    </xf>
    <xf numFmtId="0" fontId="2" fillId="8" borderId="18" xfId="0" applyFont="1" applyFill="1" applyBorder="1" applyAlignment="1">
      <alignment horizontal="left"/>
    </xf>
    <xf numFmtId="0" fontId="2" fillId="8" borderId="19" xfId="0" applyFont="1" applyFill="1" applyBorder="1" applyAlignment="1">
      <alignment horizontal="center"/>
    </xf>
    <xf numFmtId="0" fontId="14" fillId="8" borderId="19" xfId="0" applyFont="1" applyFill="1" applyBorder="1" applyAlignment="1">
      <alignment horizontal="center"/>
    </xf>
    <xf numFmtId="0" fontId="2" fillId="8" borderId="19" xfId="0" applyFont="1" applyFill="1" applyBorder="1" applyAlignment="1">
      <alignment horizontal="center" vertical="center"/>
    </xf>
    <xf numFmtId="0" fontId="0" fillId="8" borderId="0" xfId="0" applyFont="1" applyFill="1" applyBorder="1" applyAlignment="1">
      <alignment horizontal="center" vertical="center"/>
    </xf>
    <xf numFmtId="0" fontId="4" fillId="8" borderId="19" xfId="0" applyFont="1" applyFill="1" applyBorder="1" applyAlignment="1">
      <alignment horizontal="center"/>
    </xf>
    <xf numFmtId="0" fontId="4" fillId="8" borderId="20" xfId="0" applyFont="1" applyFill="1" applyBorder="1" applyAlignment="1">
      <alignment horizontal="center"/>
    </xf>
    <xf numFmtId="0" fontId="4" fillId="9" borderId="18" xfId="0" applyFont="1" applyFill="1" applyBorder="1" applyAlignment="1">
      <alignment horizontal="center"/>
    </xf>
    <xf numFmtId="0" fontId="4" fillId="9" borderId="19" xfId="0" applyFont="1" applyFill="1" applyBorder="1" applyAlignment="1">
      <alignment horizontal="center"/>
    </xf>
    <xf numFmtId="0" fontId="4" fillId="9" borderId="21" xfId="0" applyFont="1" applyFill="1" applyBorder="1" applyAlignment="1">
      <alignment horizontal="center"/>
    </xf>
    <xf numFmtId="0" fontId="4" fillId="9" borderId="20" xfId="0" applyFont="1" applyFill="1" applyBorder="1" applyAlignment="1">
      <alignment horizontal="center" vertical="center"/>
    </xf>
    <xf numFmtId="0" fontId="4" fillId="7" borderId="18" xfId="0" applyFont="1" applyFill="1" applyBorder="1" applyAlignment="1">
      <alignment horizontal="center"/>
    </xf>
    <xf numFmtId="0" fontId="4" fillId="7" borderId="19" xfId="0" applyFont="1" applyFill="1" applyBorder="1" applyAlignment="1">
      <alignment horizontal="center"/>
    </xf>
    <xf numFmtId="0" fontId="2" fillId="7" borderId="19" xfId="0" applyFont="1" applyFill="1" applyBorder="1" applyAlignment="1">
      <alignment horizontal="center"/>
    </xf>
    <xf numFmtId="0" fontId="16" fillId="7" borderId="19" xfId="0" applyFont="1" applyFill="1" applyBorder="1" applyAlignment="1">
      <alignment horizontal="center"/>
    </xf>
    <xf numFmtId="0" fontId="2" fillId="7" borderId="22" xfId="0" applyFont="1" applyFill="1" applyBorder="1" applyAlignment="1">
      <alignment horizontal="center"/>
    </xf>
    <xf numFmtId="0" fontId="5" fillId="7" borderId="24" xfId="0" applyFont="1" applyFill="1" applyBorder="1" applyAlignment="1">
      <alignment horizontal="center"/>
    </xf>
    <xf numFmtId="0" fontId="2" fillId="10" borderId="18" xfId="0" applyFont="1" applyFill="1" applyBorder="1" applyAlignment="1">
      <alignment horizontal="center"/>
    </xf>
    <xf numFmtId="0" fontId="16" fillId="10" borderId="19" xfId="0" applyFont="1" applyFill="1" applyBorder="1" applyAlignment="1">
      <alignment horizontal="center"/>
    </xf>
    <xf numFmtId="0" fontId="2" fillId="10" borderId="19" xfId="0" applyFont="1" applyFill="1" applyBorder="1" applyAlignment="1">
      <alignment horizontal="center"/>
    </xf>
    <xf numFmtId="0" fontId="2" fillId="10" borderId="26" xfId="0" applyFont="1" applyFill="1" applyBorder="1" applyAlignment="1">
      <alignment horizontal="center"/>
    </xf>
    <xf numFmtId="0" fontId="2" fillId="10" borderId="20" xfId="0" applyFont="1" applyFill="1" applyBorder="1" applyAlignment="1">
      <alignment horizontal="center"/>
    </xf>
    <xf numFmtId="0" fontId="16" fillId="11" borderId="19" xfId="0" applyFont="1" applyFill="1" applyBorder="1" applyAlignment="1">
      <alignment horizontal="center" vertical="center"/>
    </xf>
    <xf numFmtId="0" fontId="2" fillId="12" borderId="19" xfId="0" applyFont="1" applyFill="1" applyBorder="1" applyAlignment="1">
      <alignment horizontal="center"/>
    </xf>
    <xf numFmtId="0" fontId="0" fillId="12" borderId="19" xfId="0" applyFill="1" applyBorder="1" applyAlignment="1">
      <alignment horizontal="center"/>
    </xf>
    <xf numFmtId="0" fontId="0" fillId="12" borderId="0" xfId="0" applyFill="1"/>
    <xf numFmtId="0" fontId="2" fillId="12" borderId="26" xfId="0" applyFont="1" applyFill="1" applyBorder="1" applyAlignment="1">
      <alignment horizontal="center"/>
    </xf>
    <xf numFmtId="0" fontId="2" fillId="8" borderId="2" xfId="0" applyFont="1" applyFill="1" applyBorder="1" applyAlignment="1">
      <alignment horizontal="center" vertical="center"/>
    </xf>
    <xf numFmtId="0" fontId="0" fillId="8" borderId="0" xfId="0" applyFont="1" applyFill="1" applyBorder="1" applyAlignment="1">
      <alignment horizontal="center"/>
    </xf>
    <xf numFmtId="0" fontId="2" fillId="8" borderId="20" xfId="0" applyFont="1" applyFill="1" applyBorder="1" applyAlignment="1">
      <alignment horizontal="center"/>
    </xf>
    <xf numFmtId="0" fontId="2" fillId="9" borderId="18" xfId="0" applyFont="1" applyFill="1" applyBorder="1" applyAlignment="1">
      <alignment horizontal="center"/>
    </xf>
    <xf numFmtId="0" fontId="0" fillId="9" borderId="19" xfId="0" applyFont="1" applyFill="1" applyBorder="1" applyAlignment="1">
      <alignment horizontal="center" vertical="center"/>
    </xf>
    <xf numFmtId="0" fontId="2" fillId="9" borderId="19" xfId="0" applyFont="1" applyFill="1" applyBorder="1" applyAlignment="1">
      <alignment horizontal="center"/>
    </xf>
    <xf numFmtId="0" fontId="2" fillId="9" borderId="20" xfId="0" applyFont="1" applyFill="1" applyBorder="1" applyAlignment="1">
      <alignment horizontal="center"/>
    </xf>
    <xf numFmtId="0" fontId="16" fillId="7" borderId="18" xfId="0" applyFont="1" applyFill="1" applyBorder="1" applyAlignment="1">
      <alignment horizontal="center"/>
    </xf>
    <xf numFmtId="0" fontId="16" fillId="7" borderId="3" xfId="0" applyFont="1" applyFill="1" applyBorder="1" applyAlignment="1">
      <alignment horizontal="center" vertical="center"/>
    </xf>
    <xf numFmtId="0" fontId="2" fillId="7" borderId="3" xfId="0" applyFont="1" applyFill="1" applyBorder="1" applyAlignment="1">
      <alignment horizontal="center"/>
    </xf>
    <xf numFmtId="0" fontId="2" fillId="7" borderId="27" xfId="0" applyFont="1" applyFill="1" applyBorder="1" applyAlignment="1">
      <alignment horizontal="center"/>
    </xf>
    <xf numFmtId="0" fontId="5" fillId="7" borderId="28" xfId="0" applyFont="1" applyFill="1" applyBorder="1" applyAlignment="1">
      <alignment horizontal="center"/>
    </xf>
    <xf numFmtId="0" fontId="16" fillId="10" borderId="29" xfId="0" applyFont="1" applyFill="1" applyBorder="1" applyAlignment="1">
      <alignment horizontal="center"/>
    </xf>
    <xf numFmtId="0" fontId="16" fillId="10" borderId="3" xfId="0" applyFont="1" applyFill="1" applyBorder="1" applyAlignment="1">
      <alignment horizontal="center"/>
    </xf>
    <xf numFmtId="0" fontId="16" fillId="11" borderId="21" xfId="0" applyFont="1" applyFill="1" applyBorder="1" applyAlignment="1">
      <alignment horizontal="center" vertical="center"/>
    </xf>
    <xf numFmtId="0" fontId="17" fillId="11" borderId="2" xfId="0" applyFont="1" applyFill="1" applyBorder="1" applyAlignment="1">
      <alignment horizontal="center" vertical="center"/>
    </xf>
    <xf numFmtId="0" fontId="17" fillId="11" borderId="19" xfId="0" applyFont="1" applyFill="1" applyBorder="1" applyAlignment="1">
      <alignment horizontal="center" vertical="center"/>
    </xf>
    <xf numFmtId="0" fontId="0" fillId="12" borderId="3" xfId="0" applyFill="1" applyBorder="1" applyAlignment="1">
      <alignment horizontal="center"/>
    </xf>
    <xf numFmtId="0" fontId="0" fillId="12" borderId="0" xfId="0" applyFill="1" applyAlignment="1">
      <alignment horizontal="center"/>
    </xf>
    <xf numFmtId="0" fontId="16" fillId="10" borderId="21" xfId="0" applyFont="1" applyFill="1" applyBorder="1" applyAlignment="1">
      <alignment horizontal="center"/>
    </xf>
    <xf numFmtId="0" fontId="18" fillId="8" borderId="30" xfId="0" applyFont="1" applyFill="1" applyBorder="1" applyAlignment="1">
      <alignment horizontal="center" vertical="center"/>
    </xf>
    <xf numFmtId="0" fontId="18" fillId="8" borderId="3" xfId="0" applyFont="1" applyFill="1" applyBorder="1" applyAlignment="1">
      <alignment horizontal="center" vertical="center"/>
    </xf>
    <xf numFmtId="0" fontId="18" fillId="8" borderId="28" xfId="0" applyFont="1" applyFill="1" applyBorder="1" applyAlignment="1">
      <alignment horizontal="center" vertical="center"/>
    </xf>
    <xf numFmtId="0" fontId="18" fillId="9" borderId="30" xfId="0" applyFont="1" applyFill="1" applyBorder="1" applyAlignment="1">
      <alignment horizontal="center" vertical="center"/>
    </xf>
    <xf numFmtId="0" fontId="18" fillId="9" borderId="3" xfId="0" applyFont="1" applyFill="1" applyBorder="1" applyAlignment="1">
      <alignment horizontal="center" vertical="center"/>
    </xf>
    <xf numFmtId="0" fontId="18" fillId="9" borderId="28" xfId="0" applyFont="1" applyFill="1" applyBorder="1" applyAlignment="1">
      <alignment horizontal="center" vertical="center"/>
    </xf>
    <xf numFmtId="0" fontId="18" fillId="7" borderId="30" xfId="0" applyFont="1" applyFill="1" applyBorder="1" applyAlignment="1">
      <alignment horizontal="center" vertical="center"/>
    </xf>
    <xf numFmtId="0" fontId="18" fillId="7" borderId="3" xfId="0" applyFont="1" applyFill="1" applyBorder="1" applyAlignment="1">
      <alignment horizontal="center" vertical="center"/>
    </xf>
    <xf numFmtId="0" fontId="18" fillId="7" borderId="27" xfId="0" applyFont="1" applyFill="1" applyBorder="1" applyAlignment="1">
      <alignment horizontal="center" vertical="center"/>
    </xf>
    <xf numFmtId="0" fontId="18" fillId="7" borderId="28" xfId="0" applyFont="1" applyFill="1" applyBorder="1" applyAlignment="1">
      <alignment horizontal="center" vertical="center"/>
    </xf>
    <xf numFmtId="0" fontId="18" fillId="10" borderId="30" xfId="0" applyFont="1" applyFill="1" applyBorder="1" applyAlignment="1">
      <alignment horizontal="center" vertical="center"/>
    </xf>
    <xf numFmtId="0" fontId="18" fillId="10" borderId="3" xfId="0" applyFont="1" applyFill="1" applyBorder="1" applyAlignment="1">
      <alignment horizontal="center" vertical="center"/>
    </xf>
    <xf numFmtId="0" fontId="18" fillId="10" borderId="28" xfId="0" applyFont="1" applyFill="1" applyBorder="1" applyAlignment="1">
      <alignment horizontal="center" vertical="center"/>
    </xf>
    <xf numFmtId="0" fontId="18" fillId="11" borderId="29" xfId="0" applyFont="1" applyFill="1" applyBorder="1" applyAlignment="1">
      <alignment horizontal="center" vertical="center"/>
    </xf>
    <xf numFmtId="0" fontId="18" fillId="11" borderId="3" xfId="0" applyFont="1" applyFill="1" applyBorder="1" applyAlignment="1">
      <alignment horizontal="center" vertical="center"/>
    </xf>
    <xf numFmtId="0" fontId="18" fillId="12" borderId="3" xfId="0" applyFont="1" applyFill="1" applyBorder="1" applyAlignment="1">
      <alignment horizontal="center" vertical="center"/>
    </xf>
    <xf numFmtId="0" fontId="18" fillId="12" borderId="27" xfId="0" applyFont="1" applyFill="1" applyBorder="1" applyAlignment="1">
      <alignment horizontal="center" vertical="center"/>
    </xf>
    <xf numFmtId="0" fontId="2" fillId="8" borderId="16" xfId="0" applyFont="1" applyFill="1" applyBorder="1" applyAlignment="1">
      <alignment horizontal="left"/>
    </xf>
    <xf numFmtId="0" fontId="2" fillId="8" borderId="17" xfId="0" applyFont="1" applyFill="1" applyBorder="1" applyAlignment="1">
      <alignment horizontal="center"/>
    </xf>
    <xf numFmtId="0" fontId="19" fillId="8" borderId="17" xfId="0" applyFont="1" applyFill="1" applyBorder="1"/>
    <xf numFmtId="0" fontId="19" fillId="8" borderId="17" xfId="0" applyFont="1" applyFill="1" applyBorder="1" applyAlignment="1">
      <alignment horizontal="center" vertical="center"/>
    </xf>
    <xf numFmtId="14" fontId="19" fillId="8" borderId="17" xfId="0" applyNumberFormat="1" applyFont="1" applyFill="1" applyBorder="1" applyAlignment="1">
      <alignment horizontal="center" vertical="center"/>
    </xf>
    <xf numFmtId="0" fontId="20" fillId="8" borderId="17" xfId="0" applyFont="1" applyFill="1" applyBorder="1" applyAlignment="1">
      <alignment horizontal="center"/>
    </xf>
    <xf numFmtId="0" fontId="21" fillId="8" borderId="17" xfId="0" applyFont="1" applyFill="1" applyBorder="1" applyAlignment="1">
      <alignment horizontal="center"/>
    </xf>
    <xf numFmtId="0" fontId="20" fillId="8" borderId="31" xfId="0" applyFont="1" applyFill="1" applyBorder="1" applyAlignment="1">
      <alignment horizontal="center"/>
    </xf>
    <xf numFmtId="0" fontId="22" fillId="9" borderId="16" xfId="0" applyFont="1" applyFill="1" applyBorder="1" applyAlignment="1">
      <alignment horizontal="center"/>
    </xf>
    <xf numFmtId="0" fontId="23" fillId="9" borderId="17" xfId="0" applyFont="1" applyFill="1" applyBorder="1" applyAlignment="1">
      <alignment horizontal="center"/>
    </xf>
    <xf numFmtId="164" fontId="23" fillId="9" borderId="17" xfId="0" applyNumberFormat="1" applyFont="1" applyFill="1" applyBorder="1" applyAlignment="1">
      <alignment horizontal="center"/>
    </xf>
    <xf numFmtId="0" fontId="23" fillId="9" borderId="31" xfId="0" applyFont="1" applyFill="1" applyBorder="1" applyAlignment="1">
      <alignment horizontal="center"/>
    </xf>
    <xf numFmtId="0" fontId="22" fillId="7" borderId="16" xfId="0" applyFont="1" applyFill="1" applyBorder="1" applyAlignment="1">
      <alignment horizontal="center" vertical="center"/>
    </xf>
    <xf numFmtId="0" fontId="22" fillId="7" borderId="17" xfId="0" applyFont="1" applyFill="1" applyBorder="1" applyAlignment="1">
      <alignment horizontal="center" vertical="center"/>
    </xf>
    <xf numFmtId="164" fontId="22" fillId="7" borderId="17" xfId="0" applyNumberFormat="1" applyFont="1" applyFill="1" applyBorder="1" applyAlignment="1">
      <alignment horizontal="center" vertical="center"/>
    </xf>
    <xf numFmtId="0" fontId="23" fillId="7" borderId="17" xfId="0" applyFont="1" applyFill="1" applyBorder="1" applyAlignment="1">
      <alignment horizontal="center" vertical="center"/>
    </xf>
    <xf numFmtId="166" fontId="23" fillId="7" borderId="17" xfId="0" applyNumberFormat="1" applyFont="1" applyFill="1" applyBorder="1" applyAlignment="1">
      <alignment horizontal="center" vertical="center"/>
    </xf>
    <xf numFmtId="0" fontId="23" fillId="7" borderId="32" xfId="0" applyFont="1" applyFill="1" applyBorder="1" applyAlignment="1">
      <alignment horizontal="center" vertical="center"/>
    </xf>
    <xf numFmtId="0" fontId="23" fillId="7" borderId="31" xfId="0" applyFont="1" applyFill="1" applyBorder="1" applyAlignment="1">
      <alignment horizontal="center" vertical="center"/>
    </xf>
    <xf numFmtId="0" fontId="23" fillId="8" borderId="16" xfId="0" applyFont="1" applyFill="1" applyBorder="1" applyAlignment="1">
      <alignment horizontal="center"/>
    </xf>
    <xf numFmtId="0" fontId="23" fillId="10" borderId="17" xfId="0" applyFont="1" applyFill="1" applyBorder="1" applyAlignment="1">
      <alignment horizontal="center"/>
    </xf>
    <xf numFmtId="0" fontId="24" fillId="10" borderId="17" xfId="0" applyFont="1" applyFill="1" applyBorder="1" applyAlignment="1">
      <alignment horizontal="center"/>
    </xf>
    <xf numFmtId="2" fontId="24" fillId="10" borderId="17" xfId="0" applyNumberFormat="1" applyFont="1" applyFill="1" applyBorder="1" applyAlignment="1">
      <alignment horizontal="center"/>
    </xf>
    <xf numFmtId="166" fontId="24" fillId="10" borderId="31" xfId="0" applyNumberFormat="1" applyFont="1" applyFill="1" applyBorder="1" applyAlignment="1">
      <alignment horizontal="center"/>
    </xf>
    <xf numFmtId="0" fontId="25" fillId="11" borderId="33" xfId="0" applyFont="1" applyFill="1" applyBorder="1" applyAlignment="1">
      <alignment horizontal="center"/>
    </xf>
    <xf numFmtId="0" fontId="25" fillId="11" borderId="17" xfId="0" applyFont="1" applyFill="1" applyBorder="1" applyAlignment="1">
      <alignment horizontal="center"/>
    </xf>
    <xf numFmtId="164" fontId="25" fillId="11" borderId="17" xfId="0" applyNumberFormat="1" applyFont="1" applyFill="1" applyBorder="1" applyAlignment="1">
      <alignment horizontal="center"/>
    </xf>
    <xf numFmtId="0" fontId="5" fillId="12" borderId="17" xfId="0" applyFont="1" applyFill="1" applyBorder="1" applyAlignment="1">
      <alignment horizontal="center"/>
    </xf>
    <xf numFmtId="0" fontId="9" fillId="12" borderId="17" xfId="0" applyFont="1" applyFill="1" applyBorder="1"/>
    <xf numFmtId="0" fontId="0" fillId="12" borderId="17" xfId="0" applyFill="1" applyBorder="1" applyAlignment="1">
      <alignment horizontal="left"/>
    </xf>
    <xf numFmtId="0" fontId="0" fillId="12" borderId="34" xfId="0" applyFill="1" applyBorder="1"/>
    <xf numFmtId="166" fontId="2" fillId="12" borderId="32" xfId="0" applyNumberFormat="1" applyFont="1" applyFill="1" applyBorder="1" applyAlignment="1">
      <alignment horizontal="center"/>
    </xf>
    <xf numFmtId="0" fontId="2" fillId="8" borderId="35" xfId="0" applyFont="1" applyFill="1" applyBorder="1" applyAlignment="1">
      <alignment horizontal="left"/>
    </xf>
    <xf numFmtId="0" fontId="2" fillId="8" borderId="36" xfId="0" applyFont="1" applyFill="1" applyBorder="1" applyAlignment="1">
      <alignment horizontal="center"/>
    </xf>
    <xf numFmtId="0" fontId="19" fillId="8" borderId="36" xfId="0" applyFont="1" applyFill="1" applyBorder="1"/>
    <xf numFmtId="0" fontId="26" fillId="8" borderId="36" xfId="7" applyFont="1" applyFill="1" applyBorder="1" applyAlignment="1">
      <alignment horizontal="center" vertical="center" wrapText="1"/>
    </xf>
    <xf numFmtId="14" fontId="19" fillId="8" borderId="36" xfId="0" applyNumberFormat="1" applyFont="1" applyFill="1" applyBorder="1" applyAlignment="1">
      <alignment horizontal="center" vertical="center"/>
    </xf>
    <xf numFmtId="0" fontId="20" fillId="8" borderId="36" xfId="0" applyFont="1" applyFill="1" applyBorder="1" applyAlignment="1">
      <alignment horizontal="center"/>
    </xf>
    <xf numFmtId="0" fontId="21" fillId="8" borderId="36" xfId="0" applyFont="1" applyFill="1" applyBorder="1" applyAlignment="1">
      <alignment horizontal="center"/>
    </xf>
    <xf numFmtId="0" fontId="20" fillId="8" borderId="37" xfId="0" applyFont="1" applyFill="1" applyBorder="1" applyAlignment="1">
      <alignment horizontal="center"/>
    </xf>
    <xf numFmtId="0" fontId="22" fillId="9" borderId="35" xfId="0" applyFont="1" applyFill="1" applyBorder="1" applyAlignment="1">
      <alignment horizontal="center"/>
    </xf>
    <xf numFmtId="0" fontId="23" fillId="9" borderId="36" xfId="0" applyFont="1" applyFill="1" applyBorder="1" applyAlignment="1">
      <alignment horizontal="center"/>
    </xf>
    <xf numFmtId="0" fontId="23" fillId="9" borderId="37" xfId="0" applyFont="1" applyFill="1" applyBorder="1" applyAlignment="1">
      <alignment horizontal="center"/>
    </xf>
    <xf numFmtId="0" fontId="22" fillId="7" borderId="35" xfId="0" applyFont="1" applyFill="1" applyBorder="1" applyAlignment="1">
      <alignment horizontal="center" vertical="center"/>
    </xf>
    <xf numFmtId="0" fontId="22" fillId="7" borderId="36" xfId="0" applyFont="1" applyFill="1" applyBorder="1" applyAlignment="1">
      <alignment horizontal="center" vertical="center"/>
    </xf>
    <xf numFmtId="164" fontId="22" fillId="7" borderId="36" xfId="0" applyNumberFormat="1" applyFont="1" applyFill="1" applyBorder="1" applyAlignment="1">
      <alignment horizontal="center" vertical="center"/>
    </xf>
    <xf numFmtId="0" fontId="23" fillId="7" borderId="36" xfId="0" applyFont="1" applyFill="1" applyBorder="1" applyAlignment="1">
      <alignment horizontal="center" vertical="center"/>
    </xf>
    <xf numFmtId="166" fontId="23" fillId="7" borderId="36" xfId="0" applyNumberFormat="1" applyFont="1" applyFill="1" applyBorder="1" applyAlignment="1">
      <alignment horizontal="center" vertical="center"/>
    </xf>
    <xf numFmtId="0" fontId="23" fillId="7" borderId="9" xfId="0" applyFont="1" applyFill="1" applyBorder="1" applyAlignment="1">
      <alignment horizontal="center" vertical="center"/>
    </xf>
    <xf numFmtId="0" fontId="23" fillId="8" borderId="35" xfId="0" applyFont="1" applyFill="1" applyBorder="1" applyAlignment="1">
      <alignment horizontal="center"/>
    </xf>
    <xf numFmtId="0" fontId="23" fillId="10" borderId="36" xfId="0" applyFont="1" applyFill="1" applyBorder="1" applyAlignment="1">
      <alignment horizontal="center"/>
    </xf>
    <xf numFmtId="0" fontId="24" fillId="10" borderId="36" xfId="0" applyFont="1" applyFill="1" applyBorder="1" applyAlignment="1">
      <alignment horizontal="center"/>
    </xf>
    <xf numFmtId="2" fontId="24" fillId="10" borderId="36" xfId="0" applyNumberFormat="1" applyFont="1" applyFill="1" applyBorder="1" applyAlignment="1">
      <alignment horizontal="center"/>
    </xf>
    <xf numFmtId="0" fontId="24" fillId="10" borderId="8" xfId="0" applyFont="1" applyFill="1" applyBorder="1" applyAlignment="1">
      <alignment horizontal="center"/>
    </xf>
    <xf numFmtId="166" fontId="24" fillId="10" borderId="37" xfId="0" applyNumberFormat="1" applyFont="1" applyFill="1" applyBorder="1" applyAlignment="1">
      <alignment horizontal="center"/>
    </xf>
    <xf numFmtId="0" fontId="25" fillId="11" borderId="38" xfId="0" applyFont="1" applyFill="1" applyBorder="1" applyAlignment="1">
      <alignment horizontal="center"/>
    </xf>
    <xf numFmtId="0" fontId="25" fillId="11" borderId="36" xfId="0" applyFont="1" applyFill="1" applyBorder="1" applyAlignment="1">
      <alignment horizontal="center"/>
    </xf>
    <xf numFmtId="164" fontId="25" fillId="11" borderId="36" xfId="0" applyNumberFormat="1" applyFont="1" applyFill="1" applyBorder="1" applyAlignment="1">
      <alignment horizontal="center"/>
    </xf>
    <xf numFmtId="0" fontId="5" fillId="12" borderId="36" xfId="0" applyFont="1" applyFill="1" applyBorder="1" applyAlignment="1">
      <alignment horizontal="center"/>
    </xf>
    <xf numFmtId="0" fontId="9" fillId="12" borderId="36" xfId="0" applyFont="1" applyFill="1" applyBorder="1"/>
    <xf numFmtId="0" fontId="0" fillId="12" borderId="36" xfId="0" applyFill="1" applyBorder="1" applyAlignment="1">
      <alignment horizontal="left"/>
    </xf>
    <xf numFmtId="0" fontId="0" fillId="12" borderId="39" xfId="0" applyFill="1" applyBorder="1"/>
    <xf numFmtId="166" fontId="2" fillId="12" borderId="40" xfId="0" applyNumberFormat="1" applyFont="1" applyFill="1" applyBorder="1" applyAlignment="1">
      <alignment horizontal="center"/>
    </xf>
    <xf numFmtId="0" fontId="26" fillId="8" borderId="17" xfId="0" applyFont="1" applyFill="1" applyBorder="1" applyAlignment="1">
      <alignment vertical="center" wrapText="1"/>
    </xf>
    <xf numFmtId="0" fontId="26" fillId="8" borderId="17" xfId="4" applyFont="1" applyFill="1" applyBorder="1" applyAlignment="1">
      <alignment horizontal="center" vertical="center" wrapText="1"/>
    </xf>
    <xf numFmtId="0" fontId="19" fillId="8" borderId="17" xfId="0" applyFont="1" applyFill="1" applyBorder="1" applyAlignment="1">
      <alignment horizontal="center" vertical="center" wrapText="1"/>
    </xf>
    <xf numFmtId="0" fontId="20" fillId="8" borderId="17" xfId="0" applyFont="1" applyFill="1" applyBorder="1" applyAlignment="1">
      <alignment horizontal="center" vertical="center"/>
    </xf>
    <xf numFmtId="0" fontId="24" fillId="9" borderId="17" xfId="0" applyFont="1" applyFill="1" applyBorder="1" applyAlignment="1">
      <alignment horizontal="center"/>
    </xf>
    <xf numFmtId="0" fontId="24" fillId="9" borderId="31" xfId="0" applyFont="1" applyFill="1" applyBorder="1" applyAlignment="1">
      <alignment horizontal="center"/>
    </xf>
    <xf numFmtId="0" fontId="27" fillId="11" borderId="33" xfId="0" applyFont="1" applyFill="1" applyBorder="1" applyAlignment="1">
      <alignment horizontal="center"/>
    </xf>
    <xf numFmtId="0" fontId="2" fillId="8" borderId="41" xfId="0" applyFont="1" applyFill="1" applyBorder="1" applyAlignment="1">
      <alignment horizontal="left"/>
    </xf>
    <xf numFmtId="0" fontId="2" fillId="8" borderId="1" xfId="0" applyFont="1" applyFill="1" applyBorder="1" applyAlignment="1">
      <alignment horizontal="center"/>
    </xf>
    <xf numFmtId="0" fontId="26" fillId="8" borderId="1" xfId="0" applyFont="1" applyFill="1" applyBorder="1" applyAlignment="1">
      <alignment vertical="center" wrapText="1"/>
    </xf>
    <xf numFmtId="0" fontId="26" fillId="8" borderId="1" xfId="5" applyFont="1" applyFill="1" applyBorder="1" applyAlignment="1">
      <alignment horizontal="center" vertical="center" wrapText="1"/>
    </xf>
    <xf numFmtId="0" fontId="19" fillId="8" borderId="1" xfId="0" applyFont="1" applyFill="1" applyBorder="1" applyAlignment="1">
      <alignment horizontal="center" vertical="center" wrapText="1"/>
    </xf>
    <xf numFmtId="0" fontId="20" fillId="8" borderId="1" xfId="0" applyFont="1" applyFill="1" applyBorder="1" applyAlignment="1">
      <alignment horizontal="center"/>
    </xf>
    <xf numFmtId="0" fontId="20" fillId="8" borderId="1" xfId="0" applyFont="1" applyFill="1" applyBorder="1" applyAlignment="1">
      <alignment horizontal="center" vertical="center"/>
    </xf>
    <xf numFmtId="0" fontId="21" fillId="8" borderId="1" xfId="0" applyFont="1" applyFill="1" applyBorder="1" applyAlignment="1">
      <alignment horizontal="center"/>
    </xf>
    <xf numFmtId="0" fontId="20" fillId="8" borderId="42" xfId="0" applyFont="1" applyFill="1" applyBorder="1" applyAlignment="1">
      <alignment horizontal="center"/>
    </xf>
    <xf numFmtId="0" fontId="22" fillId="9" borderId="41" xfId="0" applyFont="1" applyFill="1" applyBorder="1" applyAlignment="1">
      <alignment horizontal="center"/>
    </xf>
    <xf numFmtId="0" fontId="24" fillId="9" borderId="1" xfId="0" applyFont="1" applyFill="1" applyBorder="1" applyAlignment="1">
      <alignment horizontal="center"/>
    </xf>
    <xf numFmtId="0" fontId="24" fillId="9" borderId="24" xfId="0" applyFont="1" applyFill="1" applyBorder="1" applyAlignment="1">
      <alignment horizontal="center"/>
    </xf>
    <xf numFmtId="0" fontId="22" fillId="7" borderId="41" xfId="0" applyFont="1" applyFill="1" applyBorder="1" applyAlignment="1">
      <alignment horizontal="center" vertical="center"/>
    </xf>
    <xf numFmtId="0" fontId="22" fillId="7" borderId="1" xfId="0" applyFont="1" applyFill="1" applyBorder="1" applyAlignment="1">
      <alignment horizontal="center" vertical="center"/>
    </xf>
    <xf numFmtId="164" fontId="22" fillId="7" borderId="1" xfId="0" applyNumberFormat="1" applyFont="1" applyFill="1" applyBorder="1" applyAlignment="1">
      <alignment horizontal="center" vertical="center"/>
    </xf>
    <xf numFmtId="0" fontId="23" fillId="7" borderId="1" xfId="0" applyFont="1" applyFill="1" applyBorder="1" applyAlignment="1">
      <alignment horizontal="center" vertical="center"/>
    </xf>
    <xf numFmtId="166" fontId="23" fillId="7" borderId="1" xfId="0" applyNumberFormat="1" applyFont="1" applyFill="1" applyBorder="1" applyAlignment="1">
      <alignment horizontal="center" vertical="center"/>
    </xf>
    <xf numFmtId="0" fontId="23" fillId="8" borderId="41" xfId="0" applyFont="1" applyFill="1" applyBorder="1" applyAlignment="1">
      <alignment horizontal="center"/>
    </xf>
    <xf numFmtId="0" fontId="23" fillId="10" borderId="1" xfId="0" applyFont="1" applyFill="1" applyBorder="1" applyAlignment="1">
      <alignment horizontal="center"/>
    </xf>
    <xf numFmtId="0" fontId="24" fillId="10" borderId="1" xfId="0" applyFont="1" applyFill="1" applyBorder="1" applyAlignment="1">
      <alignment horizontal="center"/>
    </xf>
    <xf numFmtId="2" fontId="24" fillId="10" borderId="1" xfId="0" applyNumberFormat="1" applyFont="1" applyFill="1" applyBorder="1" applyAlignment="1">
      <alignment horizontal="center"/>
    </xf>
    <xf numFmtId="166" fontId="24" fillId="10" borderId="24" xfId="0" applyNumberFormat="1" applyFont="1" applyFill="1" applyBorder="1" applyAlignment="1">
      <alignment horizontal="center"/>
    </xf>
    <xf numFmtId="0" fontId="27" fillId="11" borderId="6" xfId="0" applyFont="1" applyFill="1" applyBorder="1" applyAlignment="1">
      <alignment horizontal="center"/>
    </xf>
    <xf numFmtId="0" fontId="25" fillId="11" borderId="1" xfId="0" applyFont="1" applyFill="1" applyBorder="1" applyAlignment="1">
      <alignment horizontal="center"/>
    </xf>
    <xf numFmtId="164" fontId="25" fillId="11" borderId="1" xfId="0" applyNumberFormat="1" applyFont="1" applyFill="1" applyBorder="1" applyAlignment="1">
      <alignment horizontal="center"/>
    </xf>
    <xf numFmtId="0" fontId="5" fillId="12" borderId="1" xfId="0" applyFont="1" applyFill="1" applyBorder="1" applyAlignment="1">
      <alignment horizontal="center"/>
    </xf>
    <xf numFmtId="0" fontId="9" fillId="12" borderId="1" xfId="0" applyFont="1" applyFill="1" applyBorder="1"/>
    <xf numFmtId="0" fontId="0" fillId="12" borderId="1" xfId="0" applyFill="1" applyBorder="1" applyAlignment="1">
      <alignment horizontal="left"/>
    </xf>
    <xf numFmtId="0" fontId="0" fillId="12" borderId="0" xfId="0" applyFill="1" applyBorder="1"/>
    <xf numFmtId="166" fontId="2" fillId="12" borderId="5" xfId="0" applyNumberFormat="1" applyFont="1" applyFill="1" applyBorder="1" applyAlignment="1">
      <alignment horizontal="center"/>
    </xf>
    <xf numFmtId="0" fontId="26" fillId="8" borderId="1" xfId="6" applyFont="1" applyFill="1" applyBorder="1" applyAlignment="1">
      <alignment horizontal="center" vertical="center" wrapText="1"/>
    </xf>
    <xf numFmtId="14" fontId="19" fillId="8" borderId="1" xfId="0" applyNumberFormat="1" applyFont="1" applyFill="1" applyBorder="1" applyAlignment="1">
      <alignment horizontal="center" vertical="center"/>
    </xf>
    <xf numFmtId="0" fontId="24" fillId="9" borderId="42" xfId="0" applyFont="1" applyFill="1" applyBorder="1" applyAlignment="1">
      <alignment horizontal="center"/>
    </xf>
    <xf numFmtId="166" fontId="24" fillId="10" borderId="42" xfId="0" applyNumberFormat="1" applyFont="1" applyFill="1" applyBorder="1" applyAlignment="1">
      <alignment horizontal="center"/>
    </xf>
    <xf numFmtId="0" fontId="26" fillId="8" borderId="36" xfId="0" applyFont="1" applyFill="1" applyBorder="1" applyAlignment="1">
      <alignment vertical="center" wrapText="1"/>
    </xf>
    <xf numFmtId="0" fontId="26" fillId="8" borderId="36" xfId="3" applyFont="1" applyFill="1" applyBorder="1" applyAlignment="1">
      <alignment horizontal="center" vertical="center" wrapText="1"/>
    </xf>
    <xf numFmtId="14" fontId="19" fillId="8" borderId="36" xfId="0" applyNumberFormat="1" applyFont="1" applyFill="1" applyBorder="1" applyAlignment="1">
      <alignment horizontal="center" vertical="center" wrapText="1"/>
    </xf>
    <xf numFmtId="0" fontId="20" fillId="8" borderId="36" xfId="0" applyFont="1" applyFill="1" applyBorder="1" applyAlignment="1">
      <alignment horizontal="center" vertical="center"/>
    </xf>
    <xf numFmtId="0" fontId="24" fillId="9" borderId="36" xfId="0" applyFont="1" applyFill="1" applyBorder="1" applyAlignment="1">
      <alignment horizontal="center"/>
    </xf>
    <xf numFmtId="0" fontId="24" fillId="9" borderId="37" xfId="0" applyFont="1" applyFill="1" applyBorder="1" applyAlignment="1">
      <alignment horizontal="center"/>
    </xf>
    <xf numFmtId="0" fontId="27" fillId="11" borderId="38" xfId="0" applyFont="1" applyFill="1" applyBorder="1" applyAlignment="1">
      <alignment horizontal="center"/>
    </xf>
    <xf numFmtId="0" fontId="2" fillId="8" borderId="43" xfId="0" applyFont="1" applyFill="1" applyBorder="1" applyAlignment="1">
      <alignment horizontal="left"/>
    </xf>
    <xf numFmtId="0" fontId="2" fillId="8" borderId="2" xfId="0" applyFont="1" applyFill="1" applyBorder="1" applyAlignment="1">
      <alignment horizontal="center"/>
    </xf>
    <xf numFmtId="0" fontId="26" fillId="8" borderId="2" xfId="0" applyFont="1" applyFill="1" applyBorder="1" applyAlignment="1">
      <alignment vertical="center" wrapText="1"/>
    </xf>
    <xf numFmtId="0" fontId="26" fillId="8" borderId="2" xfId="6" applyFont="1" applyFill="1" applyBorder="1" applyAlignment="1">
      <alignment horizontal="center" vertical="center" wrapText="1"/>
    </xf>
    <xf numFmtId="0" fontId="19" fillId="8" borderId="2" xfId="0" applyFont="1" applyFill="1" applyBorder="1" applyAlignment="1">
      <alignment horizontal="center" vertical="center" wrapText="1"/>
    </xf>
    <xf numFmtId="0" fontId="20" fillId="8" borderId="2" xfId="0" applyFont="1" applyFill="1" applyBorder="1" applyAlignment="1">
      <alignment horizontal="center"/>
    </xf>
    <xf numFmtId="0" fontId="20" fillId="8" borderId="2" xfId="0" applyFont="1" applyFill="1" applyBorder="1" applyAlignment="1">
      <alignment horizontal="center" vertical="center"/>
    </xf>
    <xf numFmtId="0" fontId="21" fillId="8" borderId="2" xfId="0" applyFont="1" applyFill="1" applyBorder="1" applyAlignment="1">
      <alignment horizontal="center"/>
    </xf>
    <xf numFmtId="0" fontId="20" fillId="8" borderId="24" xfId="0" applyFont="1" applyFill="1" applyBorder="1" applyAlignment="1">
      <alignment horizontal="center"/>
    </xf>
    <xf numFmtId="0" fontId="22" fillId="9" borderId="43" xfId="0" applyFont="1" applyFill="1" applyBorder="1" applyAlignment="1">
      <alignment horizontal="center" vertical="center"/>
    </xf>
    <xf numFmtId="0" fontId="24" fillId="9" borderId="2" xfId="0" applyFont="1" applyFill="1" applyBorder="1" applyAlignment="1">
      <alignment horizontal="center"/>
    </xf>
    <xf numFmtId="0" fontId="28" fillId="7" borderId="43" xfId="0" applyFont="1" applyFill="1" applyBorder="1" applyAlignment="1">
      <alignment horizontal="center" vertical="center"/>
    </xf>
    <xf numFmtId="0" fontId="22" fillId="7" borderId="2" xfId="0" applyFont="1" applyFill="1" applyBorder="1" applyAlignment="1">
      <alignment horizontal="center" vertical="center"/>
    </xf>
    <xf numFmtId="164" fontId="28" fillId="7" borderId="2" xfId="0" applyNumberFormat="1" applyFont="1" applyFill="1" applyBorder="1" applyAlignment="1">
      <alignment horizontal="center" vertical="center"/>
    </xf>
    <xf numFmtId="0" fontId="23" fillId="7" borderId="2" xfId="0" applyFont="1" applyFill="1" applyBorder="1" applyAlignment="1">
      <alignment horizontal="center" vertical="center"/>
    </xf>
    <xf numFmtId="166" fontId="23" fillId="7" borderId="2" xfId="0" applyNumberFormat="1" applyFont="1" applyFill="1" applyBorder="1" applyAlignment="1">
      <alignment horizontal="center" vertical="center"/>
    </xf>
    <xf numFmtId="0" fontId="23" fillId="7" borderId="24" xfId="0" applyFont="1" applyFill="1" applyBorder="1" applyAlignment="1">
      <alignment horizontal="center" vertical="center"/>
    </xf>
    <xf numFmtId="0" fontId="23" fillId="8" borderId="43" xfId="0" applyFont="1" applyFill="1" applyBorder="1" applyAlignment="1">
      <alignment horizontal="center"/>
    </xf>
    <xf numFmtId="0" fontId="23" fillId="10" borderId="2" xfId="0" applyFont="1" applyFill="1" applyBorder="1" applyAlignment="1">
      <alignment horizontal="center"/>
    </xf>
    <xf numFmtId="0" fontId="24" fillId="10" borderId="2" xfId="0" applyFont="1" applyFill="1" applyBorder="1" applyAlignment="1">
      <alignment horizontal="center"/>
    </xf>
    <xf numFmtId="2" fontId="24" fillId="10" borderId="2" xfId="0" applyNumberFormat="1" applyFont="1" applyFill="1" applyBorder="1" applyAlignment="1">
      <alignment horizontal="center"/>
    </xf>
    <xf numFmtId="0" fontId="27" fillId="11" borderId="25" xfId="0" applyFont="1" applyFill="1" applyBorder="1" applyAlignment="1">
      <alignment horizontal="center"/>
    </xf>
    <xf numFmtId="0" fontId="25" fillId="11" borderId="2" xfId="0" applyFont="1" applyFill="1" applyBorder="1" applyAlignment="1">
      <alignment horizontal="center"/>
    </xf>
    <xf numFmtId="164" fontId="25" fillId="11" borderId="2" xfId="0" applyNumberFormat="1" applyFont="1" applyFill="1" applyBorder="1" applyAlignment="1">
      <alignment horizontal="center"/>
    </xf>
    <xf numFmtId="0" fontId="5" fillId="12" borderId="2" xfId="0" applyFont="1" applyFill="1" applyBorder="1" applyAlignment="1">
      <alignment horizontal="center"/>
    </xf>
    <xf numFmtId="0" fontId="9" fillId="12" borderId="2" xfId="0" applyFont="1" applyFill="1" applyBorder="1"/>
    <xf numFmtId="0" fontId="0" fillId="12" borderId="2" xfId="0" applyFill="1" applyBorder="1" applyAlignment="1">
      <alignment horizontal="left"/>
    </xf>
    <xf numFmtId="166" fontId="2" fillId="12" borderId="22" xfId="0" applyNumberFormat="1" applyFont="1" applyFill="1" applyBorder="1" applyAlignment="1">
      <alignment horizontal="center"/>
    </xf>
    <xf numFmtId="0" fontId="28" fillId="9" borderId="41" xfId="0" applyFont="1" applyFill="1" applyBorder="1" applyAlignment="1">
      <alignment horizontal="center" vertical="center"/>
    </xf>
    <xf numFmtId="0" fontId="28" fillId="7" borderId="41" xfId="0" applyFont="1" applyFill="1" applyBorder="1" applyAlignment="1">
      <alignment horizontal="center" vertical="center"/>
    </xf>
    <xf numFmtId="0" fontId="28" fillId="7" borderId="1" xfId="0" applyFont="1" applyFill="1" applyBorder="1" applyAlignment="1">
      <alignment horizontal="center" vertical="center"/>
    </xf>
    <xf numFmtId="164" fontId="28" fillId="7" borderId="1" xfId="0" applyNumberFormat="1" applyFont="1" applyFill="1" applyBorder="1" applyAlignment="1">
      <alignment horizontal="center" vertical="center"/>
    </xf>
    <xf numFmtId="0" fontId="26" fillId="8" borderId="1" xfId="1" applyFont="1" applyFill="1" applyBorder="1" applyAlignment="1">
      <alignment horizontal="center" vertical="center" wrapText="1"/>
    </xf>
    <xf numFmtId="14" fontId="19" fillId="8" borderId="1" xfId="0" applyNumberFormat="1" applyFont="1" applyFill="1" applyBorder="1" applyAlignment="1">
      <alignment horizontal="center" vertical="center" wrapText="1"/>
    </xf>
    <xf numFmtId="0" fontId="26" fillId="8" borderId="1" xfId="2" applyFont="1" applyFill="1" applyBorder="1" applyAlignment="1">
      <alignment horizontal="center" vertical="center" wrapText="1"/>
    </xf>
    <xf numFmtId="0" fontId="22" fillId="9" borderId="41" xfId="0" applyFont="1" applyFill="1" applyBorder="1" applyAlignment="1">
      <alignment horizontal="center" vertical="center"/>
    </xf>
    <xf numFmtId="0" fontId="19" fillId="8" borderId="1" xfId="0" applyFont="1" applyFill="1" applyBorder="1" applyAlignment="1">
      <alignment horizontal="center" vertical="center"/>
    </xf>
    <xf numFmtId="0" fontId="2" fillId="8" borderId="30" xfId="0" applyFont="1" applyFill="1" applyBorder="1" applyAlignment="1">
      <alignment horizontal="left"/>
    </xf>
    <xf numFmtId="49" fontId="26" fillId="8" borderId="1" xfId="3" applyNumberFormat="1" applyFont="1" applyFill="1" applyBorder="1" applyAlignment="1">
      <alignment horizontal="center" vertical="center" wrapText="1"/>
    </xf>
    <xf numFmtId="0" fontId="24" fillId="7" borderId="1" xfId="0" applyFont="1" applyFill="1" applyBorder="1" applyAlignment="1">
      <alignment horizontal="center" vertical="center"/>
    </xf>
    <xf numFmtId="0" fontId="0" fillId="12" borderId="23" xfId="0" applyFill="1" applyBorder="1"/>
    <xf numFmtId="49" fontId="19" fillId="8" borderId="2" xfId="0" applyNumberFormat="1" applyFont="1" applyFill="1" applyBorder="1" applyAlignment="1">
      <alignment horizontal="center" vertical="center"/>
    </xf>
    <xf numFmtId="14" fontId="19" fillId="8" borderId="2" xfId="0" applyNumberFormat="1" applyFont="1" applyFill="1" applyBorder="1" applyAlignment="1">
      <alignment horizontal="center" vertical="center"/>
    </xf>
    <xf numFmtId="164" fontId="23" fillId="9" borderId="24" xfId="0" applyNumberFormat="1" applyFont="1" applyFill="1" applyBorder="1" applyAlignment="1">
      <alignment horizontal="center"/>
    </xf>
    <xf numFmtId="0" fontId="22" fillId="7" borderId="43" xfId="0" applyFont="1" applyFill="1" applyBorder="1" applyAlignment="1">
      <alignment horizontal="center" vertical="center"/>
    </xf>
    <xf numFmtId="0" fontId="23" fillId="7" borderId="44" xfId="0" applyFont="1" applyFill="1" applyBorder="1" applyAlignment="1">
      <alignment horizontal="center" vertical="center"/>
    </xf>
    <xf numFmtId="0" fontId="26" fillId="8" borderId="1" xfId="3" applyFont="1" applyFill="1" applyBorder="1" applyAlignment="1">
      <alignment horizontal="center" vertical="center" wrapText="1"/>
    </xf>
    <xf numFmtId="0" fontId="23" fillId="10" borderId="1" xfId="0" applyFont="1" applyFill="1" applyBorder="1" applyAlignment="1">
      <alignment horizontal="center" vertical="top"/>
    </xf>
    <xf numFmtId="2" fontId="7" fillId="10" borderId="1" xfId="0" applyNumberFormat="1" applyFont="1" applyFill="1" applyBorder="1" applyAlignment="1">
      <alignment horizontal="center" vertical="top"/>
    </xf>
    <xf numFmtId="0" fontId="28" fillId="9" borderId="1" xfId="0" applyFont="1" applyFill="1" applyBorder="1" applyAlignment="1">
      <alignment horizontal="center"/>
    </xf>
    <xf numFmtId="0" fontId="2" fillId="8" borderId="3" xfId="0" applyFont="1" applyFill="1" applyBorder="1" applyAlignment="1">
      <alignment horizontal="center"/>
    </xf>
    <xf numFmtId="0" fontId="26" fillId="8" borderId="3" xfId="0" applyFont="1" applyFill="1" applyBorder="1" applyAlignment="1">
      <alignment vertical="center" wrapText="1"/>
    </xf>
    <xf numFmtId="49" fontId="19" fillId="8" borderId="3" xfId="0" applyNumberFormat="1" applyFont="1" applyFill="1" applyBorder="1" applyAlignment="1">
      <alignment horizontal="center" vertical="center"/>
    </xf>
    <xf numFmtId="14" fontId="19" fillId="8" borderId="3" xfId="0" applyNumberFormat="1" applyFont="1" applyFill="1" applyBorder="1" applyAlignment="1">
      <alignment horizontal="center" vertical="center"/>
    </xf>
    <xf numFmtId="0" fontId="20" fillId="8" borderId="3" xfId="0" applyFont="1" applyFill="1" applyBorder="1" applyAlignment="1">
      <alignment horizontal="center"/>
    </xf>
    <xf numFmtId="0" fontId="20" fillId="8" borderId="3" xfId="0" applyFont="1" applyFill="1" applyBorder="1" applyAlignment="1">
      <alignment horizontal="center" vertical="center"/>
    </xf>
    <xf numFmtId="0" fontId="21" fillId="8" borderId="3" xfId="0" applyFont="1" applyFill="1" applyBorder="1" applyAlignment="1">
      <alignment horizontal="center"/>
    </xf>
    <xf numFmtId="0" fontId="20" fillId="8" borderId="28" xfId="0" applyFont="1" applyFill="1" applyBorder="1" applyAlignment="1">
      <alignment horizontal="center"/>
    </xf>
    <xf numFmtId="0" fontId="22" fillId="9" borderId="30" xfId="0" applyFont="1" applyFill="1" applyBorder="1" applyAlignment="1">
      <alignment horizontal="center" vertical="center"/>
    </xf>
    <xf numFmtId="0" fontId="24" fillId="9" borderId="3" xfId="0" applyFont="1" applyFill="1" applyBorder="1" applyAlignment="1">
      <alignment horizontal="center"/>
    </xf>
    <xf numFmtId="0" fontId="24" fillId="9" borderId="28" xfId="0" applyFont="1" applyFill="1" applyBorder="1" applyAlignment="1">
      <alignment horizontal="center"/>
    </xf>
    <xf numFmtId="0" fontId="22" fillId="7" borderId="30" xfId="0" applyFont="1" applyFill="1" applyBorder="1" applyAlignment="1">
      <alignment horizontal="center" vertical="center"/>
    </xf>
    <xf numFmtId="0" fontId="22" fillId="7" borderId="3" xfId="0" applyFont="1" applyFill="1" applyBorder="1" applyAlignment="1">
      <alignment horizontal="center" vertical="center"/>
    </xf>
    <xf numFmtId="164" fontId="28" fillId="7" borderId="3" xfId="0" applyNumberFormat="1" applyFont="1" applyFill="1" applyBorder="1" applyAlignment="1">
      <alignment horizontal="center" vertical="center"/>
    </xf>
    <xf numFmtId="0" fontId="23" fillId="7" borderId="3" xfId="0" applyFont="1" applyFill="1" applyBorder="1" applyAlignment="1">
      <alignment horizontal="center" vertical="center"/>
    </xf>
    <xf numFmtId="166" fontId="23" fillId="7" borderId="3" xfId="0" applyNumberFormat="1" applyFont="1" applyFill="1" applyBorder="1" applyAlignment="1">
      <alignment horizontal="center" vertical="center"/>
    </xf>
    <xf numFmtId="0" fontId="23" fillId="7" borderId="45" xfId="0" applyFont="1" applyFill="1" applyBorder="1" applyAlignment="1">
      <alignment horizontal="center" vertical="center"/>
    </xf>
    <xf numFmtId="0" fontId="23" fillId="8" borderId="30" xfId="0" applyFont="1" applyFill="1" applyBorder="1" applyAlignment="1">
      <alignment horizontal="center"/>
    </xf>
    <xf numFmtId="0" fontId="23" fillId="10" borderId="3" xfId="0" applyFont="1" applyFill="1" applyBorder="1" applyAlignment="1">
      <alignment horizontal="center"/>
    </xf>
    <xf numFmtId="0" fontId="24" fillId="10" borderId="3" xfId="0" applyFont="1" applyFill="1" applyBorder="1" applyAlignment="1">
      <alignment horizontal="center"/>
    </xf>
    <xf numFmtId="2" fontId="24" fillId="10" borderId="3" xfId="0" applyNumberFormat="1" applyFont="1" applyFill="1" applyBorder="1" applyAlignment="1">
      <alignment horizontal="center"/>
    </xf>
    <xf numFmtId="166" fontId="24" fillId="10" borderId="28" xfId="0" applyNumberFormat="1" applyFont="1" applyFill="1" applyBorder="1" applyAlignment="1">
      <alignment horizontal="center"/>
    </xf>
    <xf numFmtId="0" fontId="27" fillId="11" borderId="29" xfId="0" applyFont="1" applyFill="1" applyBorder="1" applyAlignment="1">
      <alignment horizontal="center"/>
    </xf>
    <xf numFmtId="0" fontId="25" fillId="11" borderId="3" xfId="0" applyFont="1" applyFill="1" applyBorder="1" applyAlignment="1">
      <alignment horizontal="center"/>
    </xf>
    <xf numFmtId="164" fontId="25" fillId="11" borderId="3" xfId="0" applyNumberFormat="1" applyFont="1" applyFill="1" applyBorder="1" applyAlignment="1">
      <alignment horizontal="center"/>
    </xf>
    <xf numFmtId="0" fontId="5" fillId="12" borderId="3" xfId="0" applyFont="1" applyFill="1" applyBorder="1" applyAlignment="1">
      <alignment horizontal="center"/>
    </xf>
    <xf numFmtId="0" fontId="9" fillId="12" borderId="3" xfId="0" applyFont="1" applyFill="1" applyBorder="1"/>
    <xf numFmtId="0" fontId="0" fillId="12" borderId="3" xfId="0" applyFill="1" applyBorder="1" applyAlignment="1">
      <alignment horizontal="left"/>
    </xf>
    <xf numFmtId="166" fontId="2" fillId="12" borderId="27" xfId="0" applyNumberFormat="1" applyFont="1" applyFill="1" applyBorder="1" applyAlignment="1">
      <alignment horizontal="center"/>
    </xf>
    <xf numFmtId="0" fontId="26" fillId="8" borderId="1" xfId="0" applyFont="1" applyFill="1" applyBorder="1" applyAlignment="1">
      <alignment horizontal="center" vertical="center" wrapText="1"/>
    </xf>
    <xf numFmtId="0" fontId="26" fillId="8" borderId="36" xfId="5" applyFont="1" applyFill="1" applyBorder="1" applyAlignment="1">
      <alignment horizontal="center" vertical="center" wrapText="1"/>
    </xf>
    <xf numFmtId="0" fontId="19" fillId="8" borderId="36" xfId="0" applyFont="1" applyFill="1" applyBorder="1" applyAlignment="1">
      <alignment horizontal="center" vertical="center" wrapText="1"/>
    </xf>
    <xf numFmtId="0" fontId="26" fillId="8" borderId="17" xfId="1" applyFont="1" applyFill="1" applyBorder="1" applyAlignment="1">
      <alignment horizontal="center" vertical="center" wrapText="1"/>
    </xf>
    <xf numFmtId="0" fontId="22" fillId="9" borderId="16" xfId="0" applyFont="1" applyFill="1" applyBorder="1" applyAlignment="1">
      <alignment horizontal="center" vertical="center"/>
    </xf>
    <xf numFmtId="164" fontId="28" fillId="7" borderId="17" xfId="0" applyNumberFormat="1" applyFont="1" applyFill="1" applyBorder="1" applyAlignment="1">
      <alignment horizontal="center" vertical="center"/>
    </xf>
    <xf numFmtId="0" fontId="19" fillId="8" borderId="1" xfId="0" applyFont="1" applyFill="1" applyBorder="1"/>
    <xf numFmtId="0" fontId="23" fillId="9" borderId="42" xfId="0" applyFont="1" applyFill="1" applyBorder="1" applyAlignment="1">
      <alignment horizontal="center"/>
    </xf>
    <xf numFmtId="0" fontId="26" fillId="8" borderId="36" xfId="6" applyFont="1" applyFill="1" applyBorder="1" applyAlignment="1">
      <alignment horizontal="center" vertical="center" wrapText="1"/>
    </xf>
    <xf numFmtId="0" fontId="22" fillId="9" borderId="35" xfId="0" applyFont="1" applyFill="1" applyBorder="1" applyAlignment="1">
      <alignment horizontal="center" vertical="center"/>
    </xf>
    <xf numFmtId="164" fontId="28" fillId="7" borderId="36" xfId="0" applyNumberFormat="1" applyFont="1" applyFill="1" applyBorder="1" applyAlignment="1">
      <alignment horizontal="center" vertical="center"/>
    </xf>
    <xf numFmtId="0" fontId="5" fillId="5" borderId="1" xfId="0" applyFont="1" applyFill="1" applyBorder="1" applyAlignment="1">
      <alignment horizontal="left" vertical="center" wrapText="1"/>
    </xf>
    <xf numFmtId="0" fontId="5" fillId="3" borderId="1" xfId="0" applyFont="1" applyFill="1" applyBorder="1" applyAlignment="1">
      <alignment horizontal="left" vertical="center"/>
    </xf>
    <xf numFmtId="0" fontId="5" fillId="2" borderId="1" xfId="0" applyFont="1" applyFill="1" applyBorder="1" applyAlignment="1">
      <alignment horizontal="left" vertical="center"/>
    </xf>
    <xf numFmtId="0" fontId="0" fillId="0" borderId="0" xfId="0" applyAlignment="1">
      <alignment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6" borderId="1" xfId="0" applyFont="1" applyFill="1" applyBorder="1" applyAlignment="1">
      <alignment horizontal="left" vertical="center"/>
    </xf>
    <xf numFmtId="1" fontId="8" fillId="6" borderId="1" xfId="0" applyNumberFormat="1" applyFont="1" applyFill="1" applyBorder="1" applyAlignment="1">
      <alignment horizontal="center" vertical="center"/>
    </xf>
    <xf numFmtId="2" fontId="8" fillId="6" borderId="1" xfId="0" applyNumberFormat="1" applyFont="1" applyFill="1" applyBorder="1" applyAlignment="1">
      <alignment horizontal="center" vertical="center"/>
    </xf>
    <xf numFmtId="0" fontId="0" fillId="0" borderId="0" xfId="0" applyAlignment="1">
      <alignment horizontal="center"/>
    </xf>
    <xf numFmtId="0" fontId="5" fillId="5" borderId="5"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6" xfId="0" applyFont="1" applyFill="1" applyBorder="1" applyAlignment="1">
      <alignment horizontal="left" vertical="center" wrapText="1"/>
    </xf>
    <xf numFmtId="0" fontId="2" fillId="0" borderId="1"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5" fillId="2"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11" fillId="6" borderId="5" xfId="0" applyFont="1" applyFill="1" applyBorder="1" applyAlignment="1">
      <alignment horizontal="center" wrapText="1"/>
    </xf>
    <xf numFmtId="0" fontId="11" fillId="6" borderId="4" xfId="0" applyFont="1" applyFill="1" applyBorder="1" applyAlignment="1">
      <alignment horizontal="center" wrapText="1"/>
    </xf>
    <xf numFmtId="0" fontId="11" fillId="6" borderId="6" xfId="0" applyFont="1" applyFill="1" applyBorder="1" applyAlignment="1">
      <alignment horizontal="center" wrapText="1"/>
    </xf>
    <xf numFmtId="0" fontId="5" fillId="0" borderId="0" xfId="0" applyFont="1" applyBorder="1" applyAlignment="1">
      <alignment horizontal="left" wrapText="1"/>
    </xf>
    <xf numFmtId="0" fontId="5" fillId="3" borderId="1" xfId="0" applyFont="1" applyFill="1" applyBorder="1" applyAlignment="1">
      <alignment horizontal="left" vertical="center" wrapText="1"/>
    </xf>
    <xf numFmtId="0" fontId="11" fillId="4" borderId="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5" fillId="3" borderId="5"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5" borderId="1" xfId="0" applyFont="1" applyFill="1" applyBorder="1" applyAlignment="1">
      <alignment horizontal="left" wrapText="1"/>
    </xf>
    <xf numFmtId="0" fontId="8" fillId="7" borderId="5"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6" xfId="0" applyFont="1" applyFill="1" applyBorder="1" applyAlignment="1">
      <alignment horizontal="left" vertical="center" wrapText="1"/>
    </xf>
    <xf numFmtId="0" fontId="5" fillId="7" borderId="1"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4" xfId="0" applyFont="1" applyFill="1" applyBorder="1" applyAlignment="1">
      <alignment horizontal="left" vertical="center" wrapText="1"/>
    </xf>
    <xf numFmtId="0" fontId="5" fillId="7" borderId="6"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2" fillId="7" borderId="5"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0" fillId="7" borderId="22" xfId="0" applyFill="1" applyBorder="1" applyAlignment="1">
      <alignment horizontal="center"/>
    </xf>
    <xf numFmtId="0" fontId="0" fillId="7" borderId="23" xfId="0" applyFill="1" applyBorder="1" applyAlignment="1">
      <alignment horizontal="center"/>
    </xf>
    <xf numFmtId="0" fontId="0" fillId="10" borderId="23" xfId="0" applyFill="1" applyBorder="1" applyAlignment="1">
      <alignment horizontal="center"/>
    </xf>
    <xf numFmtId="0" fontId="0" fillId="10" borderId="25" xfId="0" applyFill="1" applyBorder="1" applyAlignment="1">
      <alignment horizontal="center"/>
    </xf>
    <xf numFmtId="0" fontId="16" fillId="11" borderId="23" xfId="0" applyFont="1" applyFill="1" applyBorder="1" applyAlignment="1">
      <alignment horizontal="center" vertical="center"/>
    </xf>
    <xf numFmtId="0" fontId="16" fillId="11" borderId="25" xfId="0" applyFont="1" applyFill="1" applyBorder="1" applyAlignment="1">
      <alignment horizontal="center" vertical="center"/>
    </xf>
    <xf numFmtId="0" fontId="0" fillId="12" borderId="22" xfId="0" applyFill="1" applyBorder="1" applyAlignment="1">
      <alignment horizontal="center"/>
    </xf>
    <xf numFmtId="0" fontId="0" fillId="12" borderId="25" xfId="0" applyFill="1" applyBorder="1" applyAlignment="1">
      <alignment horizontal="center"/>
    </xf>
    <xf numFmtId="0" fontId="5" fillId="8" borderId="7" xfId="0" applyFont="1" applyFill="1" applyBorder="1" applyAlignment="1">
      <alignment horizontal="center"/>
    </xf>
    <xf numFmtId="0" fontId="5" fillId="8" borderId="8" xfId="0" applyFont="1" applyFill="1" applyBorder="1" applyAlignment="1">
      <alignment horizontal="center"/>
    </xf>
    <xf numFmtId="0" fontId="5" fillId="8" borderId="9" xfId="0" applyFont="1" applyFill="1" applyBorder="1" applyAlignment="1">
      <alignment horizontal="center"/>
    </xf>
    <xf numFmtId="0" fontId="13" fillId="9" borderId="10" xfId="0" applyFont="1" applyFill="1" applyBorder="1" applyAlignment="1">
      <alignment horizontal="center"/>
    </xf>
    <xf numFmtId="0" fontId="13" fillId="9" borderId="11" xfId="0" applyFont="1" applyFill="1" applyBorder="1" applyAlignment="1">
      <alignment horizontal="center"/>
    </xf>
    <xf numFmtId="0" fontId="13" fillId="9" borderId="12" xfId="0" applyFont="1" applyFill="1" applyBorder="1" applyAlignment="1">
      <alignment horizontal="center"/>
    </xf>
    <xf numFmtId="0" fontId="13" fillId="7" borderId="13" xfId="0" applyFont="1" applyFill="1" applyBorder="1" applyAlignment="1">
      <alignment horizontal="center"/>
    </xf>
    <xf numFmtId="0" fontId="13" fillId="7" borderId="14" xfId="0" applyFont="1" applyFill="1" applyBorder="1" applyAlignment="1">
      <alignment horizontal="center"/>
    </xf>
    <xf numFmtId="0" fontId="13" fillId="7" borderId="15" xfId="0" applyFont="1" applyFill="1" applyBorder="1" applyAlignment="1">
      <alignment horizontal="center"/>
    </xf>
    <xf numFmtId="0" fontId="2" fillId="10" borderId="17" xfId="0" applyFont="1" applyFill="1" applyBorder="1" applyAlignment="1">
      <alignment horizontal="center"/>
    </xf>
    <xf numFmtId="0" fontId="2" fillId="11" borderId="11" xfId="0" applyFont="1" applyFill="1" applyBorder="1" applyAlignment="1">
      <alignment horizontal="center"/>
    </xf>
    <xf numFmtId="0" fontId="2" fillId="11" borderId="12" xfId="0" applyFont="1" applyFill="1" applyBorder="1" applyAlignment="1">
      <alignment horizontal="center"/>
    </xf>
    <xf numFmtId="0" fontId="0" fillId="12" borderId="10" xfId="0" applyFill="1" applyBorder="1" applyAlignment="1">
      <alignment horizontal="center"/>
    </xf>
    <xf numFmtId="0" fontId="0" fillId="12" borderId="11" xfId="0" applyFill="1" applyBorder="1" applyAlignment="1">
      <alignment horizontal="center"/>
    </xf>
  </cellXfs>
  <cellStyles count="8">
    <cellStyle name="Обычный" xfId="0" builtinId="0"/>
    <cellStyle name="Обычный 2" xfId="1"/>
    <cellStyle name="Обычный 3" xfId="2"/>
    <cellStyle name="Обычный 4" xfId="3"/>
    <cellStyle name="Обычный 5" xfId="4"/>
    <cellStyle name="Обычный 7" xfId="5"/>
    <cellStyle name="Обычный 8" xfId="6"/>
    <cellStyle name="Обычный 9" xfId="7"/>
  </cellStyles>
  <dxfs count="0"/>
  <tableStyles count="0" defaultTableStyle="TableStyleMedium9" defaultPivotStyle="PivotStyleLight16"/>
  <colors>
    <mruColors>
      <color rgb="FFFFFFCC"/>
      <color rgb="FF92C4EE"/>
      <color rgb="FFFFFF99"/>
      <color rgb="FF4D4D4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6"/>
  <sheetViews>
    <sheetView tabSelected="1" topLeftCell="A7" zoomScale="70" zoomScaleNormal="70" workbookViewId="0">
      <selection activeCell="G7" sqref="G7"/>
    </sheetView>
  </sheetViews>
  <sheetFormatPr defaultRowHeight="15" x14ac:dyDescent="0.25"/>
  <cols>
    <col min="1" max="1" width="8.140625" customWidth="1"/>
    <col min="2" max="2" width="8" customWidth="1"/>
    <col min="3" max="3" width="8.42578125" customWidth="1"/>
    <col min="4" max="4" width="20" customWidth="1"/>
    <col min="5" max="5" width="35.7109375" customWidth="1"/>
    <col min="6" max="6" width="25.85546875" customWidth="1"/>
    <col min="7" max="7" width="20.85546875" customWidth="1"/>
    <col min="8" max="8" width="69" customWidth="1"/>
    <col min="9" max="9" width="20.28515625" customWidth="1"/>
    <col min="10" max="10" width="17.5703125" customWidth="1"/>
    <col min="11" max="11" width="21.140625" customWidth="1"/>
    <col min="12" max="12" width="29.7109375" customWidth="1"/>
    <col min="13" max="13" width="6.42578125" customWidth="1"/>
    <col min="15" max="15" width="5.5703125" customWidth="1"/>
    <col min="16" max="16" width="11.5703125" customWidth="1"/>
    <col min="17" max="17" width="11.42578125" customWidth="1"/>
    <col min="18" max="18" width="13.28515625" customWidth="1"/>
    <col min="26" max="26" width="11.28515625" customWidth="1"/>
    <col min="27" max="27" width="10.7109375" customWidth="1"/>
    <col min="28" max="28" width="10.42578125" customWidth="1"/>
  </cols>
  <sheetData>
    <row r="1" spans="1:8" x14ac:dyDescent="0.25">
      <c r="A1" s="334"/>
      <c r="B1" s="334"/>
      <c r="C1" s="334"/>
      <c r="D1" s="334"/>
      <c r="E1" s="334"/>
      <c r="F1" s="334"/>
      <c r="G1" s="334"/>
      <c r="H1" s="334"/>
    </row>
    <row r="2" spans="1:8" ht="45" customHeight="1" x14ac:dyDescent="0.25">
      <c r="A2" s="9"/>
    </row>
    <row r="3" spans="1:8" ht="45.75" customHeight="1" x14ac:dyDescent="0.25">
      <c r="A3" s="348" t="s">
        <v>111</v>
      </c>
      <c r="B3" s="349"/>
      <c r="C3" s="349"/>
      <c r="D3" s="349"/>
      <c r="E3" s="349"/>
      <c r="F3" s="349"/>
      <c r="G3" s="349"/>
      <c r="H3" s="350"/>
    </row>
    <row r="4" spans="1:8" ht="45.75" customHeight="1" x14ac:dyDescent="0.25">
      <c r="A4" s="357" t="s">
        <v>137</v>
      </c>
      <c r="B4" s="358"/>
      <c r="C4" s="358"/>
      <c r="D4" s="358"/>
      <c r="E4" s="359"/>
      <c r="F4" s="48" t="s">
        <v>147</v>
      </c>
      <c r="G4" s="48" t="s">
        <v>148</v>
      </c>
      <c r="H4" s="53" t="s">
        <v>135</v>
      </c>
    </row>
    <row r="5" spans="1:8" ht="39" customHeight="1" x14ac:dyDescent="0.25">
      <c r="A5" s="354" t="s">
        <v>124</v>
      </c>
      <c r="B5" s="355"/>
      <c r="C5" s="355"/>
      <c r="D5" s="355"/>
      <c r="E5" s="355"/>
      <c r="F5" s="355"/>
      <c r="G5" s="355"/>
      <c r="H5" s="356"/>
    </row>
    <row r="6" spans="1:8" ht="39.75" customHeight="1" x14ac:dyDescent="0.25">
      <c r="A6" s="335" t="s">
        <v>112</v>
      </c>
      <c r="B6" s="336"/>
      <c r="C6" s="336"/>
      <c r="D6" s="336"/>
      <c r="E6" s="337"/>
      <c r="F6" s="46">
        <v>120</v>
      </c>
      <c r="G6" s="46" t="s">
        <v>113</v>
      </c>
      <c r="H6" s="324" t="str">
        <f>IF(F6&lt;=30,Лист2!J6,IF(F6&gt;F7,Лист2!L6,Лист2!K6))</f>
        <v>Данные введены корректно</v>
      </c>
    </row>
    <row r="7" spans="1:8" ht="27.75" customHeight="1" x14ac:dyDescent="0.25">
      <c r="A7" s="335" t="s">
        <v>368</v>
      </c>
      <c r="B7" s="336"/>
      <c r="C7" s="336"/>
      <c r="D7" s="336"/>
      <c r="E7" s="337"/>
      <c r="F7" s="46">
        <v>145</v>
      </c>
      <c r="G7" s="46" t="s">
        <v>113</v>
      </c>
      <c r="H7" s="324" t="str">
        <f>IF(F7&lt;=0,Лист2!J7,IF(F7&gt;400,Лист2!L7,Лист2!K7))</f>
        <v>Данные введены корректно</v>
      </c>
    </row>
    <row r="8" spans="1:8" ht="31.5" customHeight="1" x14ac:dyDescent="0.3">
      <c r="A8" s="366" t="s">
        <v>114</v>
      </c>
      <c r="B8" s="366"/>
      <c r="C8" s="366"/>
      <c r="D8" s="366"/>
      <c r="E8" s="366"/>
      <c r="F8" s="46">
        <v>30</v>
      </c>
      <c r="G8" s="46" t="s">
        <v>118</v>
      </c>
      <c r="H8" s="324" t="str">
        <f>IF(F8&lt;=0,Лист2!J8,IF(F8&gt;F9,Лист2!L8,Лист2!K8))</f>
        <v>Данные введены корректно</v>
      </c>
    </row>
    <row r="9" spans="1:8" ht="24.95" customHeight="1" x14ac:dyDescent="0.3">
      <c r="A9" s="366" t="s">
        <v>115</v>
      </c>
      <c r="B9" s="366"/>
      <c r="C9" s="366"/>
      <c r="D9" s="366"/>
      <c r="E9" s="366"/>
      <c r="F9" s="46">
        <v>45</v>
      </c>
      <c r="G9" s="46" t="s">
        <v>118</v>
      </c>
      <c r="H9" s="324" t="str">
        <f>IF(F9&lt;=0,Лист2!J9,IF(F9&lt;F8,Лист2!L9,Лист2!K9))</f>
        <v>Данные введены корректно</v>
      </c>
    </row>
    <row r="10" spans="1:8" ht="34.5" customHeight="1" x14ac:dyDescent="0.25">
      <c r="A10" s="351" t="s">
        <v>125</v>
      </c>
      <c r="B10" s="352"/>
      <c r="C10" s="352"/>
      <c r="D10" s="352"/>
      <c r="E10" s="352"/>
      <c r="F10" s="352"/>
      <c r="G10" s="352"/>
      <c r="H10" s="353"/>
    </row>
    <row r="11" spans="1:8" ht="24.95" customHeight="1" x14ac:dyDescent="0.25">
      <c r="A11" s="347" t="s">
        <v>370</v>
      </c>
      <c r="B11" s="347"/>
      <c r="C11" s="347"/>
      <c r="D11" s="347"/>
      <c r="E11" s="347"/>
      <c r="F11" s="45">
        <v>46</v>
      </c>
      <c r="G11" s="45" t="s">
        <v>118</v>
      </c>
      <c r="H11" s="325" t="str">
        <f>IF(F11&lt;=0,Лист2!J11,IF(F11&gt;F12+F13,Лист2!L11,Лист2!K11))</f>
        <v>Длина труб должна быть &lt; = 44 м</v>
      </c>
    </row>
    <row r="12" spans="1:8" ht="25.5" customHeight="1" x14ac:dyDescent="0.25">
      <c r="A12" s="347" t="s">
        <v>119</v>
      </c>
      <c r="B12" s="347"/>
      <c r="C12" s="347"/>
      <c r="D12" s="347"/>
      <c r="E12" s="347"/>
      <c r="F12" s="45">
        <v>46</v>
      </c>
      <c r="G12" s="45" t="s">
        <v>118</v>
      </c>
      <c r="H12" s="325" t="str">
        <f>IF(F12&lt;=0,Лист2!J12,IF(F12&gt;216,Лист2!L12,Лист2!K12))</f>
        <v>Данные введены корректно</v>
      </c>
    </row>
    <row r="13" spans="1:8" ht="25.5" customHeight="1" x14ac:dyDescent="0.25">
      <c r="A13" s="363" t="s">
        <v>171</v>
      </c>
      <c r="B13" s="364"/>
      <c r="C13" s="364"/>
      <c r="D13" s="364"/>
      <c r="E13" s="365"/>
      <c r="F13" s="45">
        <v>-2</v>
      </c>
      <c r="G13" s="45" t="s">
        <v>118</v>
      </c>
      <c r="H13" s="325" t="str">
        <f>IF(F13&lt;-3,Лист2!J13,IF(F13&gt;7,Лист2!L13,Лист2!K13))</f>
        <v>Данные введены корректно</v>
      </c>
    </row>
    <row r="14" spans="1:8" ht="24" customHeight="1" x14ac:dyDescent="0.25">
      <c r="A14" s="347" t="s">
        <v>144</v>
      </c>
      <c r="B14" s="347"/>
      <c r="C14" s="347"/>
      <c r="D14" s="347"/>
      <c r="E14" s="347"/>
      <c r="F14" s="45">
        <v>150</v>
      </c>
      <c r="G14" s="45" t="s">
        <v>145</v>
      </c>
      <c r="H14" s="325" t="str">
        <f>IF(F14&lt;=40,Лист2!J14,IF(F14&gt;F19,Лист2!L14,Лист2!K14))</f>
        <v>Данные введены корректно</v>
      </c>
    </row>
    <row r="15" spans="1:8" ht="24.95" customHeight="1" x14ac:dyDescent="0.25">
      <c r="A15" s="347" t="s">
        <v>120</v>
      </c>
      <c r="B15" s="347"/>
      <c r="C15" s="347"/>
      <c r="D15" s="347"/>
      <c r="E15" s="347"/>
      <c r="F15" s="45">
        <v>3</v>
      </c>
      <c r="G15" s="45" t="s">
        <v>118</v>
      </c>
      <c r="H15" s="325" t="str">
        <f>IF(F15&lt;=0,Лист2!J15,IF(F15&gt;3,Лист2!L15,Лист2!K15))</f>
        <v>Данные введены корректно</v>
      </c>
    </row>
    <row r="16" spans="1:8" ht="24.95" customHeight="1" x14ac:dyDescent="0.25">
      <c r="A16" s="363" t="s">
        <v>162</v>
      </c>
      <c r="B16" s="364"/>
      <c r="C16" s="364"/>
      <c r="D16" s="364"/>
      <c r="E16" s="365"/>
      <c r="F16" s="45">
        <v>5</v>
      </c>
      <c r="G16" s="45" t="s">
        <v>102</v>
      </c>
      <c r="H16" s="325" t="str">
        <f>IF(F16&lt;=0,Лист2!J16,IF(F16&gt;8,Лист2!L16,Лист2!K16))</f>
        <v>Данные введены корректно</v>
      </c>
    </row>
    <row r="17" spans="1:10" s="41" customFormat="1" ht="24.95" customHeight="1" x14ac:dyDescent="0.25">
      <c r="A17" s="363" t="s">
        <v>121</v>
      </c>
      <c r="B17" s="364"/>
      <c r="C17" s="364"/>
      <c r="D17" s="364"/>
      <c r="E17" s="365"/>
      <c r="F17" s="45">
        <v>1.5</v>
      </c>
      <c r="G17" s="45" t="s">
        <v>383</v>
      </c>
      <c r="H17" s="325" t="str">
        <f>IF(F17&lt;0.5,Лист2!J17,IF(F17&gt;4,Лист2!L17,Лист2!K17))</f>
        <v>Данные введены корректно</v>
      </c>
      <c r="I17" s="42"/>
      <c r="J17"/>
    </row>
    <row r="18" spans="1:10" ht="44.25" customHeight="1" x14ac:dyDescent="0.25">
      <c r="A18" s="360" t="s">
        <v>126</v>
      </c>
      <c r="B18" s="361"/>
      <c r="C18" s="361"/>
      <c r="D18" s="361"/>
      <c r="E18" s="361"/>
      <c r="F18" s="361"/>
      <c r="G18" s="361"/>
      <c r="H18" s="362"/>
    </row>
    <row r="19" spans="1:10" ht="24.95" customHeight="1" x14ac:dyDescent="0.25">
      <c r="A19" s="341" t="s">
        <v>127</v>
      </c>
      <c r="B19" s="341"/>
      <c r="C19" s="341"/>
      <c r="D19" s="341"/>
      <c r="E19" s="341"/>
      <c r="F19" s="47">
        <v>377</v>
      </c>
      <c r="G19" s="47" t="s">
        <v>145</v>
      </c>
      <c r="H19" s="326" t="str">
        <f>IF(F19&lt;100,Лист2!J19,IF(F19&gt;500,Лист2!L19,Лист2!K19))</f>
        <v>Данные введены корректно</v>
      </c>
    </row>
    <row r="20" spans="1:10" ht="24.95" customHeight="1" x14ac:dyDescent="0.25">
      <c r="A20" s="341" t="s">
        <v>128</v>
      </c>
      <c r="B20" s="341"/>
      <c r="C20" s="341"/>
      <c r="D20" s="341"/>
      <c r="E20" s="341"/>
      <c r="F20" s="47">
        <v>100</v>
      </c>
      <c r="G20" s="47" t="s">
        <v>145</v>
      </c>
      <c r="H20" s="326" t="str">
        <f>IF(F20&lt;0,Лист2!J20,IF(F20&gt;F19,Лист2!L20,Лист2!K20))</f>
        <v>Данные введены корректно</v>
      </c>
    </row>
    <row r="21" spans="1:10" ht="42" customHeight="1" x14ac:dyDescent="0.25">
      <c r="A21" s="341" t="s">
        <v>172</v>
      </c>
      <c r="B21" s="341"/>
      <c r="C21" s="341"/>
      <c r="D21" s="341"/>
      <c r="E21" s="341"/>
      <c r="F21" s="47">
        <v>0.1</v>
      </c>
      <c r="G21" s="47" t="s">
        <v>131</v>
      </c>
      <c r="H21" s="326" t="str">
        <f>IF(F21&lt;0.1,Лист2!J21,IF(F21&gt;Лист2!G30,Лист2!L21,Лист2!K21))</f>
        <v>Данные введены корректно</v>
      </c>
    </row>
    <row r="22" spans="1:10" ht="24.95" customHeight="1" x14ac:dyDescent="0.3">
      <c r="A22" s="343" t="s">
        <v>130</v>
      </c>
      <c r="B22" s="344"/>
      <c r="C22" s="344"/>
      <c r="D22" s="344"/>
      <c r="E22" s="344"/>
      <c r="F22" s="344"/>
      <c r="G22" s="344"/>
      <c r="H22" s="345"/>
    </row>
    <row r="23" spans="1:10" ht="37.5" customHeight="1" x14ac:dyDescent="0.25">
      <c r="A23" s="342" t="s">
        <v>143</v>
      </c>
      <c r="B23" s="342"/>
      <c r="C23" s="342"/>
      <c r="D23" s="342"/>
      <c r="E23" s="342"/>
      <c r="F23" s="330">
        <f>((F6/(F9-F8))*(F27-F8))*Лист2!G24</f>
        <v>72</v>
      </c>
      <c r="G23" s="330" t="s">
        <v>113</v>
      </c>
      <c r="H23" s="331" t="str">
        <f>IF(F23&lt;0,Лист2!J45,IF(F23&gt;F7,Лист2!L45,Лист2!K45))</f>
        <v>НОРМА</v>
      </c>
    </row>
    <row r="24" spans="1:10" ht="31.5" customHeight="1" x14ac:dyDescent="0.25">
      <c r="A24" s="342" t="s">
        <v>142</v>
      </c>
      <c r="B24" s="342"/>
      <c r="C24" s="342"/>
      <c r="D24" s="342"/>
      <c r="E24" s="342"/>
      <c r="F24" s="332">
        <f>(F11+Лист2!G38+(F17*10)+Лист2!G36+F15)*Лист2!G25</f>
        <v>69.137339555391961</v>
      </c>
      <c r="G24" s="330" t="s">
        <v>129</v>
      </c>
      <c r="H24" s="331" t="str">
        <f>IF(F24&lt;0,Лист2!J46,IF(F24&gt;120,Лист2!L46,Лист2!K46))</f>
        <v>НОРМА</v>
      </c>
    </row>
    <row r="25" spans="1:10" ht="35.25" customHeight="1" x14ac:dyDescent="0.25">
      <c r="A25" s="342" t="s">
        <v>141</v>
      </c>
      <c r="B25" s="342"/>
      <c r="C25" s="342"/>
      <c r="D25" s="342"/>
      <c r="E25" s="342"/>
      <c r="F25" s="333">
        <f>F6/(3600*(3.14*((((F19)/1000)/2)^2)-3.14*((((F20)/1000)/2)^2)))</f>
        <v>0.32137414958575111</v>
      </c>
      <c r="G25" s="330" t="s">
        <v>131</v>
      </c>
      <c r="H25" s="331" t="str">
        <f>IF(F25&lt;Лист2!G29,Лист2!J47,IF(F25&gt;Лист2!G30,Лист2!L47,Лист2!K47))</f>
        <v>НОРМА</v>
      </c>
    </row>
    <row r="26" spans="1:10" ht="37.5" customHeight="1" x14ac:dyDescent="0.25">
      <c r="A26" s="342" t="s">
        <v>159</v>
      </c>
      <c r="B26" s="342"/>
      <c r="C26" s="342"/>
      <c r="D26" s="342"/>
      <c r="E26" s="342"/>
      <c r="F26" s="333">
        <f>F6/(3600*3.14*(((F14/1000)/2)^2))</f>
        <v>1.8872375560273649</v>
      </c>
      <c r="G26" s="330" t="s">
        <v>131</v>
      </c>
      <c r="H26" s="331" t="str">
        <f>IF(F26&lt;0,Лист2!J48,IF(F26&gt;Лист2!G30,Лист2!L48,Лист2!K48))</f>
        <v>НОРМА</v>
      </c>
    </row>
    <row r="27" spans="1:10" ht="54" customHeight="1" x14ac:dyDescent="0.25">
      <c r="A27" s="342" t="s">
        <v>369</v>
      </c>
      <c r="B27" s="342"/>
      <c r="C27" s="342"/>
      <c r="D27" s="342"/>
      <c r="E27" s="342"/>
      <c r="F27" s="333">
        <f>F12-Лист2!G41+F13</f>
        <v>42</v>
      </c>
      <c r="G27" s="330" t="s">
        <v>129</v>
      </c>
      <c r="H27" s="331" t="str">
        <f>IF(F27&lt;0,Лист2!J49,IF(F27&gt;F12-Лист2!G41,Лист2!L49,Лист2!K49))</f>
        <v>НОРМА</v>
      </c>
    </row>
    <row r="28" spans="1:10" ht="35.25" customHeight="1" x14ac:dyDescent="0.25">
      <c r="A28" s="342" t="s">
        <v>133</v>
      </c>
      <c r="B28" s="342"/>
      <c r="C28" s="342"/>
      <c r="D28" s="342"/>
      <c r="E28" s="342"/>
      <c r="F28" s="333">
        <f>Лист2!G23</f>
        <v>4</v>
      </c>
      <c r="G28" s="330" t="s">
        <v>134</v>
      </c>
      <c r="H28" s="331" t="str">
        <f>IF(F28&lt;Лист2!G27,Лист2!J50,IF(F28&gt;Лист2!G28,Лист2!L50,Лист2!K50))</f>
        <v>НОРМА</v>
      </c>
    </row>
    <row r="29" spans="1:10" ht="24.95" customHeight="1" x14ac:dyDescent="0.3">
      <c r="A29" s="346"/>
      <c r="B29" s="346"/>
      <c r="C29" s="346"/>
      <c r="D29" s="346"/>
      <c r="E29" s="346"/>
      <c r="F29" s="44"/>
      <c r="G29" s="44"/>
    </row>
    <row r="30" spans="1:10" ht="24.95" customHeight="1" x14ac:dyDescent="0.3">
      <c r="A30" s="346"/>
      <c r="B30" s="346"/>
      <c r="C30" s="346"/>
      <c r="D30" s="346"/>
      <c r="E30" s="346"/>
      <c r="F30" s="44"/>
      <c r="G30" s="44"/>
    </row>
    <row r="31" spans="1:10" ht="24.95" customHeight="1" x14ac:dyDescent="0.3">
      <c r="A31" s="346"/>
      <c r="B31" s="346"/>
      <c r="C31" s="346"/>
      <c r="D31" s="346"/>
      <c r="E31" s="346"/>
      <c r="F31" s="44"/>
      <c r="G31" s="44"/>
    </row>
    <row r="32" spans="1:10" ht="24.95" customHeight="1" x14ac:dyDescent="0.3">
      <c r="A32" s="346"/>
      <c r="B32" s="346"/>
      <c r="C32" s="346"/>
      <c r="D32" s="346"/>
      <c r="E32" s="346"/>
      <c r="F32" s="44"/>
      <c r="G32" s="44"/>
    </row>
    <row r="33" spans="1:7" ht="24.95" customHeight="1" x14ac:dyDescent="0.3">
      <c r="A33" s="346"/>
      <c r="B33" s="346"/>
      <c r="C33" s="346"/>
      <c r="D33" s="346"/>
      <c r="E33" s="346"/>
      <c r="F33" s="44"/>
      <c r="G33" s="44"/>
    </row>
    <row r="34" spans="1:7" ht="24.95" customHeight="1" x14ac:dyDescent="0.3">
      <c r="A34" s="346"/>
      <c r="B34" s="346"/>
      <c r="C34" s="346"/>
      <c r="D34" s="346"/>
      <c r="E34" s="346"/>
      <c r="F34" s="44"/>
      <c r="G34" s="44"/>
    </row>
    <row r="35" spans="1:7" ht="24.95" customHeight="1" x14ac:dyDescent="0.3">
      <c r="A35" s="346"/>
      <c r="B35" s="346"/>
      <c r="C35" s="346"/>
      <c r="D35" s="346"/>
      <c r="E35" s="346"/>
      <c r="F35" s="44"/>
      <c r="G35" s="44"/>
    </row>
    <row r="36" spans="1:7" ht="24.95" customHeight="1" x14ac:dyDescent="0.3">
      <c r="A36" s="346"/>
      <c r="B36" s="346"/>
      <c r="C36" s="346"/>
      <c r="D36" s="346"/>
      <c r="E36" s="346"/>
      <c r="F36" s="44"/>
      <c r="G36" s="44"/>
    </row>
    <row r="37" spans="1:7" ht="24.95" customHeight="1" x14ac:dyDescent="0.3">
      <c r="A37" s="346"/>
      <c r="B37" s="346"/>
      <c r="C37" s="346"/>
      <c r="D37" s="346"/>
      <c r="E37" s="346"/>
      <c r="F37" s="44"/>
      <c r="G37" s="44"/>
    </row>
    <row r="38" spans="1:7" ht="24.95" customHeight="1" x14ac:dyDescent="0.3">
      <c r="A38" s="346"/>
      <c r="B38" s="346"/>
      <c r="C38" s="346"/>
      <c r="D38" s="346"/>
      <c r="E38" s="346"/>
      <c r="F38" s="44"/>
      <c r="G38" s="44"/>
    </row>
    <row r="39" spans="1:7" ht="24.95" customHeight="1" x14ac:dyDescent="0.3">
      <c r="A39" s="346"/>
      <c r="B39" s="346"/>
      <c r="C39" s="346"/>
      <c r="D39" s="346"/>
      <c r="E39" s="346"/>
      <c r="F39" s="44"/>
      <c r="G39" s="44"/>
    </row>
    <row r="40" spans="1:7" ht="24.95" customHeight="1" x14ac:dyDescent="0.3">
      <c r="A40" s="346"/>
      <c r="B40" s="346"/>
      <c r="C40" s="346"/>
      <c r="D40" s="346"/>
      <c r="E40" s="346"/>
      <c r="F40" s="44"/>
      <c r="G40" s="44"/>
    </row>
    <row r="41" spans="1:7" ht="24.95" customHeight="1" x14ac:dyDescent="0.3">
      <c r="A41" s="346"/>
      <c r="B41" s="346"/>
      <c r="C41" s="346"/>
      <c r="D41" s="346"/>
      <c r="E41" s="346"/>
      <c r="F41" s="44"/>
      <c r="G41" s="44"/>
    </row>
    <row r="42" spans="1:7" ht="24.95" customHeight="1" x14ac:dyDescent="0.3">
      <c r="A42" s="346"/>
      <c r="B42" s="346"/>
      <c r="C42" s="346"/>
      <c r="D42" s="346"/>
      <c r="E42" s="346"/>
      <c r="F42" s="44"/>
      <c r="G42" s="44"/>
    </row>
    <row r="43" spans="1:7" ht="24.95" customHeight="1" x14ac:dyDescent="0.3">
      <c r="A43" s="346"/>
      <c r="B43" s="346"/>
      <c r="C43" s="346"/>
      <c r="D43" s="346"/>
      <c r="E43" s="346"/>
      <c r="F43" s="44"/>
      <c r="G43" s="44"/>
    </row>
    <row r="44" spans="1:7" ht="24.95" customHeight="1" x14ac:dyDescent="0.3">
      <c r="A44" s="346"/>
      <c r="B44" s="346"/>
      <c r="C44" s="346"/>
      <c r="D44" s="346"/>
      <c r="E44" s="346"/>
      <c r="F44" s="44"/>
      <c r="G44" s="44"/>
    </row>
    <row r="45" spans="1:7" ht="24.95" customHeight="1" x14ac:dyDescent="0.3">
      <c r="A45" s="346"/>
      <c r="B45" s="346"/>
      <c r="C45" s="346"/>
      <c r="D45" s="346"/>
      <c r="E45" s="346"/>
      <c r="F45" s="44"/>
      <c r="G45" s="44"/>
    </row>
    <row r="46" spans="1:7" ht="24.95" customHeight="1" x14ac:dyDescent="0.3">
      <c r="A46" s="346"/>
      <c r="B46" s="346"/>
      <c r="C46" s="346"/>
      <c r="D46" s="346"/>
      <c r="E46" s="346"/>
      <c r="F46" s="44"/>
      <c r="G46" s="44"/>
    </row>
    <row r="47" spans="1:7" ht="24.95" customHeight="1" x14ac:dyDescent="0.3">
      <c r="A47" s="346"/>
      <c r="B47" s="346"/>
      <c r="C47" s="346"/>
      <c r="D47" s="346"/>
      <c r="E47" s="346"/>
      <c r="F47" s="44"/>
      <c r="G47" s="44"/>
    </row>
    <row r="48" spans="1:7" ht="24.95" customHeight="1" x14ac:dyDescent="0.3">
      <c r="A48" s="346"/>
      <c r="B48" s="346"/>
      <c r="C48" s="346"/>
      <c r="D48" s="346"/>
      <c r="E48" s="346"/>
      <c r="F48" s="44"/>
      <c r="G48" s="44"/>
    </row>
    <row r="49" spans="1:27" ht="24.95" customHeight="1" x14ac:dyDescent="0.3">
      <c r="A49" s="346"/>
      <c r="B49" s="346"/>
      <c r="C49" s="346"/>
      <c r="D49" s="346"/>
      <c r="E49" s="346"/>
      <c r="F49" s="44"/>
      <c r="G49" s="44"/>
    </row>
    <row r="50" spans="1:27" ht="24.95" customHeight="1" x14ac:dyDescent="0.3">
      <c r="A50" s="346"/>
      <c r="B50" s="346"/>
      <c r="C50" s="346"/>
      <c r="D50" s="346"/>
      <c r="E50" s="346"/>
      <c r="F50" s="44"/>
      <c r="G50" s="44"/>
      <c r="K50" s="9"/>
      <c r="L50" s="9"/>
      <c r="M50" s="9"/>
      <c r="N50" s="9"/>
      <c r="O50" s="9"/>
      <c r="P50" s="9"/>
      <c r="Q50" s="9"/>
      <c r="R50" s="9"/>
      <c r="S50" s="9"/>
      <c r="T50" s="9"/>
      <c r="U50" s="9"/>
      <c r="V50" s="9"/>
      <c r="W50" s="9"/>
      <c r="X50" s="9"/>
      <c r="Y50" s="9"/>
      <c r="Z50" s="9"/>
      <c r="AA50" s="9"/>
    </row>
    <row r="51" spans="1:27" ht="24.95" customHeight="1" x14ac:dyDescent="0.3">
      <c r="A51" s="346"/>
      <c r="B51" s="346"/>
      <c r="C51" s="346"/>
      <c r="D51" s="346"/>
      <c r="E51" s="346"/>
      <c r="F51" s="44"/>
      <c r="G51" s="44"/>
    </row>
    <row r="52" spans="1:27" ht="24.95" customHeight="1" x14ac:dyDescent="0.3">
      <c r="A52" s="346"/>
      <c r="B52" s="346"/>
      <c r="C52" s="346"/>
      <c r="D52" s="346"/>
      <c r="E52" s="346"/>
      <c r="F52" s="44"/>
      <c r="G52" s="44"/>
    </row>
    <row r="53" spans="1:27" ht="24.95" customHeight="1" x14ac:dyDescent="0.3">
      <c r="A53" s="346"/>
      <c r="B53" s="346"/>
      <c r="C53" s="346"/>
      <c r="D53" s="346"/>
      <c r="E53" s="346"/>
      <c r="F53" s="44"/>
      <c r="G53" s="44"/>
    </row>
    <row r="54" spans="1:27" ht="24.95" customHeight="1" x14ac:dyDescent="0.3">
      <c r="A54" s="346"/>
      <c r="B54" s="346"/>
      <c r="C54" s="346"/>
      <c r="D54" s="346"/>
      <c r="E54" s="346"/>
      <c r="F54" s="44"/>
      <c r="G54" s="44"/>
    </row>
    <row r="55" spans="1:27" ht="24.95" customHeight="1" x14ac:dyDescent="0.3">
      <c r="A55" s="346"/>
      <c r="B55" s="346"/>
      <c r="C55" s="346"/>
      <c r="D55" s="346"/>
      <c r="E55" s="346"/>
      <c r="F55" s="44"/>
      <c r="G55" s="44"/>
    </row>
    <row r="56" spans="1:27" ht="24.95" customHeight="1" x14ac:dyDescent="0.3">
      <c r="A56" s="346"/>
      <c r="B56" s="346"/>
      <c r="C56" s="346"/>
      <c r="D56" s="346"/>
      <c r="E56" s="346"/>
      <c r="F56" s="44"/>
      <c r="G56" s="44"/>
    </row>
    <row r="57" spans="1:27" ht="24.95" customHeight="1" x14ac:dyDescent="0.3">
      <c r="A57" s="346"/>
      <c r="B57" s="346"/>
      <c r="C57" s="346"/>
      <c r="D57" s="346"/>
      <c r="E57" s="346"/>
      <c r="F57" s="44"/>
      <c r="G57" s="44"/>
    </row>
    <row r="58" spans="1:27" ht="24.95" customHeight="1" x14ac:dyDescent="0.3">
      <c r="A58" s="346"/>
      <c r="B58" s="346"/>
      <c r="C58" s="346"/>
      <c r="D58" s="346"/>
      <c r="E58" s="346"/>
      <c r="F58" s="44"/>
      <c r="G58" s="44"/>
    </row>
    <row r="59" spans="1:27" ht="24.95" customHeight="1" x14ac:dyDescent="0.25">
      <c r="A59" s="43"/>
    </row>
    <row r="60" spans="1:27" ht="24.95" customHeight="1" x14ac:dyDescent="0.25">
      <c r="A60" s="43"/>
    </row>
    <row r="61" spans="1:27" ht="24.95" customHeight="1" x14ac:dyDescent="0.25">
      <c r="A61" s="43"/>
    </row>
    <row r="62" spans="1:27" ht="24.95" customHeight="1" x14ac:dyDescent="0.25">
      <c r="A62" s="9"/>
    </row>
    <row r="63" spans="1:27" ht="24.95" customHeight="1" x14ac:dyDescent="0.25">
      <c r="A63" s="9"/>
    </row>
    <row r="64" spans="1:27" ht="20.100000000000001" customHeight="1" x14ac:dyDescent="0.25">
      <c r="A64" s="9"/>
    </row>
    <row r="65" spans="1:1" ht="20.100000000000001" customHeight="1" x14ac:dyDescent="0.25">
      <c r="A65" s="9"/>
    </row>
    <row r="66" spans="1:1" ht="20.100000000000001" customHeight="1" x14ac:dyDescent="0.25">
      <c r="A66" s="9"/>
    </row>
    <row r="67" spans="1:1" ht="20.100000000000001" customHeight="1" x14ac:dyDescent="0.25">
      <c r="A67" s="9"/>
    </row>
    <row r="68" spans="1:1" ht="20.100000000000001" customHeight="1" x14ac:dyDescent="0.25">
      <c r="A68" s="9"/>
    </row>
    <row r="69" spans="1:1" ht="20.100000000000001" customHeight="1" x14ac:dyDescent="0.25">
      <c r="A69" s="9"/>
    </row>
    <row r="70" spans="1:1" ht="20.100000000000001" customHeight="1" x14ac:dyDescent="0.25">
      <c r="A70" s="9"/>
    </row>
    <row r="71" spans="1:1" ht="20.100000000000001" customHeight="1" x14ac:dyDescent="0.25">
      <c r="A71" s="9"/>
    </row>
    <row r="72" spans="1:1" ht="20.100000000000001" customHeight="1" x14ac:dyDescent="0.25">
      <c r="A72" s="9"/>
    </row>
    <row r="73" spans="1:1" ht="20.100000000000001" customHeight="1" x14ac:dyDescent="0.25">
      <c r="A73" s="9"/>
    </row>
    <row r="74" spans="1:1" ht="20.100000000000001" customHeight="1" x14ac:dyDescent="0.25">
      <c r="A74" s="9"/>
    </row>
    <row r="75" spans="1:1" ht="20.100000000000001" customHeight="1" x14ac:dyDescent="0.25">
      <c r="A75" s="9"/>
    </row>
    <row r="76" spans="1:1" ht="20.100000000000001" customHeight="1" x14ac:dyDescent="0.25">
      <c r="A76" s="9"/>
    </row>
    <row r="77" spans="1:1" ht="20.100000000000001" customHeight="1" x14ac:dyDescent="0.25">
      <c r="A77" s="9"/>
    </row>
    <row r="78" spans="1:1" ht="20.100000000000001" customHeight="1" x14ac:dyDescent="0.25">
      <c r="A78" s="9"/>
    </row>
    <row r="79" spans="1:1" ht="20.100000000000001" customHeight="1" x14ac:dyDescent="0.25">
      <c r="A79" s="9"/>
    </row>
    <row r="80" spans="1:1" ht="20.100000000000001" customHeight="1" x14ac:dyDescent="0.25">
      <c r="A80" s="9"/>
    </row>
    <row r="81" spans="1:1" ht="20.100000000000001" customHeight="1" x14ac:dyDescent="0.25">
      <c r="A81" s="9"/>
    </row>
    <row r="82" spans="1:1" ht="20.100000000000001" customHeight="1" x14ac:dyDescent="0.25">
      <c r="A82" s="9"/>
    </row>
    <row r="83" spans="1:1" ht="20.100000000000001" customHeight="1" x14ac:dyDescent="0.25">
      <c r="A83" s="9"/>
    </row>
    <row r="84" spans="1:1" ht="20.100000000000001" customHeight="1" x14ac:dyDescent="0.25">
      <c r="A84" s="9"/>
    </row>
    <row r="85" spans="1:1" ht="20.100000000000001" customHeight="1" x14ac:dyDescent="0.25">
      <c r="A85" s="9"/>
    </row>
    <row r="86" spans="1:1" ht="20.100000000000001" customHeight="1" x14ac:dyDescent="0.25">
      <c r="A86" s="9"/>
    </row>
    <row r="87" spans="1:1" ht="20.100000000000001" customHeight="1" x14ac:dyDescent="0.25">
      <c r="A87" s="9"/>
    </row>
    <row r="88" spans="1:1" ht="20.100000000000001" customHeight="1" x14ac:dyDescent="0.25">
      <c r="A88" s="9"/>
    </row>
    <row r="89" spans="1:1" ht="20.100000000000001" customHeight="1" x14ac:dyDescent="0.25">
      <c r="A89" s="9"/>
    </row>
    <row r="90" spans="1:1" ht="20.100000000000001" customHeight="1" x14ac:dyDescent="0.25">
      <c r="A90" s="9"/>
    </row>
    <row r="91" spans="1:1" ht="20.100000000000001" customHeight="1" x14ac:dyDescent="0.25">
      <c r="A91" s="9"/>
    </row>
    <row r="92" spans="1:1" ht="20.100000000000001" customHeight="1" x14ac:dyDescent="0.25">
      <c r="A92" s="9"/>
    </row>
    <row r="93" spans="1:1" ht="20.100000000000001" customHeight="1" x14ac:dyDescent="0.25">
      <c r="A93" s="9"/>
    </row>
    <row r="94" spans="1:1" ht="20.100000000000001" customHeight="1" x14ac:dyDescent="0.25">
      <c r="A94" s="9"/>
    </row>
    <row r="95" spans="1:1" ht="15" customHeight="1" x14ac:dyDescent="0.25">
      <c r="A95" s="9"/>
    </row>
    <row r="96" spans="1:1" ht="15" customHeight="1" x14ac:dyDescent="0.25">
      <c r="A96" s="9"/>
    </row>
    <row r="97" spans="1:1" ht="15" customHeight="1" x14ac:dyDescent="0.25">
      <c r="A97" s="9"/>
    </row>
    <row r="98" spans="1:1" ht="15" customHeight="1" x14ac:dyDescent="0.25">
      <c r="A98" s="9"/>
    </row>
    <row r="99" spans="1:1" ht="15" customHeight="1" x14ac:dyDescent="0.25">
      <c r="A99" s="9"/>
    </row>
    <row r="100" spans="1:1" ht="15" customHeight="1" x14ac:dyDescent="0.25">
      <c r="A100" s="9"/>
    </row>
    <row r="101" spans="1:1" ht="15" customHeight="1" x14ac:dyDescent="0.25">
      <c r="A101" s="9"/>
    </row>
    <row r="102" spans="1:1" ht="15" customHeight="1" x14ac:dyDescent="0.25">
      <c r="A102" s="9"/>
    </row>
    <row r="103" spans="1:1" ht="15" customHeight="1" x14ac:dyDescent="0.25">
      <c r="A103" s="9"/>
    </row>
    <row r="104" spans="1:1" ht="15" customHeight="1" x14ac:dyDescent="0.25">
      <c r="A104" s="9"/>
    </row>
    <row r="105" spans="1:1" ht="15" customHeight="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64" x14ac:dyDescent="0.25">
      <c r="A113" s="9"/>
    </row>
    <row r="114" spans="1:64" x14ac:dyDescent="0.25">
      <c r="A114" s="9"/>
    </row>
    <row r="115" spans="1:64" x14ac:dyDescent="0.25">
      <c r="A115" s="9"/>
      <c r="AH115" s="9"/>
      <c r="AI115" s="9"/>
      <c r="AJ115" s="9"/>
      <c r="AK115" s="9"/>
      <c r="AL115" s="9"/>
      <c r="AM115" s="9"/>
      <c r="AN115" s="9"/>
      <c r="AO115" s="9"/>
      <c r="AP115" s="9"/>
      <c r="AQ115" s="9"/>
      <c r="AR115" s="9"/>
      <c r="AS115" s="9"/>
      <c r="AT115" s="9"/>
      <c r="AU115" s="9"/>
      <c r="AV115" s="9"/>
      <c r="AW115" s="9"/>
      <c r="BD115" s="9"/>
      <c r="BE115" s="9"/>
      <c r="BF115" s="9"/>
      <c r="BG115" s="9"/>
      <c r="BH115" s="9"/>
      <c r="BI115" s="9"/>
      <c r="BJ115" s="9"/>
      <c r="BK115" s="9"/>
      <c r="BL115" s="9"/>
    </row>
    <row r="116" spans="1:64" ht="21" x14ac:dyDescent="0.35">
      <c r="A116" s="9"/>
      <c r="AH116" s="338"/>
      <c r="AI116" s="338"/>
      <c r="AJ116" s="338"/>
      <c r="AK116" s="338"/>
      <c r="AL116" s="338"/>
      <c r="AM116" s="338"/>
      <c r="AN116" s="338"/>
      <c r="AO116" s="338"/>
      <c r="AP116" s="338"/>
      <c r="AQ116" s="338"/>
      <c r="AR116" s="338"/>
      <c r="AS116" s="338"/>
      <c r="AT116" s="338"/>
      <c r="AU116" s="338"/>
      <c r="AV116" s="338"/>
      <c r="AW116" s="338"/>
      <c r="AX116" s="338"/>
      <c r="AY116" s="338"/>
      <c r="AZ116" s="31"/>
      <c r="BD116" s="12"/>
      <c r="BE116" s="338" t="s">
        <v>73</v>
      </c>
      <c r="BF116" s="338"/>
      <c r="BG116" s="338"/>
      <c r="BH116" s="338"/>
      <c r="BI116" s="338"/>
      <c r="BJ116" s="338"/>
      <c r="BK116" s="338"/>
      <c r="BL116" s="12"/>
    </row>
    <row r="117" spans="1:64" ht="21" x14ac:dyDescent="0.35">
      <c r="A117" s="9"/>
      <c r="AH117" s="18" t="s">
        <v>61</v>
      </c>
      <c r="AI117" s="17" t="s">
        <v>0</v>
      </c>
      <c r="AJ117" s="17"/>
      <c r="AK117" s="16" t="s">
        <v>95</v>
      </c>
      <c r="AL117" s="16" t="s">
        <v>95</v>
      </c>
      <c r="AM117" s="17" t="s">
        <v>97</v>
      </c>
      <c r="AN117" s="20" t="s">
        <v>68</v>
      </c>
      <c r="AO117" s="2" t="s">
        <v>92</v>
      </c>
      <c r="AP117" s="31"/>
      <c r="AR117" s="13"/>
      <c r="AU117" s="338" t="s">
        <v>72</v>
      </c>
      <c r="AV117" s="338" t="s">
        <v>4</v>
      </c>
      <c r="AW117" s="338"/>
      <c r="AX117" s="4" t="s">
        <v>58</v>
      </c>
      <c r="AY117" s="4" t="s">
        <v>63</v>
      </c>
      <c r="AZ117" s="4" t="s">
        <v>64</v>
      </c>
      <c r="BA117" s="4" t="s">
        <v>68</v>
      </c>
      <c r="BB117" s="13"/>
    </row>
    <row r="118" spans="1:64" ht="21" x14ac:dyDescent="0.35">
      <c r="A118" s="9"/>
      <c r="AH118" s="19" t="s">
        <v>62</v>
      </c>
      <c r="AI118" s="16" t="s">
        <v>1</v>
      </c>
      <c r="AJ118" s="16" t="s">
        <v>89</v>
      </c>
      <c r="AK118" s="35" t="s">
        <v>96</v>
      </c>
      <c r="AL118" s="36" t="s">
        <v>99</v>
      </c>
      <c r="AM118" s="34" t="s">
        <v>98</v>
      </c>
      <c r="AN118" s="21" t="s">
        <v>100</v>
      </c>
      <c r="AO118" s="2" t="s">
        <v>91</v>
      </c>
      <c r="AP118" s="31"/>
      <c r="AR118" s="13"/>
      <c r="AU118" s="338"/>
      <c r="AV118" s="8" t="s">
        <v>5</v>
      </c>
      <c r="AW118" s="8" t="s">
        <v>6</v>
      </c>
      <c r="AX118" s="4" t="s">
        <v>59</v>
      </c>
      <c r="AY118" s="7" t="s">
        <v>66</v>
      </c>
      <c r="AZ118" s="4" t="s">
        <v>65</v>
      </c>
      <c r="BA118" s="4" t="s">
        <v>69</v>
      </c>
      <c r="BB118" s="13"/>
    </row>
    <row r="119" spans="1:64" ht="30" x14ac:dyDescent="0.35">
      <c r="A119" s="9"/>
      <c r="AH119" s="5">
        <v>1</v>
      </c>
      <c r="AI119" s="5" t="s">
        <v>8</v>
      </c>
      <c r="AJ119" s="3" t="s">
        <v>93</v>
      </c>
      <c r="AK119" s="15">
        <v>1</v>
      </c>
      <c r="AL119" s="15">
        <v>1</v>
      </c>
      <c r="AM119" s="15">
        <v>1</v>
      </c>
      <c r="AN119" s="6">
        <v>44</v>
      </c>
      <c r="AO119" s="2" t="s">
        <v>90</v>
      </c>
      <c r="AP119" s="31"/>
      <c r="AR119" s="13"/>
      <c r="AU119" s="8">
        <v>1</v>
      </c>
      <c r="AV119" s="8">
        <v>18</v>
      </c>
      <c r="AW119" s="8">
        <v>30</v>
      </c>
      <c r="AX119" s="8">
        <v>98</v>
      </c>
      <c r="AY119" s="6">
        <v>24</v>
      </c>
      <c r="AZ119" s="6">
        <v>25</v>
      </c>
      <c r="BA119" s="6"/>
      <c r="BB119" s="13"/>
    </row>
    <row r="120" spans="1:64" ht="45" x14ac:dyDescent="0.35">
      <c r="A120" s="9"/>
      <c r="AH120" s="5">
        <v>2</v>
      </c>
      <c r="AI120" s="5" t="s">
        <v>9</v>
      </c>
      <c r="AJ120" s="3" t="s">
        <v>52</v>
      </c>
      <c r="AK120" s="15">
        <v>1</v>
      </c>
      <c r="AL120" s="15">
        <v>1</v>
      </c>
      <c r="AM120" s="15">
        <v>1</v>
      </c>
      <c r="AN120" s="6">
        <v>49</v>
      </c>
      <c r="AO120" s="2" t="s">
        <v>90</v>
      </c>
      <c r="AP120" s="31"/>
      <c r="AR120" s="13"/>
      <c r="AU120" s="8">
        <v>2</v>
      </c>
      <c r="AV120" s="8">
        <v>18</v>
      </c>
      <c r="AW120" s="8">
        <v>30</v>
      </c>
      <c r="AX120" s="8">
        <v>98</v>
      </c>
      <c r="AY120" s="6">
        <v>24</v>
      </c>
      <c r="AZ120" s="6">
        <v>25</v>
      </c>
      <c r="BA120" s="6"/>
      <c r="BB120" s="13"/>
    </row>
    <row r="121" spans="1:64" ht="30" x14ac:dyDescent="0.35">
      <c r="A121" s="9"/>
      <c r="AH121" s="5">
        <v>3</v>
      </c>
      <c r="AI121" s="5" t="s">
        <v>10</v>
      </c>
      <c r="AJ121" s="3" t="s">
        <v>49</v>
      </c>
      <c r="AK121" s="15">
        <v>1</v>
      </c>
      <c r="AL121" s="15">
        <v>1</v>
      </c>
      <c r="AM121" s="15">
        <v>1</v>
      </c>
      <c r="AN121" s="6">
        <v>50.4</v>
      </c>
      <c r="AO121" s="2" t="s">
        <v>90</v>
      </c>
      <c r="AP121" s="31"/>
      <c r="AR121" s="13"/>
      <c r="AU121" s="8">
        <v>133</v>
      </c>
      <c r="AV121" s="8">
        <v>32</v>
      </c>
      <c r="AW121" s="8">
        <v>41</v>
      </c>
      <c r="AX121" s="8">
        <v>80</v>
      </c>
      <c r="AY121" s="6">
        <v>118</v>
      </c>
      <c r="AZ121" s="6">
        <v>12</v>
      </c>
      <c r="BA121" s="6">
        <v>44.1</v>
      </c>
      <c r="BB121" s="13"/>
    </row>
    <row r="122" spans="1:64" ht="21" x14ac:dyDescent="0.35">
      <c r="A122" s="9"/>
      <c r="AH122" s="5">
        <v>4</v>
      </c>
      <c r="AI122" s="5" t="s">
        <v>11</v>
      </c>
      <c r="AJ122" s="3" t="s">
        <v>71</v>
      </c>
      <c r="AK122" s="15">
        <v>1</v>
      </c>
      <c r="AL122" s="15">
        <v>1</v>
      </c>
      <c r="AM122" s="15">
        <v>1</v>
      </c>
      <c r="AN122" s="6">
        <v>44.1</v>
      </c>
      <c r="AO122" s="2" t="s">
        <v>90</v>
      </c>
      <c r="AP122" s="32"/>
      <c r="AR122" s="13"/>
      <c r="AU122" s="8">
        <v>134</v>
      </c>
      <c r="AV122" s="8">
        <v>32</v>
      </c>
      <c r="AW122" s="8">
        <v>40</v>
      </c>
      <c r="AX122" s="8">
        <v>80</v>
      </c>
      <c r="AY122" s="6">
        <v>137</v>
      </c>
      <c r="AZ122" s="6">
        <v>9</v>
      </c>
      <c r="BA122" s="6">
        <v>44.1</v>
      </c>
      <c r="BB122" s="13"/>
    </row>
    <row r="123" spans="1:64" ht="45" x14ac:dyDescent="0.35">
      <c r="A123" s="9"/>
      <c r="AH123" s="5">
        <v>5</v>
      </c>
      <c r="AI123" s="5" t="s">
        <v>12</v>
      </c>
      <c r="AJ123" s="3" t="s">
        <v>51</v>
      </c>
      <c r="AK123" s="15">
        <v>1</v>
      </c>
      <c r="AL123" s="15">
        <v>1</v>
      </c>
      <c r="AM123" s="15">
        <v>1</v>
      </c>
      <c r="AN123" s="6">
        <v>50.4</v>
      </c>
      <c r="AO123" s="2" t="s">
        <v>90</v>
      </c>
      <c r="AP123" s="32"/>
      <c r="AR123" s="13"/>
      <c r="AU123" s="8">
        <v>135</v>
      </c>
      <c r="AV123" s="8">
        <v>32</v>
      </c>
      <c r="AW123" s="8">
        <v>40</v>
      </c>
      <c r="AX123" s="8">
        <v>80</v>
      </c>
      <c r="AY123" s="6">
        <v>150</v>
      </c>
      <c r="AZ123" s="6" t="s">
        <v>67</v>
      </c>
      <c r="BA123" s="6">
        <v>44.1</v>
      </c>
      <c r="BB123" s="13"/>
    </row>
    <row r="124" spans="1:64" ht="30" x14ac:dyDescent="0.35">
      <c r="A124" s="9"/>
      <c r="AH124" s="5">
        <v>6</v>
      </c>
      <c r="AI124" s="5" t="s">
        <v>13</v>
      </c>
      <c r="AJ124" s="3" t="s">
        <v>44</v>
      </c>
      <c r="AK124" s="15">
        <v>1</v>
      </c>
      <c r="AL124" s="15">
        <v>1</v>
      </c>
      <c r="AM124" s="15">
        <v>1</v>
      </c>
      <c r="AN124" s="6">
        <v>50.4</v>
      </c>
      <c r="AO124" s="2" t="s">
        <v>90</v>
      </c>
      <c r="AP124" s="32"/>
      <c r="AR124" s="13"/>
      <c r="AU124" s="8">
        <v>136</v>
      </c>
      <c r="AV124" s="8">
        <v>34</v>
      </c>
      <c r="AW124" s="8">
        <v>42</v>
      </c>
      <c r="AX124" s="8">
        <v>81</v>
      </c>
      <c r="AY124" s="6">
        <v>127</v>
      </c>
      <c r="AZ124" s="6">
        <v>2.1</v>
      </c>
      <c r="BA124" s="6">
        <v>50.4</v>
      </c>
      <c r="BB124" s="13"/>
    </row>
    <row r="125" spans="1:64" ht="30" x14ac:dyDescent="0.3">
      <c r="A125" s="9"/>
      <c r="AH125" s="5">
        <v>7</v>
      </c>
      <c r="AI125" s="5" t="s">
        <v>14</v>
      </c>
      <c r="AJ125" s="3" t="s">
        <v>56</v>
      </c>
      <c r="AK125" s="15">
        <v>1</v>
      </c>
      <c r="AL125" s="15">
        <v>1</v>
      </c>
      <c r="AM125" s="15">
        <v>1</v>
      </c>
      <c r="AN125" s="6">
        <v>44.1</v>
      </c>
      <c r="AO125" s="2" t="s">
        <v>90</v>
      </c>
      <c r="AP125" s="33"/>
      <c r="AQ125" s="27"/>
      <c r="AR125" s="13"/>
      <c r="AS125" s="28"/>
      <c r="AT125" s="28"/>
      <c r="AU125" s="8">
        <v>137</v>
      </c>
      <c r="AV125" s="8">
        <v>27</v>
      </c>
      <c r="AW125" s="8">
        <v>38</v>
      </c>
      <c r="AX125" s="8">
        <v>82</v>
      </c>
      <c r="AY125" s="6">
        <v>100</v>
      </c>
      <c r="AZ125" s="6">
        <v>10.5</v>
      </c>
      <c r="BA125" s="6">
        <v>44</v>
      </c>
      <c r="BB125" s="13"/>
    </row>
    <row r="126" spans="1:64" ht="30" x14ac:dyDescent="0.3">
      <c r="A126" s="9"/>
      <c r="AH126" s="5">
        <v>8</v>
      </c>
      <c r="AI126" s="5" t="s">
        <v>15</v>
      </c>
      <c r="AJ126" s="3" t="s">
        <v>93</v>
      </c>
      <c r="AK126" s="15">
        <v>1</v>
      </c>
      <c r="AL126" s="15">
        <v>1</v>
      </c>
      <c r="AM126" s="15">
        <v>1</v>
      </c>
      <c r="AN126" s="6">
        <v>42</v>
      </c>
      <c r="AO126" s="2" t="s">
        <v>90</v>
      </c>
      <c r="AP126" s="33"/>
      <c r="AQ126" s="27"/>
      <c r="AR126" s="28"/>
      <c r="AS126" s="28"/>
      <c r="AT126" s="28"/>
      <c r="AU126" s="8">
        <v>138</v>
      </c>
      <c r="AV126" s="8">
        <v>30</v>
      </c>
      <c r="AW126" s="8">
        <v>42</v>
      </c>
      <c r="AX126" s="8">
        <v>80</v>
      </c>
      <c r="AY126" s="10">
        <v>100</v>
      </c>
      <c r="AZ126" s="10">
        <v>10.5</v>
      </c>
      <c r="BA126" s="6">
        <v>49</v>
      </c>
      <c r="BB126" s="13"/>
    </row>
    <row r="127" spans="1:64" ht="30" x14ac:dyDescent="0.3">
      <c r="A127" s="9"/>
      <c r="AH127" s="5">
        <v>9</v>
      </c>
      <c r="AI127" s="5" t="s">
        <v>16</v>
      </c>
      <c r="AJ127" s="3" t="s">
        <v>50</v>
      </c>
      <c r="AK127" s="15">
        <v>1</v>
      </c>
      <c r="AL127" s="15">
        <v>1</v>
      </c>
      <c r="AM127" s="15">
        <v>1</v>
      </c>
      <c r="AN127" s="6">
        <v>63</v>
      </c>
      <c r="AO127" s="2" t="s">
        <v>90</v>
      </c>
      <c r="AP127" s="33"/>
      <c r="AQ127" s="27"/>
      <c r="AR127" s="28"/>
      <c r="AS127" s="28"/>
      <c r="AT127" s="13"/>
      <c r="AU127" s="8">
        <v>139</v>
      </c>
      <c r="AV127" s="8">
        <v>34</v>
      </c>
      <c r="AW127" s="8">
        <v>41</v>
      </c>
      <c r="AX127" s="8">
        <v>80</v>
      </c>
      <c r="AY127" s="6">
        <v>324</v>
      </c>
      <c r="AZ127" s="6">
        <v>13.74</v>
      </c>
      <c r="BA127" s="6">
        <v>50.4</v>
      </c>
      <c r="BB127" s="13"/>
    </row>
    <row r="128" spans="1:64" ht="30" x14ac:dyDescent="0.3">
      <c r="A128" s="9"/>
      <c r="AH128" s="5">
        <v>10</v>
      </c>
      <c r="AI128" s="5" t="s">
        <v>17</v>
      </c>
      <c r="AJ128" s="3" t="s">
        <v>45</v>
      </c>
      <c r="AK128" s="15">
        <v>1</v>
      </c>
      <c r="AL128" s="15">
        <v>1</v>
      </c>
      <c r="AM128" s="15">
        <v>1</v>
      </c>
      <c r="AN128" s="6">
        <v>49</v>
      </c>
      <c r="AO128" s="2" t="s">
        <v>90</v>
      </c>
      <c r="AP128" s="33"/>
      <c r="AQ128" s="27"/>
      <c r="AR128" s="24"/>
      <c r="AS128" s="28"/>
      <c r="AT128" s="13"/>
      <c r="AU128" s="8">
        <v>140</v>
      </c>
      <c r="AV128" s="8">
        <v>28</v>
      </c>
      <c r="AW128" s="8">
        <v>34</v>
      </c>
      <c r="AX128" s="8">
        <v>80</v>
      </c>
      <c r="AY128" s="10">
        <v>95</v>
      </c>
      <c r="AZ128" s="10">
        <v>10</v>
      </c>
      <c r="BA128" s="6">
        <v>44.1</v>
      </c>
      <c r="BB128" s="13"/>
    </row>
    <row r="129" spans="1:54" ht="45" x14ac:dyDescent="0.3">
      <c r="A129" s="9"/>
      <c r="AH129" s="5">
        <v>11</v>
      </c>
      <c r="AI129" s="5" t="s">
        <v>18</v>
      </c>
      <c r="AJ129" s="3" t="s">
        <v>52</v>
      </c>
      <c r="AK129" s="15">
        <v>1</v>
      </c>
      <c r="AL129" s="15">
        <v>1</v>
      </c>
      <c r="AM129" s="15">
        <v>1</v>
      </c>
      <c r="AN129" s="6">
        <v>44.1</v>
      </c>
      <c r="AO129" s="2" t="s">
        <v>90</v>
      </c>
      <c r="AP129" s="33"/>
      <c r="AQ129" s="27"/>
      <c r="AR129" s="24"/>
      <c r="AS129" s="28"/>
      <c r="AT129" s="13"/>
      <c r="AU129" s="8">
        <v>141</v>
      </c>
      <c r="AV129" s="8">
        <v>26</v>
      </c>
      <c r="AW129" s="8">
        <v>36</v>
      </c>
      <c r="AX129" s="8">
        <v>84</v>
      </c>
      <c r="AY129" s="6">
        <v>95</v>
      </c>
      <c r="AZ129" s="6">
        <v>10</v>
      </c>
      <c r="BA129" s="6">
        <v>50.4</v>
      </c>
      <c r="BB129" s="13"/>
    </row>
    <row r="130" spans="1:54" ht="30" x14ac:dyDescent="0.3">
      <c r="A130" s="9"/>
      <c r="AH130" s="5">
        <v>12</v>
      </c>
      <c r="AI130" s="5" t="s">
        <v>19</v>
      </c>
      <c r="AJ130" s="3" t="s">
        <v>7</v>
      </c>
      <c r="AK130" s="15">
        <v>1</v>
      </c>
      <c r="AL130" s="15">
        <v>1</v>
      </c>
      <c r="AM130" s="15">
        <v>1</v>
      </c>
      <c r="AN130" s="6">
        <v>44.1</v>
      </c>
      <c r="AO130" s="2" t="s">
        <v>90</v>
      </c>
      <c r="AP130" s="33"/>
      <c r="AQ130" s="27"/>
      <c r="AR130" s="24"/>
      <c r="AS130" s="28"/>
      <c r="AT130" s="13"/>
      <c r="AU130" s="8">
        <v>142</v>
      </c>
      <c r="AV130" s="8">
        <v>28</v>
      </c>
      <c r="AW130" s="8">
        <v>40</v>
      </c>
      <c r="AX130" s="8">
        <v>84</v>
      </c>
      <c r="AY130" s="6">
        <v>102</v>
      </c>
      <c r="AZ130" s="6">
        <v>10.5</v>
      </c>
      <c r="BA130" s="6">
        <v>50.4</v>
      </c>
      <c r="BB130" s="13"/>
    </row>
    <row r="131" spans="1:54" ht="45" x14ac:dyDescent="0.3">
      <c r="A131" s="9"/>
      <c r="AH131" s="5">
        <v>13</v>
      </c>
      <c r="AI131" s="5" t="s">
        <v>20</v>
      </c>
      <c r="AJ131" s="3" t="s">
        <v>78</v>
      </c>
      <c r="AK131" s="15">
        <v>1</v>
      </c>
      <c r="AL131" s="15">
        <v>1</v>
      </c>
      <c r="AM131" s="15">
        <v>1</v>
      </c>
      <c r="AN131" s="6">
        <v>50</v>
      </c>
      <c r="AO131" s="2" t="s">
        <v>90</v>
      </c>
      <c r="AP131" s="33"/>
      <c r="AQ131" s="27"/>
      <c r="AR131" s="24"/>
      <c r="AS131" s="28"/>
      <c r="AT131" s="13"/>
      <c r="AU131" s="8">
        <v>143</v>
      </c>
      <c r="AV131" s="8">
        <v>36</v>
      </c>
      <c r="AW131" s="8">
        <v>43</v>
      </c>
      <c r="AX131" s="8">
        <v>80</v>
      </c>
      <c r="AY131" s="6">
        <v>94</v>
      </c>
      <c r="AZ131" s="6">
        <v>13</v>
      </c>
      <c r="BA131" s="6">
        <v>44.1</v>
      </c>
      <c r="BB131" s="13"/>
    </row>
    <row r="132" spans="1:54" ht="20.25" x14ac:dyDescent="0.3">
      <c r="A132" s="9"/>
      <c r="AH132" s="5">
        <v>14</v>
      </c>
      <c r="AI132" s="5" t="s">
        <v>21</v>
      </c>
      <c r="AJ132" s="3" t="s">
        <v>70</v>
      </c>
      <c r="AK132" s="15">
        <v>1</v>
      </c>
      <c r="AL132" s="15">
        <v>1</v>
      </c>
      <c r="AM132" s="15">
        <v>1</v>
      </c>
      <c r="AN132" s="6">
        <v>90</v>
      </c>
      <c r="AO132" s="2" t="s">
        <v>90</v>
      </c>
      <c r="AP132" s="33"/>
      <c r="AQ132" s="29"/>
      <c r="AR132" s="26"/>
      <c r="AS132" s="30"/>
      <c r="AT132" s="25"/>
      <c r="AU132" s="23">
        <v>144</v>
      </c>
      <c r="AV132" s="8">
        <v>28</v>
      </c>
      <c r="AW132" s="8">
        <v>28</v>
      </c>
      <c r="AX132" s="8">
        <v>81</v>
      </c>
      <c r="AY132" s="6">
        <v>120</v>
      </c>
      <c r="AZ132" s="6">
        <v>12.5</v>
      </c>
      <c r="BA132" s="6">
        <v>42</v>
      </c>
      <c r="BB132" s="13"/>
    </row>
    <row r="133" spans="1:54" ht="30" x14ac:dyDescent="0.3">
      <c r="A133" s="9"/>
      <c r="AH133" s="5">
        <v>15</v>
      </c>
      <c r="AI133" s="5" t="s">
        <v>22</v>
      </c>
      <c r="AJ133" s="3" t="s">
        <v>7</v>
      </c>
      <c r="AK133" s="15">
        <v>1</v>
      </c>
      <c r="AL133" s="15">
        <v>1</v>
      </c>
      <c r="AM133" s="15">
        <v>1</v>
      </c>
      <c r="AN133" s="6">
        <v>44.1</v>
      </c>
      <c r="AO133" s="2" t="s">
        <v>90</v>
      </c>
      <c r="AP133" s="33"/>
      <c r="AQ133" s="27"/>
      <c r="AR133" s="24"/>
      <c r="AS133" s="28"/>
      <c r="AT133" s="13"/>
      <c r="AU133" s="8">
        <v>145</v>
      </c>
      <c r="AV133" s="8">
        <v>32</v>
      </c>
      <c r="AW133" s="8">
        <v>40</v>
      </c>
      <c r="AX133" s="8">
        <v>100</v>
      </c>
      <c r="AY133" s="6">
        <v>100</v>
      </c>
      <c r="AZ133" s="6">
        <v>1.4</v>
      </c>
      <c r="BA133" s="6">
        <v>56</v>
      </c>
      <c r="BB133" s="13"/>
    </row>
    <row r="134" spans="1:54" ht="30" x14ac:dyDescent="0.3">
      <c r="A134" s="9"/>
      <c r="AH134" s="5">
        <v>16</v>
      </c>
      <c r="AI134" s="5" t="s">
        <v>23</v>
      </c>
      <c r="AJ134" s="3" t="s">
        <v>45</v>
      </c>
      <c r="AK134" s="15">
        <v>1</v>
      </c>
      <c r="AL134" s="15">
        <v>1</v>
      </c>
      <c r="AM134" s="15">
        <v>1</v>
      </c>
      <c r="AN134" s="6">
        <v>44.1</v>
      </c>
      <c r="AO134" s="2" t="s">
        <v>90</v>
      </c>
      <c r="AP134" s="33"/>
      <c r="AQ134" s="27"/>
      <c r="AR134" s="24"/>
      <c r="AS134" s="28"/>
      <c r="AT134" s="13"/>
      <c r="AU134" s="8">
        <v>147</v>
      </c>
      <c r="AV134" s="8">
        <v>34</v>
      </c>
      <c r="AW134" s="8">
        <v>40</v>
      </c>
      <c r="AX134" s="8">
        <v>90</v>
      </c>
      <c r="AY134" s="6">
        <v>90</v>
      </c>
      <c r="AZ134" s="6">
        <v>21.3</v>
      </c>
      <c r="BA134" s="6">
        <v>45</v>
      </c>
      <c r="BB134" s="13"/>
    </row>
    <row r="135" spans="1:54" ht="30" x14ac:dyDescent="0.3">
      <c r="A135" s="9"/>
      <c r="AH135" s="5">
        <v>17</v>
      </c>
      <c r="AI135" s="5" t="s">
        <v>24</v>
      </c>
      <c r="AJ135" s="3" t="s">
        <v>75</v>
      </c>
      <c r="AK135" s="15">
        <v>1</v>
      </c>
      <c r="AL135" s="15">
        <v>1</v>
      </c>
      <c r="AM135" s="15">
        <v>1</v>
      </c>
      <c r="AN135" s="6">
        <v>40</v>
      </c>
      <c r="AO135" s="2" t="s">
        <v>90</v>
      </c>
      <c r="AP135" s="33"/>
      <c r="AQ135" s="27"/>
      <c r="AR135" s="24"/>
      <c r="AS135" s="28"/>
      <c r="AT135" s="13"/>
      <c r="AU135" s="8">
        <v>148</v>
      </c>
      <c r="AV135" s="8">
        <v>26</v>
      </c>
      <c r="AW135" s="8">
        <v>37</v>
      </c>
      <c r="AX135" s="8">
        <v>90</v>
      </c>
      <c r="AY135" s="6">
        <v>150</v>
      </c>
      <c r="AZ135" s="6">
        <v>5</v>
      </c>
      <c r="BA135" s="6">
        <v>44.1</v>
      </c>
      <c r="BB135" s="13"/>
    </row>
    <row r="136" spans="1:54" ht="45" x14ac:dyDescent="0.3">
      <c r="A136" s="9"/>
      <c r="AH136" s="5">
        <v>18</v>
      </c>
      <c r="AI136" s="5" t="s">
        <v>25</v>
      </c>
      <c r="AJ136" s="3" t="s">
        <v>52</v>
      </c>
      <c r="AK136" s="15">
        <v>1</v>
      </c>
      <c r="AL136" s="15">
        <v>1</v>
      </c>
      <c r="AM136" s="15">
        <v>1</v>
      </c>
      <c r="AN136" s="6">
        <v>52</v>
      </c>
      <c r="AO136" s="2" t="s">
        <v>90</v>
      </c>
      <c r="AP136" s="33"/>
      <c r="AQ136" s="27"/>
      <c r="AR136" s="24"/>
      <c r="AS136" s="28"/>
      <c r="AT136" s="13"/>
      <c r="AU136" s="8">
        <v>149</v>
      </c>
      <c r="AV136" s="8">
        <v>30</v>
      </c>
      <c r="AW136" s="8">
        <v>41</v>
      </c>
      <c r="AX136" s="8">
        <v>84</v>
      </c>
      <c r="AY136" s="6">
        <v>110</v>
      </c>
      <c r="AZ136" s="6">
        <v>13.5</v>
      </c>
      <c r="BA136" s="6">
        <v>44.1</v>
      </c>
      <c r="BB136" s="13"/>
    </row>
    <row r="137" spans="1:54" ht="45" x14ac:dyDescent="0.3">
      <c r="A137" s="9"/>
      <c r="AH137" s="5">
        <v>19</v>
      </c>
      <c r="AI137" s="5" t="s">
        <v>26</v>
      </c>
      <c r="AJ137" s="3" t="s">
        <v>76</v>
      </c>
      <c r="AK137" s="15">
        <v>1</v>
      </c>
      <c r="AL137" s="15">
        <v>1</v>
      </c>
      <c r="AM137" s="15">
        <v>1</v>
      </c>
      <c r="AN137" s="6">
        <v>44</v>
      </c>
      <c r="AO137" s="2" t="s">
        <v>90</v>
      </c>
      <c r="AP137" s="33"/>
      <c r="AQ137" s="29"/>
      <c r="AR137" s="26"/>
      <c r="AS137" s="30"/>
      <c r="AT137" s="25"/>
      <c r="AU137" s="8">
        <v>150</v>
      </c>
      <c r="AV137" s="8">
        <v>36</v>
      </c>
      <c r="AW137" s="8">
        <v>48</v>
      </c>
      <c r="AX137" s="8">
        <v>116</v>
      </c>
      <c r="AY137" s="6">
        <v>105</v>
      </c>
      <c r="AZ137" s="6">
        <v>11</v>
      </c>
      <c r="BA137" s="6">
        <v>50</v>
      </c>
      <c r="BB137" s="13"/>
    </row>
    <row r="138" spans="1:54" ht="45" x14ac:dyDescent="0.3">
      <c r="A138" s="9"/>
      <c r="AH138" s="5">
        <v>20</v>
      </c>
      <c r="AI138" s="5" t="s">
        <v>27</v>
      </c>
      <c r="AJ138" s="3" t="s">
        <v>53</v>
      </c>
      <c r="AK138" s="15">
        <v>1</v>
      </c>
      <c r="AL138" s="15">
        <v>1</v>
      </c>
      <c r="AM138" s="15">
        <v>1</v>
      </c>
      <c r="AN138" s="6">
        <v>44</v>
      </c>
      <c r="AO138" s="2" t="s">
        <v>90</v>
      </c>
      <c r="AP138" s="33"/>
      <c r="AQ138" s="29"/>
      <c r="AR138" s="26"/>
      <c r="AS138" s="30"/>
      <c r="AT138" s="25"/>
      <c r="AU138" s="8">
        <v>151</v>
      </c>
      <c r="AV138" s="8">
        <v>30</v>
      </c>
      <c r="AW138" s="8">
        <v>41</v>
      </c>
      <c r="AX138" s="8">
        <v>219</v>
      </c>
      <c r="AY138" s="6">
        <v>79</v>
      </c>
      <c r="AZ138" s="6">
        <v>19.75</v>
      </c>
      <c r="BA138" s="6">
        <v>63.7</v>
      </c>
      <c r="BB138" s="13"/>
    </row>
    <row r="139" spans="1:54" ht="30" x14ac:dyDescent="0.3">
      <c r="A139" s="9"/>
      <c r="AH139" s="5">
        <v>21</v>
      </c>
      <c r="AI139" s="5" t="s">
        <v>28</v>
      </c>
      <c r="AJ139" s="3" t="s">
        <v>74</v>
      </c>
      <c r="AK139" s="15">
        <v>1</v>
      </c>
      <c r="AL139" s="15">
        <v>1</v>
      </c>
      <c r="AM139" s="15">
        <v>1</v>
      </c>
      <c r="AN139" s="6">
        <v>42</v>
      </c>
      <c r="AO139" s="2" t="s">
        <v>90</v>
      </c>
      <c r="AP139" s="33"/>
      <c r="AQ139" s="27"/>
      <c r="AR139" s="24"/>
      <c r="AS139" s="28"/>
      <c r="AT139" s="13"/>
      <c r="AU139" s="8">
        <v>152</v>
      </c>
      <c r="AV139" s="8">
        <v>34</v>
      </c>
      <c r="AW139" s="8">
        <v>42</v>
      </c>
      <c r="AX139" s="8">
        <v>110</v>
      </c>
      <c r="AY139" s="6">
        <v>70</v>
      </c>
      <c r="AZ139" s="6" t="s">
        <v>67</v>
      </c>
      <c r="BA139" s="6">
        <v>44.1</v>
      </c>
      <c r="BB139" s="13"/>
    </row>
    <row r="140" spans="1:54" ht="30" x14ac:dyDescent="0.3">
      <c r="A140" s="9"/>
      <c r="AH140" s="5">
        <v>22</v>
      </c>
      <c r="AI140" s="5" t="s">
        <v>29</v>
      </c>
      <c r="AJ140" s="3" t="s">
        <v>47</v>
      </c>
      <c r="AK140" s="15">
        <v>1</v>
      </c>
      <c r="AL140" s="15">
        <v>1</v>
      </c>
      <c r="AM140" s="15">
        <v>1</v>
      </c>
      <c r="AN140" s="6">
        <v>48</v>
      </c>
      <c r="AO140" s="2" t="s">
        <v>90</v>
      </c>
      <c r="AP140" s="33"/>
      <c r="AQ140" s="27"/>
      <c r="AR140" s="24"/>
      <c r="AS140" s="28"/>
      <c r="AT140" s="13"/>
      <c r="AU140" s="8">
        <v>153</v>
      </c>
      <c r="AV140" s="8">
        <v>27</v>
      </c>
      <c r="AW140" s="8">
        <v>31</v>
      </c>
      <c r="AX140" s="8">
        <v>101</v>
      </c>
      <c r="AY140" s="6">
        <v>129</v>
      </c>
      <c r="AZ140" s="6">
        <v>13.3</v>
      </c>
      <c r="BA140" s="6">
        <v>44.1</v>
      </c>
      <c r="BB140" s="13"/>
    </row>
    <row r="141" spans="1:54" ht="30" x14ac:dyDescent="0.3">
      <c r="A141" s="9"/>
      <c r="AH141" s="5">
        <v>23</v>
      </c>
      <c r="AI141" s="5" t="s">
        <v>30</v>
      </c>
      <c r="AJ141" s="3" t="s">
        <v>57</v>
      </c>
      <c r="AK141" s="15">
        <v>1</v>
      </c>
      <c r="AL141" s="15">
        <v>1</v>
      </c>
      <c r="AM141" s="15">
        <v>1</v>
      </c>
      <c r="AN141" s="6">
        <v>36</v>
      </c>
      <c r="AO141" s="2" t="s">
        <v>90</v>
      </c>
      <c r="AP141" s="33"/>
      <c r="AQ141" s="27"/>
      <c r="AR141" s="24"/>
      <c r="AS141" s="28"/>
      <c r="AT141" s="13"/>
      <c r="AU141" s="8">
        <v>154</v>
      </c>
      <c r="AV141" s="8">
        <v>26</v>
      </c>
      <c r="AW141" s="8">
        <v>35</v>
      </c>
      <c r="AX141" s="8">
        <v>103</v>
      </c>
      <c r="AY141" s="6">
        <v>127</v>
      </c>
      <c r="AZ141" s="6">
        <v>13.6</v>
      </c>
      <c r="BA141" s="6">
        <v>40</v>
      </c>
      <c r="BB141" s="13"/>
    </row>
    <row r="142" spans="1:54" ht="30" x14ac:dyDescent="0.3">
      <c r="A142" s="9"/>
      <c r="AH142" s="5">
        <v>24</v>
      </c>
      <c r="AI142" s="5" t="s">
        <v>31</v>
      </c>
      <c r="AJ142" s="3" t="s">
        <v>57</v>
      </c>
      <c r="AK142" s="15">
        <v>1</v>
      </c>
      <c r="AL142" s="15">
        <v>1</v>
      </c>
      <c r="AM142" s="15">
        <v>1</v>
      </c>
      <c r="AN142" s="6">
        <v>44</v>
      </c>
      <c r="AO142" s="2" t="s">
        <v>90</v>
      </c>
      <c r="AP142" s="33"/>
      <c r="AQ142" s="27"/>
      <c r="AR142" s="24"/>
      <c r="AS142" s="28"/>
      <c r="AT142" s="13"/>
      <c r="AU142" s="8">
        <v>155</v>
      </c>
      <c r="AV142" s="8">
        <v>25</v>
      </c>
      <c r="AW142" s="8">
        <v>38</v>
      </c>
      <c r="AX142" s="8">
        <v>80</v>
      </c>
      <c r="AY142" s="6">
        <v>132</v>
      </c>
      <c r="AZ142" s="6">
        <v>12.6</v>
      </c>
      <c r="BA142" s="6">
        <v>52</v>
      </c>
      <c r="BB142" s="13"/>
    </row>
    <row r="143" spans="1:54" ht="30" x14ac:dyDescent="0.3">
      <c r="A143" s="9"/>
      <c r="AH143" s="5">
        <v>25</v>
      </c>
      <c r="AI143" s="5" t="s">
        <v>32</v>
      </c>
      <c r="AJ143" s="3" t="s">
        <v>45</v>
      </c>
      <c r="AK143" s="15">
        <v>1</v>
      </c>
      <c r="AL143" s="15">
        <v>1</v>
      </c>
      <c r="AM143" s="15">
        <v>1</v>
      </c>
      <c r="AN143" s="6">
        <v>58</v>
      </c>
      <c r="AO143" s="2" t="s">
        <v>90</v>
      </c>
      <c r="AP143" s="33"/>
      <c r="AQ143" s="27"/>
      <c r="AR143" s="24"/>
      <c r="AS143" s="28"/>
      <c r="AT143" s="13"/>
      <c r="AU143" s="8">
        <v>156</v>
      </c>
      <c r="AV143" s="8">
        <v>32</v>
      </c>
      <c r="AW143" s="8">
        <v>40</v>
      </c>
      <c r="AX143" s="8">
        <v>82</v>
      </c>
      <c r="AY143" s="6">
        <v>80</v>
      </c>
      <c r="AZ143" s="6">
        <v>16</v>
      </c>
      <c r="BA143" s="6">
        <v>44</v>
      </c>
      <c r="BB143" s="13"/>
    </row>
    <row r="144" spans="1:54" ht="30" x14ac:dyDescent="0.3">
      <c r="A144" s="9"/>
      <c r="AH144" s="5">
        <v>26</v>
      </c>
      <c r="AI144" s="5" t="s">
        <v>33</v>
      </c>
      <c r="AJ144" s="3" t="s">
        <v>46</v>
      </c>
      <c r="AK144" s="15">
        <v>1</v>
      </c>
      <c r="AL144" s="15">
        <v>1</v>
      </c>
      <c r="AM144" s="15">
        <v>1</v>
      </c>
      <c r="AN144" s="6">
        <v>44.1</v>
      </c>
      <c r="AO144" s="2" t="s">
        <v>90</v>
      </c>
      <c r="AP144" s="33"/>
      <c r="AQ144" s="27"/>
      <c r="AR144" s="24"/>
      <c r="AS144" s="28"/>
      <c r="AT144" s="13"/>
      <c r="AU144" s="8">
        <v>157</v>
      </c>
      <c r="AV144" s="8">
        <v>30</v>
      </c>
      <c r="AW144" s="8">
        <v>38</v>
      </c>
      <c r="AX144" s="8">
        <v>81</v>
      </c>
      <c r="AY144" s="6">
        <v>111.5</v>
      </c>
      <c r="AZ144" s="6">
        <v>14</v>
      </c>
      <c r="BA144" s="6">
        <v>44</v>
      </c>
      <c r="BB144" s="13"/>
    </row>
    <row r="145" spans="1:54" ht="30" x14ac:dyDescent="0.3">
      <c r="A145" s="9"/>
      <c r="AH145" s="5">
        <v>27</v>
      </c>
      <c r="AI145" s="5" t="s">
        <v>34</v>
      </c>
      <c r="AJ145" s="3" t="s">
        <v>7</v>
      </c>
      <c r="AK145" s="15">
        <v>1</v>
      </c>
      <c r="AL145" s="15">
        <v>1</v>
      </c>
      <c r="AM145" s="15">
        <v>1</v>
      </c>
      <c r="AN145" s="6">
        <v>44.1</v>
      </c>
      <c r="AO145" s="2" t="s">
        <v>90</v>
      </c>
      <c r="AP145" s="33"/>
      <c r="AQ145" s="27"/>
      <c r="AR145" s="24"/>
      <c r="AS145" s="28"/>
      <c r="AT145" s="13"/>
      <c r="AU145" s="8">
        <v>158</v>
      </c>
      <c r="AV145" s="8">
        <v>29</v>
      </c>
      <c r="AW145" s="8">
        <v>38</v>
      </c>
      <c r="AX145" s="8">
        <v>80</v>
      </c>
      <c r="AY145" s="6">
        <v>73</v>
      </c>
      <c r="AZ145" s="6">
        <v>6</v>
      </c>
      <c r="BA145" s="6">
        <v>42</v>
      </c>
      <c r="BB145" s="13"/>
    </row>
    <row r="146" spans="1:54" ht="45" x14ac:dyDescent="0.3">
      <c r="A146" s="9"/>
      <c r="AH146" s="5">
        <v>28</v>
      </c>
      <c r="AI146" s="5" t="s">
        <v>35</v>
      </c>
      <c r="AJ146" s="3" t="s">
        <v>53</v>
      </c>
      <c r="AK146" s="15">
        <v>1</v>
      </c>
      <c r="AL146" s="15">
        <v>1</v>
      </c>
      <c r="AM146" s="15">
        <v>1</v>
      </c>
      <c r="AN146" s="6">
        <v>44.1</v>
      </c>
      <c r="AO146" s="2" t="s">
        <v>90</v>
      </c>
      <c r="AP146" s="33"/>
      <c r="AQ146" s="27"/>
      <c r="AR146" s="24"/>
      <c r="AS146" s="28"/>
      <c r="AT146" s="13"/>
      <c r="AU146" s="8">
        <v>159</v>
      </c>
      <c r="AV146" s="8">
        <v>26</v>
      </c>
      <c r="AW146" s="8">
        <v>38</v>
      </c>
      <c r="AX146" s="8">
        <v>77</v>
      </c>
      <c r="AY146" s="6">
        <v>150</v>
      </c>
      <c r="AZ146" s="6">
        <v>9.1999999999999993</v>
      </c>
      <c r="BA146" s="6">
        <v>48</v>
      </c>
      <c r="BB146" s="13"/>
    </row>
    <row r="147" spans="1:54" ht="45" x14ac:dyDescent="0.3">
      <c r="A147" s="9"/>
      <c r="AH147" s="5">
        <v>29</v>
      </c>
      <c r="AI147" s="5" t="s">
        <v>36</v>
      </c>
      <c r="AJ147" s="3" t="s">
        <v>53</v>
      </c>
      <c r="AK147" s="15">
        <v>1</v>
      </c>
      <c r="AL147" s="15">
        <v>1</v>
      </c>
      <c r="AM147" s="15">
        <v>1</v>
      </c>
      <c r="AN147" s="6">
        <v>50</v>
      </c>
      <c r="AO147" s="2" t="s">
        <v>90</v>
      </c>
      <c r="AP147" s="33"/>
      <c r="AQ147" s="27"/>
      <c r="AR147" s="24"/>
      <c r="AS147" s="28"/>
      <c r="AT147" s="13"/>
      <c r="AU147" s="8">
        <v>160</v>
      </c>
      <c r="AV147" s="8">
        <v>27</v>
      </c>
      <c r="AW147" s="8">
        <v>35</v>
      </c>
      <c r="AX147" s="8">
        <v>85</v>
      </c>
      <c r="AY147" s="6">
        <v>120</v>
      </c>
      <c r="AZ147" s="6">
        <v>13.5</v>
      </c>
      <c r="BA147" s="6">
        <v>36</v>
      </c>
      <c r="BB147" s="13"/>
    </row>
    <row r="148" spans="1:54" ht="20.25" x14ac:dyDescent="0.3">
      <c r="A148" s="9"/>
      <c r="AH148" s="5">
        <v>30</v>
      </c>
      <c r="AI148" s="5" t="s">
        <v>37</v>
      </c>
      <c r="AJ148" s="3" t="s">
        <v>94</v>
      </c>
      <c r="AK148" s="15">
        <v>1</v>
      </c>
      <c r="AL148" s="15">
        <v>1</v>
      </c>
      <c r="AM148" s="15">
        <v>1</v>
      </c>
      <c r="AN148" s="6">
        <v>44.1</v>
      </c>
      <c r="AO148" s="2" t="s">
        <v>90</v>
      </c>
      <c r="AP148" s="33"/>
      <c r="AQ148" s="27"/>
      <c r="AR148" s="24"/>
      <c r="AS148" s="28"/>
      <c r="AT148" s="13"/>
      <c r="AU148" s="8">
        <v>161</v>
      </c>
      <c r="AV148" s="8">
        <v>26</v>
      </c>
      <c r="AW148" s="8">
        <v>38</v>
      </c>
      <c r="AX148" s="8">
        <v>58</v>
      </c>
      <c r="AY148" s="6">
        <v>98</v>
      </c>
      <c r="AZ148" s="6">
        <v>16</v>
      </c>
      <c r="BA148" s="6">
        <v>44</v>
      </c>
      <c r="BB148" s="13"/>
    </row>
    <row r="149" spans="1:54" ht="30" x14ac:dyDescent="0.3">
      <c r="A149" s="9"/>
      <c r="AH149" s="5">
        <v>31</v>
      </c>
      <c r="AI149" s="5" t="s">
        <v>38</v>
      </c>
      <c r="AJ149" s="3" t="s">
        <v>54</v>
      </c>
      <c r="AK149" s="15">
        <v>1</v>
      </c>
      <c r="AL149" s="15">
        <v>1</v>
      </c>
      <c r="AM149" s="15">
        <v>1</v>
      </c>
      <c r="AN149" s="6">
        <v>44.1</v>
      </c>
      <c r="AO149" s="2" t="s">
        <v>90</v>
      </c>
      <c r="AP149" s="33"/>
      <c r="AQ149" s="27"/>
      <c r="AR149" s="24"/>
      <c r="AS149" s="28"/>
      <c r="AT149" s="13"/>
      <c r="AU149" s="8">
        <v>162</v>
      </c>
      <c r="AV149" s="8">
        <v>32</v>
      </c>
      <c r="AW149" s="8">
        <v>40</v>
      </c>
      <c r="AX149" s="8">
        <v>80</v>
      </c>
      <c r="AY149" s="6">
        <v>114</v>
      </c>
      <c r="AZ149" s="6">
        <v>23</v>
      </c>
      <c r="BA149" s="6">
        <v>58</v>
      </c>
      <c r="BB149" s="13"/>
    </row>
    <row r="150" spans="1:54" ht="30" x14ac:dyDescent="0.3">
      <c r="A150" s="9"/>
      <c r="AH150" s="5">
        <v>32</v>
      </c>
      <c r="AI150" s="5" t="s">
        <v>39</v>
      </c>
      <c r="AJ150" s="3" t="s">
        <v>48</v>
      </c>
      <c r="AK150" s="15">
        <v>1</v>
      </c>
      <c r="AL150" s="15">
        <v>1</v>
      </c>
      <c r="AM150" s="15">
        <v>1</v>
      </c>
      <c r="AN150" s="6">
        <v>40</v>
      </c>
      <c r="AO150" s="2" t="s">
        <v>90</v>
      </c>
      <c r="AP150" s="33"/>
      <c r="AQ150" s="29"/>
      <c r="AR150" s="26"/>
      <c r="AS150" s="30"/>
      <c r="AT150" s="25"/>
      <c r="AU150" s="8">
        <v>163</v>
      </c>
      <c r="AV150" s="8">
        <v>30</v>
      </c>
      <c r="AW150" s="8">
        <v>37</v>
      </c>
      <c r="AX150" s="8">
        <v>82</v>
      </c>
      <c r="AY150" s="6">
        <v>95</v>
      </c>
      <c r="AZ150" s="6">
        <v>2</v>
      </c>
      <c r="BA150" s="6">
        <v>44.1</v>
      </c>
      <c r="BB150" s="13"/>
    </row>
    <row r="151" spans="1:54" ht="30" x14ac:dyDescent="0.3">
      <c r="A151" s="9"/>
      <c r="AH151" s="5">
        <v>33</v>
      </c>
      <c r="AI151" s="5" t="s">
        <v>40</v>
      </c>
      <c r="AJ151" s="3" t="s">
        <v>54</v>
      </c>
      <c r="AK151" s="15">
        <v>1</v>
      </c>
      <c r="AL151" s="15">
        <v>1</v>
      </c>
      <c r="AM151" s="15">
        <v>1</v>
      </c>
      <c r="AN151" s="6">
        <v>44.1</v>
      </c>
      <c r="AO151" s="2" t="s">
        <v>90</v>
      </c>
      <c r="AP151" s="33"/>
      <c r="AQ151" s="27"/>
      <c r="AR151" s="24"/>
      <c r="AS151" s="28"/>
      <c r="AT151" s="13"/>
      <c r="AU151" s="8">
        <v>164</v>
      </c>
      <c r="AV151" s="8">
        <v>28</v>
      </c>
      <c r="AW151" s="8">
        <v>39</v>
      </c>
      <c r="AX151" s="8">
        <v>83</v>
      </c>
      <c r="AY151" s="6">
        <v>105</v>
      </c>
      <c r="AZ151" s="6">
        <v>7</v>
      </c>
      <c r="BA151" s="6">
        <v>44.1</v>
      </c>
      <c r="BB151" s="13"/>
    </row>
    <row r="152" spans="1:54" ht="30" x14ac:dyDescent="0.3">
      <c r="A152" s="9"/>
      <c r="AH152" s="5">
        <v>34</v>
      </c>
      <c r="AI152" s="5" t="s">
        <v>41</v>
      </c>
      <c r="AJ152" s="3" t="s">
        <v>77</v>
      </c>
      <c r="AK152" s="15">
        <v>1</v>
      </c>
      <c r="AL152" s="15">
        <v>1</v>
      </c>
      <c r="AM152" s="15">
        <v>1</v>
      </c>
      <c r="AN152" s="6">
        <v>44.1</v>
      </c>
      <c r="AO152" s="2" t="s">
        <v>90</v>
      </c>
      <c r="AP152" s="33"/>
      <c r="AQ152" s="29"/>
      <c r="AR152" s="26"/>
      <c r="AS152" s="30"/>
      <c r="AT152" s="25"/>
      <c r="AU152" s="8">
        <v>165</v>
      </c>
      <c r="AV152" s="8">
        <v>23</v>
      </c>
      <c r="AW152" s="8">
        <v>35</v>
      </c>
      <c r="AX152" s="8">
        <v>98</v>
      </c>
      <c r="AY152" s="6">
        <v>110</v>
      </c>
      <c r="AZ152" s="6">
        <v>9</v>
      </c>
      <c r="BA152" s="6">
        <v>44.1</v>
      </c>
      <c r="BB152" s="13"/>
    </row>
    <row r="153" spans="1:54" ht="45" x14ac:dyDescent="0.3">
      <c r="A153" s="9"/>
      <c r="AH153" s="5">
        <v>35</v>
      </c>
      <c r="AI153" s="5" t="s">
        <v>42</v>
      </c>
      <c r="AJ153" s="3" t="s">
        <v>52</v>
      </c>
      <c r="AK153" s="15">
        <v>1</v>
      </c>
      <c r="AL153" s="15">
        <v>1</v>
      </c>
      <c r="AM153" s="15">
        <v>1</v>
      </c>
      <c r="AN153" s="6">
        <v>50</v>
      </c>
      <c r="AO153" s="2" t="s">
        <v>90</v>
      </c>
      <c r="AP153" s="33"/>
      <c r="AQ153" s="27"/>
      <c r="AR153" s="24"/>
      <c r="AS153" s="28"/>
      <c r="AT153" s="13"/>
      <c r="AU153" s="8">
        <v>166</v>
      </c>
      <c r="AV153" s="8">
        <v>26</v>
      </c>
      <c r="AW153" s="8">
        <v>36</v>
      </c>
      <c r="AX153" s="8">
        <v>84</v>
      </c>
      <c r="AY153" s="6">
        <v>92</v>
      </c>
      <c r="AZ153" s="6">
        <v>3</v>
      </c>
      <c r="BA153" s="6">
        <v>50</v>
      </c>
      <c r="BB153" s="13"/>
    </row>
    <row r="154" spans="1:54" ht="45" x14ac:dyDescent="0.3">
      <c r="A154" s="9"/>
      <c r="AH154" s="5">
        <v>36</v>
      </c>
      <c r="AI154" s="5" t="s">
        <v>43</v>
      </c>
      <c r="AJ154" s="3" t="s">
        <v>55</v>
      </c>
      <c r="AK154" s="15">
        <v>1</v>
      </c>
      <c r="AL154" s="15">
        <v>1</v>
      </c>
      <c r="AM154" s="15">
        <v>1</v>
      </c>
      <c r="AN154" s="6">
        <v>40</v>
      </c>
      <c r="AO154" s="2" t="s">
        <v>90</v>
      </c>
      <c r="AP154" s="33"/>
      <c r="AQ154" s="27"/>
      <c r="AR154" s="24"/>
      <c r="AS154" s="28"/>
      <c r="AT154" s="13"/>
      <c r="AU154" s="8">
        <v>167</v>
      </c>
      <c r="AV154" s="8">
        <v>27</v>
      </c>
      <c r="AW154" s="8">
        <v>37</v>
      </c>
      <c r="AX154" s="8">
        <v>80</v>
      </c>
      <c r="AY154" s="6">
        <v>136</v>
      </c>
      <c r="AZ154" s="6">
        <v>5.5</v>
      </c>
      <c r="BA154" s="6">
        <v>44.1</v>
      </c>
      <c r="BB154" s="13"/>
    </row>
    <row r="155" spans="1:54" x14ac:dyDescent="0.25">
      <c r="A155" s="9"/>
    </row>
    <row r="156" spans="1:54" x14ac:dyDescent="0.25">
      <c r="A156" s="9"/>
    </row>
    <row r="157" spans="1:54" x14ac:dyDescent="0.25">
      <c r="A157" s="9"/>
    </row>
    <row r="158" spans="1:54" x14ac:dyDescent="0.25">
      <c r="A158" s="9"/>
    </row>
    <row r="159" spans="1:54" x14ac:dyDescent="0.25">
      <c r="A159" s="9"/>
    </row>
    <row r="160" spans="1:54" x14ac:dyDescent="0.25">
      <c r="A160" s="9"/>
    </row>
    <row r="161" spans="1:63" x14ac:dyDescent="0.25">
      <c r="A161" s="9"/>
    </row>
    <row r="162" spans="1:63" x14ac:dyDescent="0.25">
      <c r="A162" s="9"/>
    </row>
    <row r="163" spans="1:63" x14ac:dyDescent="0.25">
      <c r="A163" s="9"/>
    </row>
    <row r="164" spans="1:63" x14ac:dyDescent="0.25">
      <c r="A164" s="9"/>
    </row>
    <row r="165" spans="1:63" x14ac:dyDescent="0.25">
      <c r="A165" s="9"/>
    </row>
    <row r="166" spans="1:63" x14ac:dyDescent="0.25">
      <c r="A166" s="9"/>
    </row>
    <row r="167" spans="1:63" x14ac:dyDescent="0.25">
      <c r="A167" s="9"/>
    </row>
    <row r="168" spans="1:63" x14ac:dyDescent="0.25">
      <c r="A168" s="9"/>
    </row>
    <row r="169" spans="1:63" x14ac:dyDescent="0.25">
      <c r="A169" s="9"/>
    </row>
    <row r="170" spans="1:63" x14ac:dyDescent="0.25">
      <c r="A170" s="9"/>
    </row>
    <row r="171" spans="1:63" x14ac:dyDescent="0.25">
      <c r="A171" s="9"/>
      <c r="AH171" s="9"/>
      <c r="AP171" s="9"/>
    </row>
    <row r="172" spans="1:63" x14ac:dyDescent="0.25">
      <c r="A172" s="9"/>
      <c r="AH172" s="9"/>
      <c r="AP172" s="9"/>
    </row>
    <row r="173" spans="1:63" x14ac:dyDescent="0.25">
      <c r="A173" s="9"/>
      <c r="AH173" s="9"/>
      <c r="AP173" s="9"/>
      <c r="AQ173" s="2" t="s">
        <v>79</v>
      </c>
      <c r="AR173" s="2" t="s">
        <v>92</v>
      </c>
      <c r="AS173" s="2" t="s">
        <v>80</v>
      </c>
      <c r="AT173" s="2" t="s">
        <v>81</v>
      </c>
      <c r="AU173" s="2"/>
      <c r="AV173" s="339" t="s">
        <v>82</v>
      </c>
      <c r="AW173" s="340"/>
      <c r="AX173" s="2" t="s">
        <v>83</v>
      </c>
      <c r="AY173" s="2" t="str">
        <f t="shared" ref="AY173:AY183" si="0">AQ173</f>
        <v>№</v>
      </c>
      <c r="AZ173" s="2" t="s">
        <v>84</v>
      </c>
      <c r="BA173" s="2" t="s">
        <v>3</v>
      </c>
      <c r="BB173" s="2" t="s">
        <v>85</v>
      </c>
      <c r="BC173" s="2" t="s">
        <v>84</v>
      </c>
      <c r="BD173" s="2" t="s">
        <v>3</v>
      </c>
      <c r="BE173" s="2" t="s">
        <v>86</v>
      </c>
      <c r="BF173" s="2" t="s">
        <v>84</v>
      </c>
      <c r="BG173" s="2" t="s">
        <v>3</v>
      </c>
      <c r="BH173" s="2" t="s">
        <v>86</v>
      </c>
      <c r="BI173" s="2" t="s">
        <v>84</v>
      </c>
      <c r="BJ173" s="2" t="s">
        <v>3</v>
      </c>
      <c r="BK173" s="2" t="s">
        <v>86</v>
      </c>
    </row>
    <row r="174" spans="1:63" x14ac:dyDescent="0.25">
      <c r="A174" s="9"/>
      <c r="AQ174" s="1"/>
      <c r="AR174" s="2" t="s">
        <v>91</v>
      </c>
      <c r="AS174" s="2" t="s">
        <v>87</v>
      </c>
      <c r="AT174" s="2" t="s">
        <v>88</v>
      </c>
      <c r="AU174" s="2" t="s">
        <v>89</v>
      </c>
      <c r="AV174" s="2" t="s">
        <v>5</v>
      </c>
      <c r="AW174" s="2" t="s">
        <v>6</v>
      </c>
      <c r="AX174" s="2" t="s">
        <v>60</v>
      </c>
      <c r="AY174" s="2">
        <f t="shared" si="0"/>
        <v>0</v>
      </c>
      <c r="AZ174" s="2" t="s">
        <v>2</v>
      </c>
      <c r="BA174" s="2"/>
      <c r="BB174" s="2"/>
      <c r="BC174" s="2" t="s">
        <v>2</v>
      </c>
      <c r="BD174" s="2"/>
      <c r="BE174" s="2"/>
      <c r="BF174" s="2" t="s">
        <v>2</v>
      </c>
      <c r="BG174" s="2"/>
      <c r="BH174" s="2"/>
      <c r="BI174" s="2" t="s">
        <v>2</v>
      </c>
      <c r="BJ174" s="2"/>
      <c r="BK174" s="2"/>
    </row>
    <row r="175" spans="1:63" x14ac:dyDescent="0.25">
      <c r="A175" s="9"/>
      <c r="AQ175" s="1" t="e">
        <f>#REF!</f>
        <v>#REF!</v>
      </c>
      <c r="AR175" s="2" t="e">
        <f>#REF!</f>
        <v>#REF!</v>
      </c>
      <c r="AS175" s="1" t="e">
        <f>#REF!</f>
        <v>#REF!</v>
      </c>
      <c r="AT175" s="1" t="e">
        <f>#REF!</f>
        <v>#REF!</v>
      </c>
      <c r="AU175" s="1" t="e">
        <f>#REF!</f>
        <v>#REF!</v>
      </c>
      <c r="AV175" s="1" t="e">
        <f>#REF!</f>
        <v>#REF!</v>
      </c>
      <c r="AW175" s="1" t="e">
        <f>#REF!</f>
        <v>#REF!</v>
      </c>
      <c r="AX175" s="1" t="e">
        <f>#REF!</f>
        <v>#REF!</v>
      </c>
      <c r="AY175" s="2" t="e">
        <f t="shared" si="0"/>
        <v>#REF!</v>
      </c>
      <c r="AZ175" s="1" t="e">
        <f>#REF!</f>
        <v>#REF!</v>
      </c>
      <c r="BA175" s="1" t="e">
        <f>#REF!</f>
        <v>#REF!</v>
      </c>
      <c r="BB175" s="22" t="e">
        <f>#REF!</f>
        <v>#REF!</v>
      </c>
      <c r="BC175" s="2"/>
      <c r="BD175" s="2"/>
      <c r="BE175" s="2"/>
      <c r="BF175" s="2"/>
      <c r="BG175" s="2"/>
      <c r="BH175" s="2"/>
      <c r="BI175" s="2"/>
      <c r="BJ175" s="2"/>
      <c r="BK175" s="2"/>
    </row>
    <row r="176" spans="1:63" x14ac:dyDescent="0.25">
      <c r="A176" s="9"/>
      <c r="AQ176" s="1" t="e">
        <f>#REF!</f>
        <v>#REF!</v>
      </c>
      <c r="AR176" s="2" t="e">
        <f>#REF!</f>
        <v>#REF!</v>
      </c>
      <c r="AS176" s="1" t="e">
        <f>#REF!</f>
        <v>#REF!</v>
      </c>
      <c r="AT176" s="1" t="e">
        <f>#REF!</f>
        <v>#REF!</v>
      </c>
      <c r="AU176" s="1" t="e">
        <f>#REF!</f>
        <v>#REF!</v>
      </c>
      <c r="AV176" s="1" t="e">
        <f>#REF!</f>
        <v>#REF!</v>
      </c>
      <c r="AW176" s="1" t="e">
        <f>#REF!</f>
        <v>#REF!</v>
      </c>
      <c r="AX176" s="1" t="e">
        <f>#REF!</f>
        <v>#REF!</v>
      </c>
      <c r="AY176" s="2" t="e">
        <f t="shared" si="0"/>
        <v>#REF!</v>
      </c>
      <c r="AZ176" s="1" t="e">
        <f>#REF!</f>
        <v>#REF!</v>
      </c>
      <c r="BA176" s="1" t="e">
        <f>#REF!</f>
        <v>#REF!</v>
      </c>
      <c r="BB176" s="22" t="e">
        <f>#REF!</f>
        <v>#REF!</v>
      </c>
      <c r="BC176" s="2"/>
      <c r="BD176" s="2"/>
      <c r="BE176" s="2"/>
      <c r="BF176" s="2"/>
      <c r="BG176" s="2"/>
      <c r="BH176" s="2"/>
      <c r="BI176" s="2"/>
      <c r="BJ176" s="2"/>
      <c r="BK176" s="2"/>
    </row>
    <row r="177" spans="1:63" x14ac:dyDescent="0.25">
      <c r="A177" s="9"/>
      <c r="AQ177" s="1" t="e">
        <f>#REF!</f>
        <v>#REF!</v>
      </c>
      <c r="AR177" s="2" t="e">
        <f>#REF!</f>
        <v>#REF!</v>
      </c>
      <c r="AS177" s="1" t="e">
        <f>#REF!</f>
        <v>#REF!</v>
      </c>
      <c r="AT177" s="1" t="e">
        <f>#REF!</f>
        <v>#REF!</v>
      </c>
      <c r="AU177" s="1" t="e">
        <f>#REF!</f>
        <v>#REF!</v>
      </c>
      <c r="AV177" s="1" t="e">
        <f>#REF!</f>
        <v>#REF!</v>
      </c>
      <c r="AW177" s="1" t="e">
        <f>#REF!</f>
        <v>#REF!</v>
      </c>
      <c r="AX177" s="1" t="e">
        <f>#REF!</f>
        <v>#REF!</v>
      </c>
      <c r="AY177" s="2" t="e">
        <f t="shared" si="0"/>
        <v>#REF!</v>
      </c>
      <c r="AZ177" s="1" t="e">
        <f>#REF!</f>
        <v>#REF!</v>
      </c>
      <c r="BA177" s="1" t="e">
        <f>#REF!</f>
        <v>#REF!</v>
      </c>
      <c r="BB177" s="22" t="e">
        <f>#REF!</f>
        <v>#REF!</v>
      </c>
      <c r="BC177" s="2"/>
      <c r="BD177" s="2"/>
      <c r="BE177" s="2"/>
      <c r="BF177" s="2"/>
      <c r="BG177" s="2"/>
      <c r="BH177" s="2"/>
      <c r="BI177" s="2"/>
      <c r="BJ177" s="2"/>
      <c r="BK177" s="2"/>
    </row>
    <row r="178" spans="1:63" x14ac:dyDescent="0.25">
      <c r="A178" s="9"/>
      <c r="AQ178" s="1" t="e">
        <f>#REF!</f>
        <v>#REF!</v>
      </c>
      <c r="AR178" s="2" t="e">
        <f>#REF!</f>
        <v>#REF!</v>
      </c>
      <c r="AS178" s="1" t="e">
        <f>#REF!</f>
        <v>#REF!</v>
      </c>
      <c r="AT178" s="1" t="e">
        <f>#REF!</f>
        <v>#REF!</v>
      </c>
      <c r="AU178" s="1" t="e">
        <f>#REF!</f>
        <v>#REF!</v>
      </c>
      <c r="AV178" s="1" t="e">
        <f>#REF!</f>
        <v>#REF!</v>
      </c>
      <c r="AW178" s="1" t="e">
        <f>#REF!</f>
        <v>#REF!</v>
      </c>
      <c r="AX178" s="1" t="e">
        <f>#REF!</f>
        <v>#REF!</v>
      </c>
      <c r="AY178" s="2" t="e">
        <f t="shared" si="0"/>
        <v>#REF!</v>
      </c>
      <c r="AZ178" s="1" t="e">
        <f>#REF!</f>
        <v>#REF!</v>
      </c>
      <c r="BA178" s="1" t="e">
        <f>#REF!</f>
        <v>#REF!</v>
      </c>
      <c r="BB178" s="22" t="e">
        <f>#REF!</f>
        <v>#REF!</v>
      </c>
      <c r="BC178" s="2"/>
      <c r="BD178" s="2"/>
      <c r="BE178" s="2"/>
      <c r="BF178" s="2"/>
      <c r="BG178" s="2"/>
      <c r="BH178" s="2"/>
      <c r="BI178" s="2"/>
      <c r="BJ178" s="2"/>
      <c r="BK178" s="2"/>
    </row>
    <row r="179" spans="1:63" x14ac:dyDescent="0.25">
      <c r="A179" s="9"/>
      <c r="AQ179" s="1" t="e">
        <f>#REF!</f>
        <v>#REF!</v>
      </c>
      <c r="AR179" s="2" t="e">
        <f>#REF!</f>
        <v>#REF!</v>
      </c>
      <c r="AS179" s="1" t="e">
        <f>#REF!</f>
        <v>#REF!</v>
      </c>
      <c r="AT179" s="1" t="e">
        <f>#REF!</f>
        <v>#REF!</v>
      </c>
      <c r="AU179" s="1" t="e">
        <f>#REF!</f>
        <v>#REF!</v>
      </c>
      <c r="AV179" s="1" t="e">
        <f>#REF!</f>
        <v>#REF!</v>
      </c>
      <c r="AW179" s="1" t="e">
        <f>#REF!</f>
        <v>#REF!</v>
      </c>
      <c r="AX179" s="1" t="e">
        <f>#REF!</f>
        <v>#REF!</v>
      </c>
      <c r="AY179" s="2" t="e">
        <f t="shared" si="0"/>
        <v>#REF!</v>
      </c>
      <c r="AZ179" s="1" t="e">
        <f>#REF!</f>
        <v>#REF!</v>
      </c>
      <c r="BA179" s="1" t="e">
        <f>#REF!</f>
        <v>#REF!</v>
      </c>
      <c r="BB179" s="22" t="e">
        <f>#REF!</f>
        <v>#REF!</v>
      </c>
      <c r="BC179" s="2"/>
      <c r="BD179" s="2"/>
      <c r="BE179" s="2"/>
      <c r="BF179" s="2"/>
      <c r="BG179" s="2"/>
      <c r="BH179" s="2"/>
      <c r="BI179" s="2"/>
      <c r="BJ179" s="2"/>
      <c r="BK179" s="2"/>
    </row>
    <row r="180" spans="1:63" x14ac:dyDescent="0.25">
      <c r="A180" s="9"/>
      <c r="AQ180" s="1" t="e">
        <f>#REF!</f>
        <v>#REF!</v>
      </c>
      <c r="AR180" s="2" t="e">
        <f>#REF!</f>
        <v>#REF!</v>
      </c>
      <c r="AS180" s="1" t="e">
        <f>#REF!</f>
        <v>#REF!</v>
      </c>
      <c r="AT180" s="1" t="e">
        <f>#REF!</f>
        <v>#REF!</v>
      </c>
      <c r="AU180" s="1" t="e">
        <f>#REF!</f>
        <v>#REF!</v>
      </c>
      <c r="AV180" s="1" t="e">
        <f>#REF!</f>
        <v>#REF!</v>
      </c>
      <c r="AW180" s="1" t="e">
        <f>#REF!</f>
        <v>#REF!</v>
      </c>
      <c r="AX180" s="1" t="e">
        <f>#REF!</f>
        <v>#REF!</v>
      </c>
      <c r="AY180" s="2" t="e">
        <f t="shared" si="0"/>
        <v>#REF!</v>
      </c>
      <c r="AZ180" s="1" t="e">
        <f>#REF!</f>
        <v>#REF!</v>
      </c>
      <c r="BA180" s="1" t="e">
        <f>#REF!</f>
        <v>#REF!</v>
      </c>
      <c r="BB180" s="22" t="e">
        <f>#REF!</f>
        <v>#REF!</v>
      </c>
      <c r="BC180" s="2"/>
      <c r="BD180" s="2"/>
      <c r="BE180" s="2"/>
      <c r="BF180" s="2"/>
      <c r="BG180" s="2"/>
      <c r="BH180" s="2"/>
      <c r="BI180" s="2"/>
      <c r="BJ180" s="2"/>
      <c r="BK180" s="2"/>
    </row>
    <row r="181" spans="1:63" x14ac:dyDescent="0.25">
      <c r="A181" s="9"/>
      <c r="AQ181" s="1" t="str">
        <f>AI119</f>
        <v>скважина 137</v>
      </c>
      <c r="AR181" s="2" t="str">
        <f>AO119</f>
        <v>пэ</v>
      </c>
      <c r="AS181" s="1">
        <f>AN119</f>
        <v>44</v>
      </c>
      <c r="AT181" s="1" t="e">
        <f>#REF!</f>
        <v>#REF!</v>
      </c>
      <c r="AU181" s="1" t="e">
        <f>#REF!</f>
        <v>#REF!</v>
      </c>
      <c r="AV181" s="1" t="e">
        <f>#REF!</f>
        <v>#REF!</v>
      </c>
      <c r="AW181" s="1" t="e">
        <f>#REF!</f>
        <v>#REF!</v>
      </c>
      <c r="AX181" s="1">
        <f>AK119</f>
        <v>1</v>
      </c>
      <c r="AY181" s="2" t="str">
        <f t="shared" si="0"/>
        <v>скважина 137</v>
      </c>
      <c r="AZ181" s="1" t="str">
        <f>AJ119</f>
        <v>PLP 10125/03</v>
      </c>
      <c r="BA181" s="1">
        <f>AL119</f>
        <v>1</v>
      </c>
      <c r="BB181" s="22" t="e">
        <f>#REF!</f>
        <v>#REF!</v>
      </c>
      <c r="BC181" s="2"/>
      <c r="BD181" s="2"/>
      <c r="BE181" s="2"/>
      <c r="BF181" s="2"/>
      <c r="BG181" s="2"/>
      <c r="BH181" s="2"/>
      <c r="BI181" s="2"/>
      <c r="BJ181" s="2"/>
      <c r="BK181" s="2"/>
    </row>
    <row r="182" spans="1:63" x14ac:dyDescent="0.25">
      <c r="A182" s="9"/>
      <c r="AQ182" s="1" t="str">
        <f>AI120</f>
        <v>скважина 138</v>
      </c>
      <c r="AR182" s="2" t="str">
        <f>AO120</f>
        <v>пэ</v>
      </c>
      <c r="AS182" s="1">
        <f>AN120</f>
        <v>49</v>
      </c>
      <c r="AT182" s="1" t="e">
        <f>#REF!</f>
        <v>#REF!</v>
      </c>
      <c r="AU182" s="1" t="e">
        <f>#REF!</f>
        <v>#REF!</v>
      </c>
      <c r="AV182" s="1" t="e">
        <f>#REF!</f>
        <v>#REF!</v>
      </c>
      <c r="AW182" s="1" t="e">
        <f>#REF!</f>
        <v>#REF!</v>
      </c>
      <c r="AX182" s="1">
        <f>AK120</f>
        <v>1</v>
      </c>
      <c r="AY182" s="2" t="str">
        <f t="shared" si="0"/>
        <v>скважина 138</v>
      </c>
      <c r="AZ182" s="1" t="str">
        <f>AJ120</f>
        <v>Caprari E8S64N-6/4K-V</v>
      </c>
      <c r="BA182" s="1">
        <f>AL120</f>
        <v>1</v>
      </c>
      <c r="BB182" s="22" t="e">
        <f>#REF!</f>
        <v>#REF!</v>
      </c>
      <c r="BC182" s="2"/>
      <c r="BD182" s="2"/>
      <c r="BE182" s="2"/>
      <c r="BF182" s="2"/>
      <c r="BG182" s="2"/>
      <c r="BH182" s="2"/>
      <c r="BI182" s="2"/>
      <c r="BJ182" s="2"/>
      <c r="BK182" s="2"/>
    </row>
    <row r="183" spans="1:63" ht="18.75" x14ac:dyDescent="0.3">
      <c r="A183" s="9"/>
      <c r="AI183" s="37">
        <v>1</v>
      </c>
      <c r="AJ183" s="38" t="s">
        <v>101</v>
      </c>
      <c r="AK183" s="39" t="s">
        <v>102</v>
      </c>
      <c r="AL183" s="39">
        <v>3</v>
      </c>
      <c r="AQ183" s="1" t="str">
        <f>AI121</f>
        <v>скважина 139</v>
      </c>
      <c r="AR183" s="2" t="str">
        <f>AO121</f>
        <v>пэ</v>
      </c>
      <c r="AS183" s="1">
        <f>AN121</f>
        <v>50.4</v>
      </c>
      <c r="AT183" s="1" t="e">
        <f>#REF!</f>
        <v>#REF!</v>
      </c>
      <c r="AU183" s="1" t="e">
        <f>#REF!</f>
        <v>#REF!</v>
      </c>
      <c r="AV183" s="1" t="e">
        <f>#REF!</f>
        <v>#REF!</v>
      </c>
      <c r="AW183" s="1" t="e">
        <f>#REF!</f>
        <v>#REF!</v>
      </c>
      <c r="AX183" s="1">
        <f>AK121</f>
        <v>1</v>
      </c>
      <c r="AY183" s="2" t="str">
        <f t="shared" si="0"/>
        <v>скважина 139</v>
      </c>
      <c r="AZ183" s="1" t="str">
        <f>AJ121</f>
        <v>DAB SS8A04</v>
      </c>
      <c r="BA183" s="1">
        <f>AL121</f>
        <v>1</v>
      </c>
      <c r="BB183" s="22" t="e">
        <f>#REF!</f>
        <v>#REF!</v>
      </c>
      <c r="BC183" s="2"/>
      <c r="BD183" s="2"/>
      <c r="BE183" s="2"/>
      <c r="BF183" s="2"/>
      <c r="BG183" s="2"/>
      <c r="BH183" s="2"/>
      <c r="BI183" s="2"/>
      <c r="BJ183" s="2"/>
      <c r="BK183" s="2"/>
    </row>
    <row r="184" spans="1:63" ht="18.75" x14ac:dyDescent="0.3">
      <c r="A184" s="9"/>
      <c r="AI184" s="40">
        <v>2</v>
      </c>
      <c r="AJ184" s="38" t="s">
        <v>103</v>
      </c>
      <c r="AK184" s="39" t="s">
        <v>102</v>
      </c>
      <c r="AL184" s="39">
        <v>26</v>
      </c>
      <c r="AZ184" s="9"/>
      <c r="BA184" s="9"/>
      <c r="BB184" s="9"/>
      <c r="BC184" s="9"/>
    </row>
    <row r="185" spans="1:63" ht="18.75" x14ac:dyDescent="0.3">
      <c r="A185" s="9"/>
      <c r="AI185" s="40">
        <v>3</v>
      </c>
      <c r="AJ185" s="38" t="s">
        <v>104</v>
      </c>
      <c r="AK185" s="39" t="s">
        <v>102</v>
      </c>
      <c r="AL185" s="39">
        <v>27</v>
      </c>
      <c r="AZ185" s="9"/>
      <c r="BA185" s="9"/>
      <c r="BB185" s="9"/>
      <c r="BC185" s="9"/>
    </row>
    <row r="186" spans="1:63" ht="18.75" x14ac:dyDescent="0.3">
      <c r="A186" s="9"/>
      <c r="AI186" s="37">
        <v>4</v>
      </c>
      <c r="AJ186" s="38" t="s">
        <v>105</v>
      </c>
      <c r="AK186" s="39" t="s">
        <v>102</v>
      </c>
      <c r="AL186" s="39">
        <v>6</v>
      </c>
      <c r="AZ186" s="9"/>
      <c r="BA186" s="9"/>
      <c r="BB186" s="9"/>
      <c r="BC186" s="9"/>
    </row>
    <row r="187" spans="1:63" ht="18.75" x14ac:dyDescent="0.3">
      <c r="A187" s="9"/>
      <c r="AI187" s="40">
        <v>5</v>
      </c>
      <c r="AJ187" s="38" t="s">
        <v>106</v>
      </c>
      <c r="AK187" s="39" t="s">
        <v>102</v>
      </c>
      <c r="AL187" s="39">
        <v>4</v>
      </c>
      <c r="AZ187" s="9"/>
      <c r="BA187" s="9"/>
      <c r="BB187" s="9"/>
      <c r="BC187" s="9"/>
    </row>
    <row r="188" spans="1:63" ht="18.75" x14ac:dyDescent="0.3">
      <c r="A188" s="9"/>
      <c r="AI188" s="40">
        <v>6</v>
      </c>
      <c r="AJ188" s="38" t="s">
        <v>107</v>
      </c>
      <c r="AK188" s="39" t="s">
        <v>102</v>
      </c>
      <c r="AL188" s="39">
        <v>4</v>
      </c>
      <c r="AZ188" s="9"/>
      <c r="BA188" s="9"/>
      <c r="BB188" s="9"/>
      <c r="BC188" s="9"/>
    </row>
    <row r="189" spans="1:63" ht="18.75" x14ac:dyDescent="0.3">
      <c r="A189" s="9"/>
      <c r="AI189" s="37">
        <v>7</v>
      </c>
      <c r="AJ189" s="38" t="s">
        <v>108</v>
      </c>
      <c r="AK189" s="39" t="s">
        <v>102</v>
      </c>
      <c r="AL189" s="39">
        <v>4</v>
      </c>
      <c r="AZ189" s="9"/>
      <c r="BA189" s="9"/>
      <c r="BB189" s="9"/>
      <c r="BC189" s="9"/>
    </row>
    <row r="190" spans="1:63" ht="18.75" x14ac:dyDescent="0.3">
      <c r="A190" s="9"/>
      <c r="AI190" s="40">
        <v>8</v>
      </c>
      <c r="AJ190" s="38" t="s">
        <v>109</v>
      </c>
      <c r="AK190" s="39" t="s">
        <v>102</v>
      </c>
      <c r="AL190" s="39">
        <v>4</v>
      </c>
      <c r="AZ190" s="9"/>
      <c r="BA190" s="9"/>
      <c r="BB190" s="9"/>
      <c r="BC190" s="9"/>
    </row>
    <row r="191" spans="1:63" ht="18.75" x14ac:dyDescent="0.3">
      <c r="A191" s="9"/>
      <c r="AI191" s="40">
        <v>9</v>
      </c>
      <c r="AJ191" s="38" t="s">
        <v>109</v>
      </c>
      <c r="AK191" s="39" t="s">
        <v>102</v>
      </c>
      <c r="AL191" s="39">
        <v>4</v>
      </c>
      <c r="AZ191" s="9"/>
      <c r="BA191" s="9"/>
      <c r="BB191" s="9"/>
      <c r="BC191" s="9"/>
    </row>
    <row r="192" spans="1:63" ht="18.75" x14ac:dyDescent="0.3">
      <c r="A192" s="9"/>
      <c r="AI192" s="37">
        <v>10</v>
      </c>
      <c r="AJ192" s="38" t="s">
        <v>110</v>
      </c>
      <c r="AK192" s="39" t="s">
        <v>102</v>
      </c>
      <c r="AL192" s="39">
        <v>4</v>
      </c>
      <c r="AZ192" s="9"/>
      <c r="BA192" s="9"/>
      <c r="BB192" s="9"/>
      <c r="BC192" s="9"/>
    </row>
    <row r="193" spans="1:55" ht="18.75" x14ac:dyDescent="0.3">
      <c r="A193" s="9"/>
      <c r="AI193" s="40">
        <v>11</v>
      </c>
      <c r="AJ193" s="38" t="s">
        <v>110</v>
      </c>
      <c r="AK193" s="39" t="s">
        <v>102</v>
      </c>
      <c r="AL193" s="39">
        <v>4</v>
      </c>
      <c r="AZ193" s="9"/>
      <c r="BA193" s="9"/>
      <c r="BB193" s="9"/>
      <c r="BC193" s="9"/>
    </row>
    <row r="194" spans="1:55" x14ac:dyDescent="0.25">
      <c r="A194" s="9"/>
      <c r="AI194" s="11"/>
      <c r="AJ194" s="14"/>
      <c r="AK194" s="9"/>
      <c r="AZ194" s="9"/>
      <c r="BA194" s="9"/>
      <c r="BB194" s="9"/>
      <c r="BC194" s="9"/>
    </row>
    <row r="195" spans="1:55" x14ac:dyDescent="0.25">
      <c r="A195" s="9"/>
      <c r="AI195" s="11"/>
      <c r="AJ195" s="14"/>
      <c r="AK195" s="9"/>
      <c r="AZ195" s="9"/>
      <c r="BA195" s="9"/>
      <c r="BB195" s="9"/>
      <c r="BC195" s="9"/>
    </row>
    <row r="196" spans="1:55" x14ac:dyDescent="0.25">
      <c r="A196" s="9"/>
    </row>
    <row r="197" spans="1:55" x14ac:dyDescent="0.25">
      <c r="A197" s="9"/>
    </row>
    <row r="198" spans="1:55" x14ac:dyDescent="0.25">
      <c r="A198" s="9"/>
    </row>
    <row r="199" spans="1:55" x14ac:dyDescent="0.25">
      <c r="A199" s="9"/>
    </row>
    <row r="200" spans="1:55" x14ac:dyDescent="0.25">
      <c r="A200" s="9"/>
    </row>
    <row r="201" spans="1:55" x14ac:dyDescent="0.25">
      <c r="A201" s="9"/>
    </row>
    <row r="202" spans="1:55" x14ac:dyDescent="0.25">
      <c r="A202" s="9"/>
    </row>
    <row r="203" spans="1:55" x14ac:dyDescent="0.25">
      <c r="A203" s="9"/>
    </row>
    <row r="204" spans="1:55" x14ac:dyDescent="0.25">
      <c r="A204" s="9"/>
    </row>
    <row r="205" spans="1:55" x14ac:dyDescent="0.25">
      <c r="A205" s="9"/>
    </row>
    <row r="206" spans="1:55" x14ac:dyDescent="0.25">
      <c r="A206" s="9"/>
    </row>
    <row r="207" spans="1:55" x14ac:dyDescent="0.25">
      <c r="A207" s="9"/>
    </row>
    <row r="208" spans="1:55" x14ac:dyDescent="0.25">
      <c r="A208" s="9"/>
    </row>
    <row r="209" spans="1:1" x14ac:dyDescent="0.25">
      <c r="A209" s="9"/>
    </row>
    <row r="210" spans="1:1" x14ac:dyDescent="0.25">
      <c r="A210" s="9"/>
    </row>
    <row r="211" spans="1:1" x14ac:dyDescent="0.25">
      <c r="A211" s="9"/>
    </row>
    <row r="212" spans="1:1" x14ac:dyDescent="0.25">
      <c r="A212" s="9"/>
    </row>
    <row r="213" spans="1:1" x14ac:dyDescent="0.25">
      <c r="A213" s="9"/>
    </row>
    <row r="214" spans="1:1" x14ac:dyDescent="0.25">
      <c r="A214" s="9"/>
    </row>
    <row r="215" spans="1:1" x14ac:dyDescent="0.25">
      <c r="A215" s="9"/>
    </row>
    <row r="216" spans="1:1" x14ac:dyDescent="0.25">
      <c r="A216" s="9"/>
    </row>
    <row r="217" spans="1:1" x14ac:dyDescent="0.25">
      <c r="A217" s="9"/>
    </row>
    <row r="218" spans="1:1" x14ac:dyDescent="0.25">
      <c r="A218" s="9"/>
    </row>
    <row r="219" spans="1:1" x14ac:dyDescent="0.25">
      <c r="A219" s="9"/>
    </row>
    <row r="220" spans="1:1" x14ac:dyDescent="0.25">
      <c r="A220" s="9"/>
    </row>
    <row r="221" spans="1:1" x14ac:dyDescent="0.25">
      <c r="A221" s="9"/>
    </row>
    <row r="222" spans="1:1" x14ac:dyDescent="0.25">
      <c r="A222" s="9"/>
    </row>
    <row r="223" spans="1:1" x14ac:dyDescent="0.25">
      <c r="A223" s="9"/>
    </row>
    <row r="224" spans="1:1" x14ac:dyDescent="0.25">
      <c r="A224" s="9"/>
    </row>
    <row r="225" spans="1:1" x14ac:dyDescent="0.25">
      <c r="A225" s="9"/>
    </row>
    <row r="226" spans="1:1" x14ac:dyDescent="0.25">
      <c r="A226" s="9"/>
    </row>
  </sheetData>
  <mergeCells count="62">
    <mergeCell ref="A3:H3"/>
    <mergeCell ref="A10:H10"/>
    <mergeCell ref="A5:H5"/>
    <mergeCell ref="A4:E4"/>
    <mergeCell ref="A18:H18"/>
    <mergeCell ref="A14:E14"/>
    <mergeCell ref="A15:E15"/>
    <mergeCell ref="A17:E17"/>
    <mergeCell ref="A6:E6"/>
    <mergeCell ref="A8:E8"/>
    <mergeCell ref="A9:E9"/>
    <mergeCell ref="A11:E11"/>
    <mergeCell ref="A13:E13"/>
    <mergeCell ref="A16:E16"/>
    <mergeCell ref="A57:E57"/>
    <mergeCell ref="A58:E58"/>
    <mergeCell ref="A12:E12"/>
    <mergeCell ref="A52:E52"/>
    <mergeCell ref="A53:E53"/>
    <mergeCell ref="A54:E54"/>
    <mergeCell ref="A55:E55"/>
    <mergeCell ref="A56:E56"/>
    <mergeCell ref="A47:E47"/>
    <mergeCell ref="A48:E48"/>
    <mergeCell ref="A49:E49"/>
    <mergeCell ref="A50:E50"/>
    <mergeCell ref="A51:E51"/>
    <mergeCell ref="A42:E42"/>
    <mergeCell ref="A43:E43"/>
    <mergeCell ref="A44:E44"/>
    <mergeCell ref="A46:E46"/>
    <mergeCell ref="A37:E37"/>
    <mergeCell ref="A38:E38"/>
    <mergeCell ref="A39:E39"/>
    <mergeCell ref="A40:E40"/>
    <mergeCell ref="A41:E41"/>
    <mergeCell ref="A33:E33"/>
    <mergeCell ref="A34:E34"/>
    <mergeCell ref="A35:E35"/>
    <mergeCell ref="A36:E36"/>
    <mergeCell ref="A45:E45"/>
    <mergeCell ref="A28:E28"/>
    <mergeCell ref="A29:E29"/>
    <mergeCell ref="A30:E30"/>
    <mergeCell ref="A31:E31"/>
    <mergeCell ref="A32:E32"/>
    <mergeCell ref="A1:H1"/>
    <mergeCell ref="A7:E7"/>
    <mergeCell ref="BE116:BK116"/>
    <mergeCell ref="AV173:AW173"/>
    <mergeCell ref="AH116:AY116"/>
    <mergeCell ref="AV117:AW117"/>
    <mergeCell ref="AU117:AU118"/>
    <mergeCell ref="A19:E19"/>
    <mergeCell ref="A20:E20"/>
    <mergeCell ref="A21:E21"/>
    <mergeCell ref="A23:E23"/>
    <mergeCell ref="A24:E24"/>
    <mergeCell ref="A25:E25"/>
    <mergeCell ref="A26:E26"/>
    <mergeCell ref="A22:H22"/>
    <mergeCell ref="A27:E27"/>
  </mergeCells>
  <pageMargins left="0.98425196850393704" right="0.19685039370078741" top="0.19685039370078741" bottom="0.19685039370078741" header="0" footer="0"/>
  <pageSetup paperSize="9"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50"/>
  <sheetViews>
    <sheetView zoomScale="70" zoomScaleNormal="70" workbookViewId="0">
      <selection activeCell="L48" sqref="L48"/>
    </sheetView>
  </sheetViews>
  <sheetFormatPr defaultRowHeight="15" x14ac:dyDescent="0.25"/>
  <cols>
    <col min="4" max="5" width="9.140625" customWidth="1"/>
    <col min="6" max="6" width="8.28515625" customWidth="1"/>
    <col min="7" max="7" width="20" customWidth="1"/>
    <col min="8" max="8" width="24.28515625" customWidth="1"/>
    <col min="9" max="9" width="45.42578125" customWidth="1"/>
    <col min="10" max="10" width="48.28515625" customWidth="1"/>
    <col min="11" max="11" width="27.42578125" customWidth="1"/>
    <col min="12" max="12" width="91.42578125" customWidth="1"/>
  </cols>
  <sheetData>
    <row r="3" spans="2:12" ht="22.5" x14ac:dyDescent="0.25">
      <c r="B3" s="348" t="s">
        <v>111</v>
      </c>
      <c r="C3" s="349"/>
      <c r="D3" s="349"/>
      <c r="E3" s="349"/>
      <c r="F3" s="349"/>
      <c r="G3" s="349"/>
      <c r="H3" s="349"/>
      <c r="I3" s="350"/>
    </row>
    <row r="4" spans="2:12" ht="20.25" x14ac:dyDescent="0.25">
      <c r="B4" s="357" t="s">
        <v>137</v>
      </c>
      <c r="C4" s="358"/>
      <c r="D4" s="358"/>
      <c r="E4" s="358"/>
      <c r="F4" s="359"/>
      <c r="G4" s="48" t="s">
        <v>147</v>
      </c>
      <c r="H4" s="48" t="s">
        <v>148</v>
      </c>
      <c r="I4" s="53" t="s">
        <v>135</v>
      </c>
    </row>
    <row r="5" spans="2:12" ht="20.25" x14ac:dyDescent="0.25">
      <c r="B5" s="354" t="s">
        <v>124</v>
      </c>
      <c r="C5" s="355"/>
      <c r="D5" s="355"/>
      <c r="E5" s="355"/>
      <c r="F5" s="355"/>
      <c r="G5" s="355"/>
      <c r="H5" s="355"/>
      <c r="I5" s="356"/>
    </row>
    <row r="6" spans="2:12" ht="18.75" x14ac:dyDescent="0.3">
      <c r="B6" s="366" t="s">
        <v>112</v>
      </c>
      <c r="C6" s="366"/>
      <c r="D6" s="366"/>
      <c r="E6" s="366"/>
      <c r="F6" s="366"/>
      <c r="G6" s="46"/>
      <c r="H6" s="46"/>
      <c r="I6" s="46"/>
      <c r="J6" t="s">
        <v>401</v>
      </c>
      <c r="K6" t="s">
        <v>170</v>
      </c>
      <c r="L6" t="str">
        <f xml:space="preserve"> "  Нельзя эксплуатировать скважину с производительностью, большей чем пасспортная = "&amp;Лист1!$F$7</f>
        <v xml:space="preserve">  Нельзя эксплуатировать скважину с производительностью, большей чем пасспортная = 145</v>
      </c>
    </row>
    <row r="7" spans="2:12" ht="18.75" x14ac:dyDescent="0.3">
      <c r="B7" s="366" t="s">
        <v>368</v>
      </c>
      <c r="C7" s="366"/>
      <c r="D7" s="366"/>
      <c r="E7" s="366"/>
      <c r="F7" s="366"/>
      <c r="G7" s="46"/>
      <c r="H7" s="46"/>
      <c r="I7" s="46"/>
      <c r="J7" t="s">
        <v>163</v>
      </c>
      <c r="K7" t="s">
        <v>170</v>
      </c>
      <c r="L7" t="str">
        <f>" Введите значение меньше 400"</f>
        <v xml:space="preserve"> Введите значение меньше 400</v>
      </c>
    </row>
    <row r="8" spans="2:12" ht="18.75" x14ac:dyDescent="0.3">
      <c r="B8" s="366" t="s">
        <v>114</v>
      </c>
      <c r="C8" s="366"/>
      <c r="D8" s="366"/>
      <c r="E8" s="366"/>
      <c r="F8" s="366"/>
      <c r="G8" s="46"/>
      <c r="H8" s="46"/>
      <c r="I8" s="46"/>
      <c r="J8" t="s">
        <v>163</v>
      </c>
      <c r="K8" t="s">
        <v>170</v>
      </c>
      <c r="L8" t="str">
        <f>" Статический уровень не может быть больше динамического = "&amp;Лист1!F9</f>
        <v xml:space="preserve"> Статический уровень не может быть больше динамического = 45</v>
      </c>
    </row>
    <row r="9" spans="2:12" ht="18.75" x14ac:dyDescent="0.3">
      <c r="B9" s="366" t="s">
        <v>115</v>
      </c>
      <c r="C9" s="366"/>
      <c r="D9" s="366"/>
      <c r="E9" s="366"/>
      <c r="F9" s="366"/>
      <c r="G9" s="46"/>
      <c r="H9" s="46"/>
      <c r="I9" s="46"/>
      <c r="J9" t="s">
        <v>163</v>
      </c>
      <c r="K9" t="s">
        <v>170</v>
      </c>
      <c r="L9" t="str">
        <f>" Динамический уровень не может быть меньше статического = "&amp;Лист1!F8</f>
        <v xml:space="preserve"> Динамический уровень не может быть меньше статического = 30</v>
      </c>
    </row>
    <row r="10" spans="2:12" ht="20.25" x14ac:dyDescent="0.25">
      <c r="B10" s="351" t="s">
        <v>125</v>
      </c>
      <c r="C10" s="352"/>
      <c r="D10" s="352"/>
      <c r="E10" s="352"/>
      <c r="F10" s="352"/>
      <c r="G10" s="352"/>
      <c r="H10" s="352"/>
      <c r="I10" s="353"/>
    </row>
    <row r="11" spans="2:12" ht="18.75" x14ac:dyDescent="0.25">
      <c r="B11" s="347" t="s">
        <v>116</v>
      </c>
      <c r="C11" s="347"/>
      <c r="D11" s="347"/>
      <c r="E11" s="347"/>
      <c r="F11" s="347"/>
      <c r="G11" s="45"/>
      <c r="H11" s="45"/>
      <c r="I11" s="45"/>
      <c r="J11" t="s">
        <v>163</v>
      </c>
      <c r="K11" t="s">
        <v>170</v>
      </c>
      <c r="L11" t="str">
        <f xml:space="preserve"> "Длина труб должна быть &lt; = " &amp;Лист1!F12 +Лист1!F13&amp;" м"</f>
        <v>Длина труб должна быть &lt; = 44 м</v>
      </c>
    </row>
    <row r="12" spans="2:12" ht="18.75" x14ac:dyDescent="0.25">
      <c r="B12" s="347" t="s">
        <v>119</v>
      </c>
      <c r="C12" s="347"/>
      <c r="D12" s="347"/>
      <c r="E12" s="347"/>
      <c r="F12" s="347"/>
      <c r="G12" s="45"/>
      <c r="H12" s="45"/>
      <c r="I12" s="45"/>
      <c r="J12" t="s">
        <v>163</v>
      </c>
      <c r="K12" t="s">
        <v>170</v>
      </c>
      <c r="L12" t="str">
        <f>"Ошибка ! - Самая глубокая скважина на участке ВВС №151 глубиной 216 м"</f>
        <v>Ошибка ! - Самая глубокая скважина на участке ВВС №151 глубиной 216 м</v>
      </c>
    </row>
    <row r="13" spans="2:12" ht="34.5" customHeight="1" x14ac:dyDescent="0.25">
      <c r="B13" s="363" t="s">
        <v>158</v>
      </c>
      <c r="C13" s="364"/>
      <c r="D13" s="364"/>
      <c r="E13" s="364"/>
      <c r="F13" s="365"/>
      <c r="G13" s="45"/>
      <c r="H13" s="45"/>
      <c r="I13" s="45"/>
      <c r="J13" s="327" t="s">
        <v>371</v>
      </c>
      <c r="K13" t="s">
        <v>170</v>
      </c>
      <c r="L13" t="str">
        <f>"На скважинах участка ВВС нет оголовков выше 7 м над уровнем земли"</f>
        <v>На скважинах участка ВВС нет оголовков выше 7 м над уровнем земли</v>
      </c>
    </row>
    <row r="14" spans="2:12" ht="18.75" x14ac:dyDescent="0.25">
      <c r="B14" s="347" t="s">
        <v>144</v>
      </c>
      <c r="C14" s="347"/>
      <c r="D14" s="347"/>
      <c r="E14" s="347"/>
      <c r="F14" s="347"/>
      <c r="G14" s="45"/>
      <c r="H14" s="45"/>
      <c r="I14" s="45"/>
      <c r="J14" t="s">
        <v>372</v>
      </c>
      <c r="K14" t="s">
        <v>170</v>
      </c>
      <c r="L14" t="s">
        <v>164</v>
      </c>
    </row>
    <row r="15" spans="2:12" ht="18.75" x14ac:dyDescent="0.25">
      <c r="B15" s="347" t="s">
        <v>120</v>
      </c>
      <c r="C15" s="347"/>
      <c r="D15" s="347"/>
      <c r="E15" s="347"/>
      <c r="F15" s="347"/>
      <c r="G15" s="45"/>
      <c r="H15" s="45"/>
      <c r="I15" s="45"/>
      <c r="J15" t="s">
        <v>163</v>
      </c>
      <c r="K15" t="s">
        <v>170</v>
      </c>
      <c r="L15" t="str">
        <f>"На участке ВВС самая большая разница между оголовком и обвязкой составляет 3 метра!"</f>
        <v>На участке ВВС самая большая разница между оголовком и обвязкой составляет 3 метра!</v>
      </c>
    </row>
    <row r="16" spans="2:12" ht="18.75" x14ac:dyDescent="0.25">
      <c r="B16" s="363" t="s">
        <v>162</v>
      </c>
      <c r="C16" s="364"/>
      <c r="D16" s="364"/>
      <c r="E16" s="364"/>
      <c r="F16" s="365"/>
      <c r="G16" s="45"/>
      <c r="H16" s="45"/>
      <c r="I16" s="45"/>
      <c r="J16" t="s">
        <v>163</v>
      </c>
      <c r="K16" t="s">
        <v>170</v>
      </c>
      <c r="L16" t="str">
        <f>"Что то многовато отводов !?"</f>
        <v>Что то многовато отводов !?</v>
      </c>
    </row>
    <row r="17" spans="2:12" ht="18.75" x14ac:dyDescent="0.25">
      <c r="B17" s="363" t="s">
        <v>121</v>
      </c>
      <c r="C17" s="364"/>
      <c r="D17" s="364"/>
      <c r="E17" s="364"/>
      <c r="F17" s="365"/>
      <c r="G17" s="45"/>
      <c r="H17" s="45"/>
      <c r="I17" s="45"/>
      <c r="J17" t="s">
        <v>373</v>
      </c>
      <c r="K17" t="s">
        <v>170</v>
      </c>
      <c r="L17" t="str">
        <f>"Внимание ! Большое давление. Проверьте манометр. Проверьте запорную арматуру на наличие поломки."</f>
        <v>Внимание ! Большое давление. Проверьте манометр. Проверьте запорную арматуру на наличие поломки.</v>
      </c>
    </row>
    <row r="18" spans="2:12" ht="20.25" x14ac:dyDescent="0.25">
      <c r="B18" s="360" t="s">
        <v>126</v>
      </c>
      <c r="C18" s="361"/>
      <c r="D18" s="361"/>
      <c r="E18" s="361"/>
      <c r="F18" s="361"/>
      <c r="G18" s="361"/>
      <c r="H18" s="361"/>
      <c r="I18" s="362"/>
    </row>
    <row r="19" spans="2:12" ht="18.75" x14ac:dyDescent="0.25">
      <c r="B19" s="341" t="s">
        <v>127</v>
      </c>
      <c r="C19" s="341"/>
      <c r="D19" s="341"/>
      <c r="E19" s="341"/>
      <c r="F19" s="341"/>
      <c r="G19" s="47"/>
      <c r="H19" s="47"/>
      <c r="I19" s="47"/>
      <c r="J19" t="s">
        <v>377</v>
      </c>
      <c r="K19" t="s">
        <v>170</v>
      </c>
      <c r="L19" t="s">
        <v>374</v>
      </c>
    </row>
    <row r="20" spans="2:12" ht="18.75" x14ac:dyDescent="0.25">
      <c r="B20" s="341" t="s">
        <v>128</v>
      </c>
      <c r="C20" s="341"/>
      <c r="D20" s="341"/>
      <c r="E20" s="341"/>
      <c r="F20" s="341"/>
      <c r="G20" s="47"/>
      <c r="H20" s="47"/>
      <c r="I20" s="47"/>
      <c r="J20" t="s">
        <v>163</v>
      </c>
      <c r="K20" t="s">
        <v>170</v>
      </c>
      <c r="L20" t="str">
        <f>"Двигатель не влезет. Его диаметр должен быть меньше чем диаметр обсадной колонны = "&amp;Лист1!F19&amp;" мм"</f>
        <v>Двигатель не влезет. Его диаметр должен быть меньше чем диаметр обсадной колонны = 377 мм</v>
      </c>
    </row>
    <row r="21" spans="2:12" ht="18.75" x14ac:dyDescent="0.25">
      <c r="B21" s="341" t="s">
        <v>132</v>
      </c>
      <c r="C21" s="341"/>
      <c r="D21" s="341"/>
      <c r="E21" s="341"/>
      <c r="F21" s="341"/>
      <c r="G21" s="47"/>
      <c r="H21" s="47"/>
      <c r="I21" s="47"/>
      <c r="J21" t="s">
        <v>375</v>
      </c>
      <c r="K21" t="s">
        <v>170</v>
      </c>
      <c r="L21" t="s">
        <v>376</v>
      </c>
    </row>
    <row r="22" spans="2:12" ht="20.25" x14ac:dyDescent="0.25">
      <c r="B22" s="375" t="s">
        <v>138</v>
      </c>
      <c r="C22" s="376"/>
      <c r="D22" s="376"/>
      <c r="E22" s="376"/>
      <c r="F22" s="376"/>
      <c r="G22" s="376"/>
      <c r="H22" s="376"/>
      <c r="I22" s="377"/>
      <c r="K22" t="s">
        <v>170</v>
      </c>
    </row>
    <row r="23" spans="2:12" ht="50.1" customHeight="1" x14ac:dyDescent="0.25">
      <c r="B23" s="370" t="s">
        <v>133</v>
      </c>
      <c r="C23" s="370"/>
      <c r="D23" s="370"/>
      <c r="E23" s="370"/>
      <c r="F23" s="370"/>
      <c r="G23" s="49">
        <v>4</v>
      </c>
      <c r="H23" s="49" t="s">
        <v>134</v>
      </c>
      <c r="I23" s="329" t="s">
        <v>397</v>
      </c>
    </row>
    <row r="24" spans="2:12" ht="50.1" customHeight="1" x14ac:dyDescent="0.25">
      <c r="B24" s="370" t="s">
        <v>123</v>
      </c>
      <c r="C24" s="370"/>
      <c r="D24" s="370"/>
      <c r="E24" s="370"/>
      <c r="F24" s="370"/>
      <c r="G24" s="49">
        <v>0.75</v>
      </c>
      <c r="H24" s="49"/>
      <c r="I24" s="329" t="s">
        <v>394</v>
      </c>
    </row>
    <row r="25" spans="2:12" ht="50.1" customHeight="1" x14ac:dyDescent="0.25">
      <c r="B25" s="370" t="s">
        <v>122</v>
      </c>
      <c r="C25" s="370"/>
      <c r="D25" s="370"/>
      <c r="E25" s="370"/>
      <c r="F25" s="370"/>
      <c r="G25" s="49">
        <v>1.05</v>
      </c>
      <c r="H25" s="49"/>
      <c r="I25" s="329" t="s">
        <v>395</v>
      </c>
    </row>
    <row r="26" spans="2:12" ht="50.1" customHeight="1" x14ac:dyDescent="0.25">
      <c r="B26" s="370" t="s">
        <v>139</v>
      </c>
      <c r="C26" s="370"/>
      <c r="D26" s="370"/>
      <c r="E26" s="370"/>
      <c r="F26" s="370"/>
      <c r="G26" s="49">
        <v>9.81</v>
      </c>
      <c r="H26" s="49" t="s">
        <v>131</v>
      </c>
      <c r="I26" s="329" t="s">
        <v>396</v>
      </c>
    </row>
    <row r="27" spans="2:12" ht="50.1" customHeight="1" x14ac:dyDescent="0.25">
      <c r="B27" s="370" t="s">
        <v>150</v>
      </c>
      <c r="C27" s="370"/>
      <c r="D27" s="370"/>
      <c r="E27" s="370"/>
      <c r="F27" s="370"/>
      <c r="G27" s="49">
        <v>0</v>
      </c>
      <c r="H27" s="49" t="s">
        <v>134</v>
      </c>
      <c r="I27" s="49" t="s">
        <v>385</v>
      </c>
    </row>
    <row r="28" spans="2:12" ht="50.1" customHeight="1" x14ac:dyDescent="0.25">
      <c r="B28" s="370" t="s">
        <v>149</v>
      </c>
      <c r="C28" s="370"/>
      <c r="D28" s="370"/>
      <c r="E28" s="370"/>
      <c r="F28" s="370"/>
      <c r="G28" s="49">
        <v>30</v>
      </c>
      <c r="H28" s="49" t="s">
        <v>134</v>
      </c>
      <c r="I28" s="49" t="s">
        <v>385</v>
      </c>
    </row>
    <row r="29" spans="2:12" ht="50.1" customHeight="1" x14ac:dyDescent="0.25">
      <c r="B29" s="370" t="s">
        <v>146</v>
      </c>
      <c r="C29" s="370"/>
      <c r="D29" s="370"/>
      <c r="E29" s="370"/>
      <c r="F29" s="370"/>
      <c r="G29" s="49">
        <v>0.1</v>
      </c>
      <c r="H29" s="49" t="s">
        <v>131</v>
      </c>
      <c r="I29" s="49" t="s">
        <v>385</v>
      </c>
    </row>
    <row r="30" spans="2:12" ht="50.1" customHeight="1" x14ac:dyDescent="0.25">
      <c r="B30" s="370" t="s">
        <v>379</v>
      </c>
      <c r="C30" s="370"/>
      <c r="D30" s="370"/>
      <c r="E30" s="370"/>
      <c r="F30" s="370"/>
      <c r="G30" s="49">
        <v>50</v>
      </c>
      <c r="H30" s="49" t="s">
        <v>131</v>
      </c>
      <c r="I30" s="329" t="s">
        <v>398</v>
      </c>
    </row>
    <row r="31" spans="2:12" ht="50.1" customHeight="1" x14ac:dyDescent="0.25">
      <c r="B31" s="371" t="s">
        <v>152</v>
      </c>
      <c r="C31" s="372"/>
      <c r="D31" s="372"/>
      <c r="E31" s="372"/>
      <c r="F31" s="373"/>
      <c r="G31" s="49">
        <v>1.5E-6</v>
      </c>
      <c r="H31" s="49" t="s">
        <v>153</v>
      </c>
      <c r="I31" s="49" t="s">
        <v>386</v>
      </c>
    </row>
    <row r="32" spans="2:12" ht="50.1" customHeight="1" x14ac:dyDescent="0.25">
      <c r="B32" s="371" t="s">
        <v>154</v>
      </c>
      <c r="C32" s="372"/>
      <c r="D32" s="372"/>
      <c r="E32" s="372"/>
      <c r="F32" s="373"/>
      <c r="G32" s="49">
        <v>5.0000000000000001E-3</v>
      </c>
      <c r="H32" s="49" t="s">
        <v>145</v>
      </c>
      <c r="I32" s="49" t="s">
        <v>386</v>
      </c>
    </row>
    <row r="33" spans="2:12" ht="50.1" customHeight="1" x14ac:dyDescent="0.25">
      <c r="B33" s="371" t="s">
        <v>155</v>
      </c>
      <c r="C33" s="372"/>
      <c r="D33" s="372"/>
      <c r="E33" s="372"/>
      <c r="F33" s="373"/>
      <c r="G33" s="49">
        <v>1</v>
      </c>
      <c r="H33" s="49" t="s">
        <v>145</v>
      </c>
      <c r="I33" s="49" t="s">
        <v>386</v>
      </c>
    </row>
    <row r="34" spans="2:12" ht="50.1" customHeight="1" x14ac:dyDescent="0.25">
      <c r="B34" s="371" t="s">
        <v>140</v>
      </c>
      <c r="C34" s="372"/>
      <c r="D34" s="372"/>
      <c r="E34" s="372"/>
      <c r="F34" s="373"/>
      <c r="G34" s="55">
        <f>0.3164/(G35^0.25)</f>
        <v>1.5180281748820629E-2</v>
      </c>
      <c r="H34" s="49"/>
      <c r="I34" s="49" t="s">
        <v>387</v>
      </c>
    </row>
    <row r="35" spans="2:12" ht="50.1" customHeight="1" x14ac:dyDescent="0.25">
      <c r="B35" s="371" t="s">
        <v>151</v>
      </c>
      <c r="C35" s="372"/>
      <c r="D35" s="372"/>
      <c r="E35" s="372"/>
      <c r="F35" s="373"/>
      <c r="G35" s="54">
        <f>(Лист1!F26*Лист1!F14/1000)/G31</f>
        <v>188723.75560273649</v>
      </c>
      <c r="H35" s="49"/>
      <c r="I35" s="49" t="s">
        <v>387</v>
      </c>
    </row>
    <row r="36" spans="2:12" ht="53.25" customHeight="1" x14ac:dyDescent="0.25">
      <c r="B36" s="370" t="s">
        <v>136</v>
      </c>
      <c r="C36" s="370"/>
      <c r="D36" s="370"/>
      <c r="E36" s="370"/>
      <c r="F36" s="370"/>
      <c r="G36" s="56">
        <f>(G34*Лист1!F11*Лист1!F26^2)/(Лист1!F14/1000*2*G26)</f>
        <v>0.84508529084948603</v>
      </c>
      <c r="H36" s="49" t="s">
        <v>117</v>
      </c>
      <c r="I36" s="49" t="s">
        <v>387</v>
      </c>
    </row>
    <row r="37" spans="2:12" ht="50.1" customHeight="1" x14ac:dyDescent="0.25">
      <c r="B37" s="370" t="s">
        <v>160</v>
      </c>
      <c r="C37" s="370"/>
      <c r="D37" s="370"/>
      <c r="E37" s="370"/>
      <c r="F37" s="370"/>
      <c r="G37" s="56">
        <f>(0.05+0.2*(Лист1!F14/(Лист1!F14*0.666)))/5</f>
        <v>7.0060060060060061E-2</v>
      </c>
      <c r="H37" s="49"/>
      <c r="I37" s="49" t="s">
        <v>387</v>
      </c>
    </row>
    <row r="38" spans="2:12" ht="67.5" customHeight="1" x14ac:dyDescent="0.25">
      <c r="B38" s="370" t="s">
        <v>161</v>
      </c>
      <c r="C38" s="370"/>
      <c r="D38" s="370"/>
      <c r="E38" s="370"/>
      <c r="F38" s="370"/>
      <c r="G38" s="56">
        <f>Лист1!F16*G43</f>
        <v>1</v>
      </c>
      <c r="H38" s="49" t="s">
        <v>117</v>
      </c>
      <c r="I38" s="329" t="s">
        <v>390</v>
      </c>
    </row>
    <row r="39" spans="2:12" ht="50.1" customHeight="1" x14ac:dyDescent="0.25">
      <c r="B39" s="370" t="s">
        <v>381</v>
      </c>
      <c r="C39" s="370"/>
      <c r="D39" s="370"/>
      <c r="E39" s="370"/>
      <c r="F39" s="370"/>
      <c r="G39" s="49">
        <v>0.5</v>
      </c>
      <c r="H39" s="49" t="s">
        <v>383</v>
      </c>
      <c r="I39" s="329" t="s">
        <v>400</v>
      </c>
    </row>
    <row r="40" spans="2:12" ht="50.1" customHeight="1" x14ac:dyDescent="0.25">
      <c r="B40" s="370" t="s">
        <v>382</v>
      </c>
      <c r="C40" s="370"/>
      <c r="D40" s="370"/>
      <c r="E40" s="370"/>
      <c r="F40" s="370"/>
      <c r="G40" s="49">
        <v>5</v>
      </c>
      <c r="H40" s="49" t="s">
        <v>383</v>
      </c>
      <c r="I40" s="329" t="s">
        <v>399</v>
      </c>
    </row>
    <row r="41" spans="2:12" ht="79.5" customHeight="1" x14ac:dyDescent="0.25">
      <c r="B41" s="370" t="s">
        <v>157</v>
      </c>
      <c r="C41" s="370"/>
      <c r="D41" s="370"/>
      <c r="E41" s="370"/>
      <c r="F41" s="370"/>
      <c r="G41" s="49">
        <v>2</v>
      </c>
      <c r="H41" s="49" t="s">
        <v>129</v>
      </c>
      <c r="I41" s="329" t="s">
        <v>389</v>
      </c>
    </row>
    <row r="42" spans="2:12" ht="79.5" customHeight="1" x14ac:dyDescent="0.25">
      <c r="B42" s="367" t="s">
        <v>392</v>
      </c>
      <c r="C42" s="368"/>
      <c r="D42" s="368"/>
      <c r="E42" s="368"/>
      <c r="F42" s="369"/>
      <c r="G42" s="328">
        <v>500</v>
      </c>
      <c r="H42" s="328" t="s">
        <v>145</v>
      </c>
      <c r="I42" s="329" t="s">
        <v>393</v>
      </c>
    </row>
    <row r="43" spans="2:12" ht="50.1" customHeight="1" x14ac:dyDescent="0.25">
      <c r="B43" s="367" t="s">
        <v>384</v>
      </c>
      <c r="C43" s="368"/>
      <c r="D43" s="368"/>
      <c r="E43" s="368"/>
      <c r="F43" s="369"/>
      <c r="G43" s="328">
        <v>0.2</v>
      </c>
      <c r="H43" s="328" t="s">
        <v>383</v>
      </c>
      <c r="I43" s="49" t="s">
        <v>388</v>
      </c>
    </row>
    <row r="44" spans="2:12" ht="22.5" x14ac:dyDescent="0.3">
      <c r="B44" s="343" t="s">
        <v>130</v>
      </c>
      <c r="C44" s="344"/>
      <c r="D44" s="344"/>
      <c r="E44" s="344"/>
      <c r="F44" s="344"/>
      <c r="G44" s="344"/>
      <c r="H44" s="344"/>
      <c r="I44" s="345"/>
    </row>
    <row r="45" spans="2:12" ht="44.25" customHeight="1" x14ac:dyDescent="0.25">
      <c r="B45" s="374" t="s">
        <v>143</v>
      </c>
      <c r="C45" s="374"/>
      <c r="D45" s="374"/>
      <c r="E45" s="374"/>
      <c r="F45" s="374"/>
      <c r="G45" s="50"/>
      <c r="H45" s="50"/>
      <c r="I45" s="50"/>
      <c r="J45" t="s">
        <v>167</v>
      </c>
      <c r="K45" t="s">
        <v>169</v>
      </c>
      <c r="L45" t="str">
        <f>"Нельзя эксплуатировать скважину  с производительностью насоса  больше дебита скважины = "&amp;Лист1!F7&amp;" м3/ч"</f>
        <v>Нельзя эксплуатировать скважину  с производительностью насоса  больше дебита скважины = 145 м3/ч</v>
      </c>
    </row>
    <row r="46" spans="2:12" ht="23.25" x14ac:dyDescent="0.25">
      <c r="B46" s="374" t="s">
        <v>142</v>
      </c>
      <c r="C46" s="374"/>
      <c r="D46" s="374"/>
      <c r="E46" s="374"/>
      <c r="F46" s="374"/>
      <c r="G46" s="51"/>
      <c r="H46" s="50"/>
      <c r="I46" s="50"/>
      <c r="J46" t="s">
        <v>165</v>
      </c>
      <c r="K46" t="s">
        <v>169</v>
      </c>
      <c r="L46" t="s">
        <v>391</v>
      </c>
    </row>
    <row r="47" spans="2:12" ht="23.25" x14ac:dyDescent="0.25">
      <c r="B47" s="374" t="s">
        <v>141</v>
      </c>
      <c r="C47" s="374"/>
      <c r="D47" s="374"/>
      <c r="E47" s="374"/>
      <c r="F47" s="374"/>
      <c r="G47" s="52"/>
      <c r="H47" s="50"/>
      <c r="I47" s="50"/>
      <c r="J47" t="s">
        <v>380</v>
      </c>
      <c r="K47" t="s">
        <v>169</v>
      </c>
      <c r="L47" t="str">
        <f>"Большая скорость обтекания водой. Больше "&amp; Лист2!G30&amp; "м/с"</f>
        <v>Большая скорость обтекания водой. Больше 50м/с</v>
      </c>
    </row>
    <row r="48" spans="2:12" ht="23.25" x14ac:dyDescent="0.25">
      <c r="B48" s="374" t="s">
        <v>159</v>
      </c>
      <c r="C48" s="374"/>
      <c r="D48" s="374"/>
      <c r="E48" s="374"/>
      <c r="F48" s="374"/>
      <c r="G48" s="52"/>
      <c r="H48" s="50"/>
      <c r="I48" s="50"/>
      <c r="J48" t="s">
        <v>168</v>
      </c>
      <c r="K48" t="s">
        <v>169</v>
      </c>
      <c r="L48" t="s">
        <v>378</v>
      </c>
    </row>
    <row r="49" spans="2:12" ht="23.25" x14ac:dyDescent="0.25">
      <c r="B49" s="374" t="s">
        <v>156</v>
      </c>
      <c r="C49" s="374"/>
      <c r="D49" s="374"/>
      <c r="E49" s="374"/>
      <c r="F49" s="374"/>
      <c r="G49" s="52"/>
      <c r="H49" s="50"/>
      <c r="I49" s="50"/>
      <c r="J49" t="s">
        <v>166</v>
      </c>
      <c r="K49" t="s">
        <v>169</v>
      </c>
      <c r="L49" t="str">
        <f>"Длина труб должна быть не больше  "&amp;Лист1!F12-2</f>
        <v>Длина труб должна быть не больше  44</v>
      </c>
    </row>
    <row r="50" spans="2:12" ht="23.25" x14ac:dyDescent="0.25">
      <c r="B50" s="374" t="s">
        <v>133</v>
      </c>
      <c r="C50" s="374"/>
      <c r="D50" s="374"/>
      <c r="E50" s="374"/>
      <c r="F50" s="374"/>
      <c r="G50" s="52"/>
      <c r="H50" s="50"/>
      <c r="I50" s="50"/>
      <c r="J50" t="s">
        <v>163</v>
      </c>
      <c r="K50" t="s">
        <v>169</v>
      </c>
      <c r="L50" t="str">
        <f>"Максимальная температура "&amp; Лист2!G28&amp;" градусов по Цельсию"</f>
        <v>Максимальная температура 30 градусов по Цельсию</v>
      </c>
    </row>
  </sheetData>
  <mergeCells count="48">
    <mergeCell ref="B9:F9"/>
    <mergeCell ref="B3:I3"/>
    <mergeCell ref="B4:F4"/>
    <mergeCell ref="B5:I5"/>
    <mergeCell ref="B6:F6"/>
    <mergeCell ref="B8:F8"/>
    <mergeCell ref="B7:F7"/>
    <mergeCell ref="B20:F20"/>
    <mergeCell ref="B21:F21"/>
    <mergeCell ref="B22:I22"/>
    <mergeCell ref="B15:F15"/>
    <mergeCell ref="B16:F16"/>
    <mergeCell ref="B17:F17"/>
    <mergeCell ref="B18:I18"/>
    <mergeCell ref="B19:F19"/>
    <mergeCell ref="B10:I10"/>
    <mergeCell ref="B11:F11"/>
    <mergeCell ref="B12:F12"/>
    <mergeCell ref="B13:F13"/>
    <mergeCell ref="B14:F14"/>
    <mergeCell ref="B50:F50"/>
    <mergeCell ref="B44:I44"/>
    <mergeCell ref="B45:F45"/>
    <mergeCell ref="B46:F46"/>
    <mergeCell ref="B47:F47"/>
    <mergeCell ref="B48:F48"/>
    <mergeCell ref="B49:F49"/>
    <mergeCell ref="B29:F29"/>
    <mergeCell ref="B27:F27"/>
    <mergeCell ref="B28:F28"/>
    <mergeCell ref="B23:F23"/>
    <mergeCell ref="B24:F24"/>
    <mergeCell ref="B25:F25"/>
    <mergeCell ref="B26:F26"/>
    <mergeCell ref="B43:F43"/>
    <mergeCell ref="B39:F39"/>
    <mergeCell ref="B40:F40"/>
    <mergeCell ref="B30:F30"/>
    <mergeCell ref="B41:F41"/>
    <mergeCell ref="B36:F36"/>
    <mergeCell ref="B35:F35"/>
    <mergeCell ref="B32:F32"/>
    <mergeCell ref="B31:F31"/>
    <mergeCell ref="B33:F33"/>
    <mergeCell ref="B34:F34"/>
    <mergeCell ref="B37:F37"/>
    <mergeCell ref="B38:F38"/>
    <mergeCell ref="B42:F4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X60"/>
  <sheetViews>
    <sheetView topLeftCell="W1" workbookViewId="0">
      <selection activeCell="AW12" sqref="AW12"/>
    </sheetView>
  </sheetViews>
  <sheetFormatPr defaultRowHeight="15" x14ac:dyDescent="0.25"/>
  <cols>
    <col min="4" max="4" width="22.28515625" customWidth="1"/>
    <col min="6" max="6" width="16.42578125" customWidth="1"/>
    <col min="21" max="21" width="18" customWidth="1"/>
    <col min="27" max="27" width="27.42578125" customWidth="1"/>
    <col min="33" max="33" width="19.140625" customWidth="1"/>
    <col min="39" max="39" width="20" customWidth="1"/>
    <col min="50" max="50" width="17.85546875" customWidth="1"/>
  </cols>
  <sheetData>
    <row r="3" spans="2:50" ht="15.75" thickBot="1" x14ac:dyDescent="0.3"/>
    <row r="4" spans="2:50" ht="19.5" thickBot="1" x14ac:dyDescent="0.35">
      <c r="B4" s="386" t="s">
        <v>173</v>
      </c>
      <c r="C4" s="387"/>
      <c r="D4" s="387"/>
      <c r="E4" s="387"/>
      <c r="F4" s="387"/>
      <c r="G4" s="387"/>
      <c r="H4" s="387"/>
      <c r="I4" s="387"/>
      <c r="J4" s="388"/>
      <c r="K4" s="389" t="s">
        <v>174</v>
      </c>
      <c r="L4" s="390"/>
      <c r="M4" s="390"/>
      <c r="N4" s="391"/>
      <c r="O4" s="392" t="s">
        <v>175</v>
      </c>
      <c r="P4" s="393"/>
      <c r="Q4" s="393"/>
      <c r="R4" s="393"/>
      <c r="S4" s="393"/>
      <c r="T4" s="393"/>
      <c r="U4" s="393"/>
      <c r="V4" s="393"/>
      <c r="W4" s="393"/>
      <c r="X4" s="393"/>
      <c r="Y4" s="394"/>
      <c r="Z4" s="57"/>
      <c r="AA4" s="395" t="s">
        <v>176</v>
      </c>
      <c r="AB4" s="395"/>
      <c r="AC4" s="395"/>
      <c r="AD4" s="395"/>
      <c r="AE4" s="395"/>
      <c r="AF4" s="395"/>
      <c r="AG4" s="395"/>
      <c r="AH4" s="395"/>
      <c r="AI4" s="395"/>
      <c r="AJ4" s="395"/>
      <c r="AK4" s="395"/>
      <c r="AL4" s="395"/>
      <c r="AM4" s="58"/>
      <c r="AN4" s="396" t="s">
        <v>177</v>
      </c>
      <c r="AO4" s="396"/>
      <c r="AP4" s="396"/>
      <c r="AQ4" s="397"/>
      <c r="AR4" s="398" t="s">
        <v>178</v>
      </c>
      <c r="AS4" s="399"/>
      <c r="AT4" s="399"/>
      <c r="AU4" s="399"/>
      <c r="AV4" s="399"/>
      <c r="AW4" s="399"/>
      <c r="AX4" s="399"/>
    </row>
    <row r="5" spans="2:50" ht="18.75" x14ac:dyDescent="0.3">
      <c r="B5" s="59" t="s">
        <v>61</v>
      </c>
      <c r="C5" s="60" t="s">
        <v>79</v>
      </c>
      <c r="D5" s="61" t="s">
        <v>179</v>
      </c>
      <c r="E5" s="62" t="s">
        <v>180</v>
      </c>
      <c r="F5" s="63" t="s">
        <v>181</v>
      </c>
      <c r="G5" s="64" t="s">
        <v>182</v>
      </c>
      <c r="H5" s="64" t="s">
        <v>183</v>
      </c>
      <c r="I5" s="64" t="s">
        <v>184</v>
      </c>
      <c r="J5" s="65" t="s">
        <v>185</v>
      </c>
      <c r="K5" s="66" t="s">
        <v>326</v>
      </c>
      <c r="L5" s="67" t="s">
        <v>186</v>
      </c>
      <c r="M5" s="68" t="s">
        <v>187</v>
      </c>
      <c r="N5" s="69" t="s">
        <v>188</v>
      </c>
      <c r="O5" s="70" t="s">
        <v>186</v>
      </c>
      <c r="P5" s="71" t="s">
        <v>189</v>
      </c>
      <c r="Q5" s="71" t="s">
        <v>190</v>
      </c>
      <c r="R5" s="72" t="s">
        <v>191</v>
      </c>
      <c r="S5" s="378" t="s">
        <v>4</v>
      </c>
      <c r="T5" s="379"/>
      <c r="U5" s="73" t="s">
        <v>86</v>
      </c>
      <c r="V5" s="74" t="s">
        <v>192</v>
      </c>
      <c r="W5" s="74" t="s">
        <v>193</v>
      </c>
      <c r="X5" s="74" t="s">
        <v>194</v>
      </c>
      <c r="Y5" s="75" t="s">
        <v>195</v>
      </c>
      <c r="Z5" s="76" t="s">
        <v>79</v>
      </c>
      <c r="AA5" s="77" t="s">
        <v>72</v>
      </c>
      <c r="AB5" s="380" t="s">
        <v>4</v>
      </c>
      <c r="AC5" s="381"/>
      <c r="AD5" s="78" t="s">
        <v>196</v>
      </c>
      <c r="AE5" s="78" t="s">
        <v>197</v>
      </c>
      <c r="AF5" s="78" t="s">
        <v>198</v>
      </c>
      <c r="AG5" s="78" t="s">
        <v>199</v>
      </c>
      <c r="AH5" s="78" t="s">
        <v>200</v>
      </c>
      <c r="AI5" s="78" t="s">
        <v>63</v>
      </c>
      <c r="AJ5" s="79" t="s">
        <v>201</v>
      </c>
      <c r="AK5" s="79" t="s">
        <v>202</v>
      </c>
      <c r="AL5" s="79" t="s">
        <v>203</v>
      </c>
      <c r="AM5" s="80" t="s">
        <v>204</v>
      </c>
      <c r="AN5" s="382" t="s">
        <v>205</v>
      </c>
      <c r="AO5" s="382"/>
      <c r="AP5" s="383"/>
      <c r="AQ5" s="81" t="s">
        <v>206</v>
      </c>
      <c r="AR5" s="82" t="s">
        <v>79</v>
      </c>
      <c r="AS5" s="83" t="s">
        <v>92</v>
      </c>
      <c r="AT5" s="384" t="s">
        <v>81</v>
      </c>
      <c r="AU5" s="385"/>
      <c r="AV5" s="84"/>
      <c r="AW5" s="84"/>
      <c r="AX5" s="85" t="s">
        <v>86</v>
      </c>
    </row>
    <row r="6" spans="2:50" ht="18.75" x14ac:dyDescent="0.3">
      <c r="B6" s="59" t="s">
        <v>62</v>
      </c>
      <c r="C6" s="60" t="s">
        <v>207</v>
      </c>
      <c r="D6" s="61" t="s">
        <v>208</v>
      </c>
      <c r="E6" s="86" t="s">
        <v>2</v>
      </c>
      <c r="F6" s="87" t="s">
        <v>209</v>
      </c>
      <c r="G6" s="60" t="s">
        <v>210</v>
      </c>
      <c r="H6" s="60" t="s">
        <v>211</v>
      </c>
      <c r="I6" s="60" t="s">
        <v>113</v>
      </c>
      <c r="J6" s="88" t="s">
        <v>129</v>
      </c>
      <c r="K6" s="89" t="s">
        <v>113</v>
      </c>
      <c r="L6" s="90" t="s">
        <v>113</v>
      </c>
      <c r="M6" s="91" t="s">
        <v>129</v>
      </c>
      <c r="N6" s="92" t="s">
        <v>212</v>
      </c>
      <c r="O6" s="93" t="s">
        <v>113</v>
      </c>
      <c r="P6" s="73" t="s">
        <v>210</v>
      </c>
      <c r="Q6" s="73" t="s">
        <v>211</v>
      </c>
      <c r="R6" s="73" t="s">
        <v>213</v>
      </c>
      <c r="S6" s="94" t="s">
        <v>214</v>
      </c>
      <c r="T6" s="94" t="s">
        <v>215</v>
      </c>
      <c r="U6" s="73" t="s">
        <v>216</v>
      </c>
      <c r="V6" s="95" t="s">
        <v>217</v>
      </c>
      <c r="W6" s="96" t="s">
        <v>218</v>
      </c>
      <c r="X6" s="96" t="s">
        <v>219</v>
      </c>
      <c r="Y6" s="97" t="s">
        <v>220</v>
      </c>
      <c r="Z6" s="76" t="s">
        <v>207</v>
      </c>
      <c r="AA6" s="77" t="s">
        <v>221</v>
      </c>
      <c r="AB6" s="98" t="s">
        <v>214</v>
      </c>
      <c r="AC6" s="99" t="s">
        <v>215</v>
      </c>
      <c r="AD6" s="78" t="s">
        <v>59</v>
      </c>
      <c r="AE6" s="78" t="s">
        <v>222</v>
      </c>
      <c r="AF6" s="78" t="s">
        <v>223</v>
      </c>
      <c r="AG6" s="78" t="s">
        <v>224</v>
      </c>
      <c r="AH6" s="78" t="s">
        <v>225</v>
      </c>
      <c r="AI6" s="78" t="s">
        <v>225</v>
      </c>
      <c r="AJ6" s="78" t="s">
        <v>225</v>
      </c>
      <c r="AK6" s="78" t="s">
        <v>225</v>
      </c>
      <c r="AL6" s="78" t="s">
        <v>226</v>
      </c>
      <c r="AM6" s="80" t="s">
        <v>227</v>
      </c>
      <c r="AN6" s="100" t="s">
        <v>228</v>
      </c>
      <c r="AO6" s="101" t="s">
        <v>229</v>
      </c>
      <c r="AP6" s="102" t="s">
        <v>230</v>
      </c>
      <c r="AQ6" s="102" t="s">
        <v>231</v>
      </c>
      <c r="AR6" s="82" t="s">
        <v>207</v>
      </c>
      <c r="AS6" s="83" t="s">
        <v>91</v>
      </c>
      <c r="AT6" s="103" t="s">
        <v>88</v>
      </c>
      <c r="AU6" s="103" t="s">
        <v>89</v>
      </c>
      <c r="AV6" s="104"/>
      <c r="AW6" s="104"/>
      <c r="AX6" s="85" t="s">
        <v>232</v>
      </c>
    </row>
    <row r="7" spans="2:50" ht="18.75" x14ac:dyDescent="0.3">
      <c r="B7" s="59"/>
      <c r="C7" s="60"/>
      <c r="D7" s="61"/>
      <c r="E7" s="62"/>
      <c r="F7" s="87"/>
      <c r="G7" s="60"/>
      <c r="H7" s="60"/>
      <c r="I7" s="60"/>
      <c r="J7" s="88"/>
      <c r="K7" s="89"/>
      <c r="L7" s="90"/>
      <c r="M7" s="91"/>
      <c r="N7" s="92"/>
      <c r="O7" s="93"/>
      <c r="P7" s="73"/>
      <c r="Q7" s="73"/>
      <c r="R7" s="73"/>
      <c r="S7" s="94"/>
      <c r="T7" s="94"/>
      <c r="U7" s="73"/>
      <c r="V7" s="95"/>
      <c r="W7" s="96" t="s">
        <v>233</v>
      </c>
      <c r="X7" s="96" t="s">
        <v>234</v>
      </c>
      <c r="Y7" s="97" t="s">
        <v>235</v>
      </c>
      <c r="Z7" s="76"/>
      <c r="AA7" s="105" t="s">
        <v>236</v>
      </c>
      <c r="AB7" s="78" t="s">
        <v>235</v>
      </c>
      <c r="AC7" s="78" t="s">
        <v>235</v>
      </c>
      <c r="AD7" s="78" t="s">
        <v>235</v>
      </c>
      <c r="AE7" s="78" t="s">
        <v>237</v>
      </c>
      <c r="AF7" s="78" t="s">
        <v>238</v>
      </c>
      <c r="AG7" s="78"/>
      <c r="AH7" s="78" t="s">
        <v>113</v>
      </c>
      <c r="AI7" s="78" t="s">
        <v>113</v>
      </c>
      <c r="AJ7" s="78" t="s">
        <v>113</v>
      </c>
      <c r="AK7" s="78" t="s">
        <v>113</v>
      </c>
      <c r="AL7" s="78"/>
      <c r="AM7" s="80" t="s">
        <v>239</v>
      </c>
      <c r="AN7" s="100"/>
      <c r="AO7" s="102"/>
      <c r="AP7" s="102"/>
      <c r="AQ7" s="102"/>
      <c r="AR7" s="82"/>
      <c r="AS7" s="83"/>
      <c r="AT7" s="103"/>
      <c r="AU7" s="103"/>
      <c r="AV7" s="104"/>
      <c r="AW7" s="104"/>
      <c r="AX7" s="85"/>
    </row>
    <row r="8" spans="2:50" ht="15.75" thickBot="1" x14ac:dyDescent="0.3">
      <c r="B8" s="106">
        <v>1</v>
      </c>
      <c r="C8" s="107">
        <v>2</v>
      </c>
      <c r="D8" s="107">
        <v>3</v>
      </c>
      <c r="E8" s="107">
        <v>4</v>
      </c>
      <c r="F8" s="107">
        <v>5</v>
      </c>
      <c r="G8" s="107">
        <v>6</v>
      </c>
      <c r="H8" s="107">
        <v>7</v>
      </c>
      <c r="I8" s="107">
        <v>8</v>
      </c>
      <c r="J8" s="108">
        <v>9</v>
      </c>
      <c r="K8" s="109">
        <v>10</v>
      </c>
      <c r="L8" s="110">
        <v>11</v>
      </c>
      <c r="M8" s="110">
        <v>12</v>
      </c>
      <c r="N8" s="111">
        <v>13</v>
      </c>
      <c r="O8" s="112">
        <v>14</v>
      </c>
      <c r="P8" s="113">
        <v>15</v>
      </c>
      <c r="Q8" s="113">
        <v>16</v>
      </c>
      <c r="R8" s="113">
        <v>17</v>
      </c>
      <c r="S8" s="113">
        <v>18</v>
      </c>
      <c r="T8" s="113">
        <v>19</v>
      </c>
      <c r="U8" s="113">
        <v>20</v>
      </c>
      <c r="V8" s="113">
        <v>21</v>
      </c>
      <c r="W8" s="114"/>
      <c r="X8" s="114"/>
      <c r="Y8" s="115"/>
      <c r="Z8" s="116"/>
      <c r="AA8" s="98"/>
      <c r="AB8" s="117">
        <v>22</v>
      </c>
      <c r="AC8" s="117">
        <v>23</v>
      </c>
      <c r="AD8" s="117">
        <v>24</v>
      </c>
      <c r="AE8" s="117"/>
      <c r="AF8" s="117"/>
      <c r="AG8" s="117"/>
      <c r="AH8" s="117"/>
      <c r="AI8" s="117">
        <v>25</v>
      </c>
      <c r="AJ8" s="117"/>
      <c r="AK8" s="117"/>
      <c r="AL8" s="117"/>
      <c r="AM8" s="118"/>
      <c r="AN8" s="119">
        <v>27</v>
      </c>
      <c r="AO8" s="120">
        <v>28</v>
      </c>
      <c r="AP8" s="120">
        <v>29</v>
      </c>
      <c r="AQ8" s="120">
        <v>30</v>
      </c>
      <c r="AR8" s="121">
        <v>31</v>
      </c>
      <c r="AS8" s="121">
        <v>32</v>
      </c>
      <c r="AT8" s="121">
        <v>33</v>
      </c>
      <c r="AU8" s="121">
        <v>34</v>
      </c>
      <c r="AV8" s="121">
        <v>35</v>
      </c>
      <c r="AW8" s="121">
        <v>36</v>
      </c>
      <c r="AX8" s="122">
        <v>37</v>
      </c>
    </row>
    <row r="9" spans="2:50" ht="19.5" thickBot="1" x14ac:dyDescent="0.35">
      <c r="B9" s="123">
        <v>1</v>
      </c>
      <c r="C9" s="124">
        <v>1</v>
      </c>
      <c r="D9" s="125" t="s">
        <v>240</v>
      </c>
      <c r="E9" s="126" t="s">
        <v>241</v>
      </c>
      <c r="F9" s="127">
        <v>41182</v>
      </c>
      <c r="G9" s="128">
        <v>4</v>
      </c>
      <c r="H9" s="128">
        <v>10.5</v>
      </c>
      <c r="I9" s="129">
        <v>10</v>
      </c>
      <c r="J9" s="130">
        <v>80</v>
      </c>
      <c r="K9" s="131">
        <v>18</v>
      </c>
      <c r="L9" s="132">
        <v>11</v>
      </c>
      <c r="M9" s="133">
        <f>W9+AN9*10+AQ9</f>
        <v>66.125</v>
      </c>
      <c r="N9" s="134">
        <v>8.3000000000000007</v>
      </c>
      <c r="O9" s="135">
        <v>12</v>
      </c>
      <c r="P9" s="136">
        <f t="shared" ref="P9:P60" si="0">G9</f>
        <v>4</v>
      </c>
      <c r="Q9" s="136">
        <v>8.5</v>
      </c>
      <c r="R9" s="137">
        <v>50</v>
      </c>
      <c r="S9" s="138">
        <v>18</v>
      </c>
      <c r="T9" s="138">
        <v>30</v>
      </c>
      <c r="U9" s="139">
        <f>AX9</f>
        <v>43984</v>
      </c>
      <c r="V9" s="138">
        <v>30</v>
      </c>
      <c r="W9" s="140">
        <f>V9+X9</f>
        <v>31</v>
      </c>
      <c r="X9" s="140">
        <v>1</v>
      </c>
      <c r="Y9" s="141">
        <f>AF9-V9+AE9</f>
        <v>44.8</v>
      </c>
      <c r="Z9" s="142">
        <v>1</v>
      </c>
      <c r="AA9" s="143">
        <v>36578</v>
      </c>
      <c r="AB9" s="143">
        <v>8</v>
      </c>
      <c r="AC9" s="143">
        <v>25</v>
      </c>
      <c r="AD9" s="143">
        <v>98</v>
      </c>
      <c r="AE9" s="143"/>
      <c r="AF9" s="143">
        <v>74.8</v>
      </c>
      <c r="AG9" s="143" t="s">
        <v>242</v>
      </c>
      <c r="AH9" s="143">
        <v>27</v>
      </c>
      <c r="AI9" s="144">
        <v>24</v>
      </c>
      <c r="AJ9" s="144"/>
      <c r="AK9" s="145">
        <v>1.4</v>
      </c>
      <c r="AL9" s="144">
        <v>1982</v>
      </c>
      <c r="AM9" s="146"/>
      <c r="AN9" s="147">
        <v>2.8</v>
      </c>
      <c r="AO9" s="148">
        <v>19</v>
      </c>
      <c r="AP9" s="148">
        <v>1.25</v>
      </c>
      <c r="AQ9" s="149">
        <f t="shared" ref="AQ9:AQ60" si="1">AO9*AP9*V9/100</f>
        <v>7.125</v>
      </c>
      <c r="AR9" s="150">
        <v>1</v>
      </c>
      <c r="AS9" s="151" t="s">
        <v>243</v>
      </c>
      <c r="AT9" s="152" t="s">
        <v>244</v>
      </c>
      <c r="AU9" s="152" t="s">
        <v>244</v>
      </c>
      <c r="AV9" s="153"/>
      <c r="AW9" s="153"/>
      <c r="AX9" s="154">
        <v>43984</v>
      </c>
    </row>
    <row r="10" spans="2:50" ht="19.5" thickBot="1" x14ac:dyDescent="0.35">
      <c r="B10" s="155">
        <v>2</v>
      </c>
      <c r="C10" s="156">
        <v>2</v>
      </c>
      <c r="D10" s="157" t="s">
        <v>245</v>
      </c>
      <c r="E10" s="158">
        <v>1411164</v>
      </c>
      <c r="F10" s="159">
        <v>43373</v>
      </c>
      <c r="G10" s="160">
        <v>5.5</v>
      </c>
      <c r="H10" s="160">
        <v>13</v>
      </c>
      <c r="I10" s="161">
        <v>21</v>
      </c>
      <c r="J10" s="162">
        <v>81</v>
      </c>
      <c r="K10" s="163">
        <v>23</v>
      </c>
      <c r="L10" s="164">
        <v>23</v>
      </c>
      <c r="M10" s="133">
        <f t="shared" ref="M10:M60" si="2">W10+AN10*10+AQ10</f>
        <v>71.075000000000003</v>
      </c>
      <c r="N10" s="165">
        <v>13</v>
      </c>
      <c r="O10" s="166">
        <v>22</v>
      </c>
      <c r="P10" s="167">
        <f t="shared" si="0"/>
        <v>5.5</v>
      </c>
      <c r="Q10" s="167">
        <v>12</v>
      </c>
      <c r="R10" s="168">
        <v>50</v>
      </c>
      <c r="S10" s="169">
        <v>19</v>
      </c>
      <c r="T10" s="169">
        <v>30</v>
      </c>
      <c r="U10" s="170">
        <f t="shared" ref="U10:U60" si="3">AX10</f>
        <v>43292</v>
      </c>
      <c r="V10" s="169">
        <v>34</v>
      </c>
      <c r="W10" s="140">
        <f t="shared" ref="W10:W60" si="4">V10+X10</f>
        <v>35</v>
      </c>
      <c r="X10" s="140">
        <v>1</v>
      </c>
      <c r="Y10" s="171">
        <f>AF10-V10+AE10</f>
        <v>40</v>
      </c>
      <c r="Z10" s="172">
        <v>2</v>
      </c>
      <c r="AA10" s="173" t="s">
        <v>246</v>
      </c>
      <c r="AB10" s="173">
        <v>8</v>
      </c>
      <c r="AC10" s="173">
        <v>25</v>
      </c>
      <c r="AD10" s="173">
        <v>98</v>
      </c>
      <c r="AE10" s="173"/>
      <c r="AF10" s="173">
        <v>74</v>
      </c>
      <c r="AG10" s="173" t="s">
        <v>242</v>
      </c>
      <c r="AH10" s="173">
        <v>27</v>
      </c>
      <c r="AI10" s="174">
        <v>24</v>
      </c>
      <c r="AJ10" s="174"/>
      <c r="AK10" s="175">
        <v>1.4</v>
      </c>
      <c r="AL10" s="176">
        <v>1982</v>
      </c>
      <c r="AM10" s="177"/>
      <c r="AN10" s="178">
        <v>2.8</v>
      </c>
      <c r="AO10" s="179">
        <v>19</v>
      </c>
      <c r="AP10" s="179">
        <v>1.25</v>
      </c>
      <c r="AQ10" s="180">
        <f t="shared" si="1"/>
        <v>8.0749999999999993</v>
      </c>
      <c r="AR10" s="181">
        <v>2</v>
      </c>
      <c r="AS10" s="182" t="s">
        <v>243</v>
      </c>
      <c r="AT10" s="183" t="s">
        <v>244</v>
      </c>
      <c r="AU10" s="183" t="s">
        <v>244</v>
      </c>
      <c r="AV10" s="184"/>
      <c r="AW10" s="184"/>
      <c r="AX10" s="185">
        <v>43292</v>
      </c>
    </row>
    <row r="11" spans="2:50" ht="30.75" thickBot="1" x14ac:dyDescent="0.35">
      <c r="B11" s="123">
        <v>3</v>
      </c>
      <c r="C11" s="124">
        <v>133</v>
      </c>
      <c r="D11" s="186" t="s">
        <v>52</v>
      </c>
      <c r="E11" s="187" t="s">
        <v>327</v>
      </c>
      <c r="F11" s="188" t="s">
        <v>328</v>
      </c>
      <c r="G11" s="128">
        <v>26</v>
      </c>
      <c r="H11" s="189">
        <v>58.5</v>
      </c>
      <c r="I11" s="129">
        <v>90</v>
      </c>
      <c r="J11" s="130">
        <v>64</v>
      </c>
      <c r="K11" s="131">
        <v>90</v>
      </c>
      <c r="L11" s="190">
        <v>100</v>
      </c>
      <c r="M11" s="133">
        <f t="shared" si="2"/>
        <v>65.399749999999997</v>
      </c>
      <c r="N11" s="191">
        <v>55</v>
      </c>
      <c r="O11" s="135">
        <v>105</v>
      </c>
      <c r="P11" s="136">
        <f t="shared" si="0"/>
        <v>26</v>
      </c>
      <c r="Q11" s="136">
        <v>57</v>
      </c>
      <c r="R11" s="137">
        <v>50</v>
      </c>
      <c r="S11" s="138">
        <v>30</v>
      </c>
      <c r="T11" s="138">
        <v>40</v>
      </c>
      <c r="U11" s="139">
        <f t="shared" si="3"/>
        <v>43553</v>
      </c>
      <c r="V11" s="138">
        <v>44.1</v>
      </c>
      <c r="W11" s="140">
        <f t="shared" si="4"/>
        <v>45.1</v>
      </c>
      <c r="X11" s="140">
        <v>1</v>
      </c>
      <c r="Y11" s="141">
        <f t="shared" ref="Y11:Y60" si="5">AF11-V11+AE11</f>
        <v>3.8999999999999986</v>
      </c>
      <c r="Z11" s="142">
        <v>133</v>
      </c>
      <c r="AA11" s="143" t="s">
        <v>247</v>
      </c>
      <c r="AB11" s="143">
        <v>9</v>
      </c>
      <c r="AC11" s="143">
        <v>12</v>
      </c>
      <c r="AD11" s="143">
        <v>80</v>
      </c>
      <c r="AE11" s="143">
        <v>4</v>
      </c>
      <c r="AF11" s="143">
        <v>44</v>
      </c>
      <c r="AG11" s="143" t="s">
        <v>242</v>
      </c>
      <c r="AH11" s="143">
        <v>150</v>
      </c>
      <c r="AI11" s="144">
        <v>118</v>
      </c>
      <c r="AJ11" s="144"/>
      <c r="AK11" s="145">
        <v>39</v>
      </c>
      <c r="AL11" s="144">
        <v>1987</v>
      </c>
      <c r="AM11" s="146"/>
      <c r="AN11" s="192">
        <v>1.6</v>
      </c>
      <c r="AO11" s="148">
        <v>15</v>
      </c>
      <c r="AP11" s="148">
        <v>0.65</v>
      </c>
      <c r="AQ11" s="149">
        <f t="shared" si="1"/>
        <v>4.2997500000000004</v>
      </c>
      <c r="AR11" s="150">
        <v>133</v>
      </c>
      <c r="AS11" s="151" t="s">
        <v>248</v>
      </c>
      <c r="AT11" s="152" t="s">
        <v>249</v>
      </c>
      <c r="AU11" s="152" t="s">
        <v>250</v>
      </c>
      <c r="AV11" s="153"/>
      <c r="AW11" s="153"/>
      <c r="AX11" s="154">
        <v>43553</v>
      </c>
    </row>
    <row r="12" spans="2:50" ht="30.75" thickBot="1" x14ac:dyDescent="0.35">
      <c r="B12" s="193">
        <v>4</v>
      </c>
      <c r="C12" s="194">
        <v>134</v>
      </c>
      <c r="D12" s="195" t="s">
        <v>52</v>
      </c>
      <c r="E12" s="196" t="s">
        <v>329</v>
      </c>
      <c r="F12" s="197" t="s">
        <v>330</v>
      </c>
      <c r="G12" s="198">
        <v>26</v>
      </c>
      <c r="H12" s="199">
        <v>58.5</v>
      </c>
      <c r="I12" s="200">
        <v>90</v>
      </c>
      <c r="J12" s="201">
        <v>64</v>
      </c>
      <c r="K12" s="202">
        <v>90</v>
      </c>
      <c r="L12" s="203">
        <v>113</v>
      </c>
      <c r="M12" s="133">
        <f t="shared" si="2"/>
        <v>65.399749999999997</v>
      </c>
      <c r="N12" s="204">
        <v>52</v>
      </c>
      <c r="O12" s="205">
        <v>109</v>
      </c>
      <c r="P12" s="206">
        <f t="shared" si="0"/>
        <v>26</v>
      </c>
      <c r="Q12" s="206">
        <v>57</v>
      </c>
      <c r="R12" s="207">
        <v>50</v>
      </c>
      <c r="S12" s="208">
        <v>32</v>
      </c>
      <c r="T12" s="208">
        <v>40</v>
      </c>
      <c r="U12" s="209">
        <f t="shared" si="3"/>
        <v>43430</v>
      </c>
      <c r="V12" s="208">
        <v>44.1</v>
      </c>
      <c r="W12" s="140">
        <f t="shared" si="4"/>
        <v>45.1</v>
      </c>
      <c r="X12" s="140">
        <v>1</v>
      </c>
      <c r="Y12" s="141">
        <f t="shared" si="5"/>
        <v>-1.6000000000000014</v>
      </c>
      <c r="Z12" s="210">
        <v>134</v>
      </c>
      <c r="AA12" s="211" t="s">
        <v>251</v>
      </c>
      <c r="AB12" s="211">
        <v>5</v>
      </c>
      <c r="AC12" s="211">
        <v>9</v>
      </c>
      <c r="AD12" s="211">
        <v>80</v>
      </c>
      <c r="AE12" s="211">
        <v>4</v>
      </c>
      <c r="AF12" s="211">
        <v>38.5</v>
      </c>
      <c r="AG12" s="211" t="s">
        <v>252</v>
      </c>
      <c r="AH12" s="211">
        <v>145.80000000000001</v>
      </c>
      <c r="AI12" s="212">
        <v>137</v>
      </c>
      <c r="AJ12" s="212"/>
      <c r="AK12" s="213">
        <v>34.25</v>
      </c>
      <c r="AL12" s="144">
        <v>1987</v>
      </c>
      <c r="AM12" s="214">
        <v>32139</v>
      </c>
      <c r="AN12" s="215">
        <v>1.6</v>
      </c>
      <c r="AO12" s="216">
        <v>15</v>
      </c>
      <c r="AP12" s="216">
        <v>0.65</v>
      </c>
      <c r="AQ12" s="217">
        <f t="shared" si="1"/>
        <v>4.2997500000000004</v>
      </c>
      <c r="AR12" s="218">
        <v>134</v>
      </c>
      <c r="AS12" s="219" t="s">
        <v>248</v>
      </c>
      <c r="AT12" s="220" t="s">
        <v>249</v>
      </c>
      <c r="AU12" s="220" t="s">
        <v>253</v>
      </c>
      <c r="AV12" s="221"/>
      <c r="AW12" s="221"/>
      <c r="AX12" s="222">
        <v>43430</v>
      </c>
    </row>
    <row r="13" spans="2:50" ht="19.5" thickBot="1" x14ac:dyDescent="0.35">
      <c r="B13" s="193">
        <v>5</v>
      </c>
      <c r="C13" s="194">
        <v>135</v>
      </c>
      <c r="D13" s="195" t="s">
        <v>254</v>
      </c>
      <c r="E13" s="223">
        <v>1411253</v>
      </c>
      <c r="F13" s="224">
        <v>43982</v>
      </c>
      <c r="G13" s="198">
        <v>26</v>
      </c>
      <c r="H13" s="199">
        <v>58.6</v>
      </c>
      <c r="I13" s="200">
        <v>92</v>
      </c>
      <c r="J13" s="201">
        <v>80</v>
      </c>
      <c r="K13" s="202">
        <v>116</v>
      </c>
      <c r="L13" s="203">
        <v>102</v>
      </c>
      <c r="M13" s="133">
        <f t="shared" si="2"/>
        <v>55.399750000000004</v>
      </c>
      <c r="N13" s="225">
        <v>56</v>
      </c>
      <c r="O13" s="205">
        <v>108</v>
      </c>
      <c r="P13" s="206">
        <f t="shared" si="0"/>
        <v>26</v>
      </c>
      <c r="Q13" s="206">
        <v>57</v>
      </c>
      <c r="R13" s="207">
        <v>50</v>
      </c>
      <c r="S13" s="208">
        <v>32</v>
      </c>
      <c r="T13" s="208">
        <v>40</v>
      </c>
      <c r="U13" s="209">
        <f t="shared" si="3"/>
        <v>43966</v>
      </c>
      <c r="V13" s="208">
        <v>44.1</v>
      </c>
      <c r="W13" s="140">
        <f t="shared" si="4"/>
        <v>45.1</v>
      </c>
      <c r="X13" s="140">
        <v>1</v>
      </c>
      <c r="Y13" s="141">
        <f t="shared" si="5"/>
        <v>3.8999999999999986</v>
      </c>
      <c r="Z13" s="210">
        <v>135</v>
      </c>
      <c r="AA13" s="211" t="s">
        <v>255</v>
      </c>
      <c r="AB13" s="211">
        <v>5</v>
      </c>
      <c r="AC13" s="211">
        <v>10</v>
      </c>
      <c r="AD13" s="211">
        <v>80</v>
      </c>
      <c r="AE13" s="211">
        <v>7</v>
      </c>
      <c r="AF13" s="211">
        <v>41</v>
      </c>
      <c r="AG13" s="211" t="s">
        <v>242</v>
      </c>
      <c r="AH13" s="211" t="s">
        <v>67</v>
      </c>
      <c r="AI13" s="212">
        <v>150</v>
      </c>
      <c r="AJ13" s="212"/>
      <c r="AK13" s="213">
        <v>30</v>
      </c>
      <c r="AL13" s="212">
        <v>1987</v>
      </c>
      <c r="AM13" s="226"/>
      <c r="AN13" s="215">
        <v>0.6</v>
      </c>
      <c r="AO13" s="216">
        <v>15</v>
      </c>
      <c r="AP13" s="216">
        <v>0.65</v>
      </c>
      <c r="AQ13" s="217">
        <f t="shared" si="1"/>
        <v>4.2997500000000004</v>
      </c>
      <c r="AR13" s="218">
        <v>135</v>
      </c>
      <c r="AS13" s="219" t="s">
        <v>248</v>
      </c>
      <c r="AT13" s="220" t="s">
        <v>256</v>
      </c>
      <c r="AU13" s="220" t="s">
        <v>253</v>
      </c>
      <c r="AV13" s="221"/>
      <c r="AW13" s="221"/>
      <c r="AX13" s="222">
        <v>43966</v>
      </c>
    </row>
    <row r="14" spans="2:50" ht="19.5" thickBot="1" x14ac:dyDescent="0.35">
      <c r="B14" s="155">
        <v>6</v>
      </c>
      <c r="C14" s="156">
        <v>136</v>
      </c>
      <c r="D14" s="227" t="s">
        <v>257</v>
      </c>
      <c r="E14" s="228">
        <v>1411282</v>
      </c>
      <c r="F14" s="229">
        <v>44408</v>
      </c>
      <c r="G14" s="160">
        <v>30</v>
      </c>
      <c r="H14" s="230">
        <v>62.1</v>
      </c>
      <c r="I14" s="161">
        <v>90</v>
      </c>
      <c r="J14" s="162">
        <v>79</v>
      </c>
      <c r="K14" s="163">
        <v>105</v>
      </c>
      <c r="L14" s="231">
        <v>101</v>
      </c>
      <c r="M14" s="133">
        <f t="shared" si="2"/>
        <v>66.586240000000004</v>
      </c>
      <c r="N14" s="232">
        <v>57</v>
      </c>
      <c r="O14" s="166">
        <v>110</v>
      </c>
      <c r="P14" s="167">
        <f t="shared" si="0"/>
        <v>30</v>
      </c>
      <c r="Q14" s="167">
        <v>58</v>
      </c>
      <c r="R14" s="168">
        <v>50</v>
      </c>
      <c r="S14" s="169">
        <v>30.4</v>
      </c>
      <c r="T14" s="169">
        <v>38</v>
      </c>
      <c r="U14" s="170">
        <v>44377</v>
      </c>
      <c r="V14" s="169">
        <v>50.4</v>
      </c>
      <c r="W14" s="140">
        <f t="shared" si="4"/>
        <v>51.4</v>
      </c>
      <c r="X14" s="140">
        <v>1</v>
      </c>
      <c r="Y14" s="171">
        <f t="shared" si="5"/>
        <v>-2.3999999999999986</v>
      </c>
      <c r="Z14" s="172">
        <v>136</v>
      </c>
      <c r="AA14" s="173" t="s">
        <v>258</v>
      </c>
      <c r="AB14" s="173">
        <v>18</v>
      </c>
      <c r="AC14" s="173">
        <v>34</v>
      </c>
      <c r="AD14" s="173">
        <v>80</v>
      </c>
      <c r="AE14" s="173">
        <v>5</v>
      </c>
      <c r="AF14" s="173">
        <v>43</v>
      </c>
      <c r="AG14" s="173" t="s">
        <v>259</v>
      </c>
      <c r="AH14" s="173"/>
      <c r="AI14" s="174">
        <v>240</v>
      </c>
      <c r="AJ14" s="174">
        <v>146</v>
      </c>
      <c r="AK14" s="175">
        <v>15</v>
      </c>
      <c r="AL14" s="174">
        <v>2010</v>
      </c>
      <c r="AM14" s="177">
        <v>43333</v>
      </c>
      <c r="AN14" s="233">
        <v>1.44</v>
      </c>
      <c r="AO14" s="179">
        <v>2.4</v>
      </c>
      <c r="AP14" s="179">
        <v>0.65</v>
      </c>
      <c r="AQ14" s="180">
        <f t="shared" si="1"/>
        <v>0.78623999999999994</v>
      </c>
      <c r="AR14" s="181">
        <v>136</v>
      </c>
      <c r="AS14" s="182" t="s">
        <v>260</v>
      </c>
      <c r="AT14" s="183" t="s">
        <v>261</v>
      </c>
      <c r="AU14" s="183" t="s">
        <v>262</v>
      </c>
      <c r="AV14" s="184"/>
      <c r="AW14" s="184"/>
      <c r="AX14" s="185">
        <v>44377</v>
      </c>
    </row>
    <row r="15" spans="2:50" ht="19.5" thickBot="1" x14ac:dyDescent="0.35">
      <c r="B15" s="234">
        <v>7</v>
      </c>
      <c r="C15" s="235">
        <v>137</v>
      </c>
      <c r="D15" s="236" t="s">
        <v>93</v>
      </c>
      <c r="E15" s="237">
        <v>1411226</v>
      </c>
      <c r="F15" s="238" t="s">
        <v>331</v>
      </c>
      <c r="G15" s="239">
        <v>30</v>
      </c>
      <c r="H15" s="240">
        <v>68.8</v>
      </c>
      <c r="I15" s="241">
        <v>130</v>
      </c>
      <c r="J15" s="242">
        <v>60</v>
      </c>
      <c r="K15" s="243">
        <v>125</v>
      </c>
      <c r="L15" s="244">
        <v>100</v>
      </c>
      <c r="M15" s="133">
        <f t="shared" si="2"/>
        <v>62.29</v>
      </c>
      <c r="N15" s="204">
        <v>63</v>
      </c>
      <c r="O15" s="245">
        <v>87.02</v>
      </c>
      <c r="P15" s="246">
        <f t="shared" si="0"/>
        <v>30</v>
      </c>
      <c r="Q15" s="246">
        <v>55.9</v>
      </c>
      <c r="R15" s="247">
        <v>46.6</v>
      </c>
      <c r="S15" s="248">
        <v>31</v>
      </c>
      <c r="T15" s="248">
        <v>38</v>
      </c>
      <c r="U15" s="249">
        <f t="shared" si="3"/>
        <v>43657</v>
      </c>
      <c r="V15" s="248">
        <v>44</v>
      </c>
      <c r="W15" s="140">
        <f t="shared" si="4"/>
        <v>45</v>
      </c>
      <c r="X15" s="140">
        <v>1</v>
      </c>
      <c r="Y15" s="250">
        <f t="shared" si="5"/>
        <v>4</v>
      </c>
      <c r="Z15" s="251">
        <v>137</v>
      </c>
      <c r="AA15" s="252" t="s">
        <v>263</v>
      </c>
      <c r="AB15" s="252">
        <v>5.3</v>
      </c>
      <c r="AC15" s="252">
        <v>10.5</v>
      </c>
      <c r="AD15" s="252">
        <v>82</v>
      </c>
      <c r="AE15" s="252">
        <v>7</v>
      </c>
      <c r="AF15" s="252">
        <v>41</v>
      </c>
      <c r="AG15" s="252" t="s">
        <v>242</v>
      </c>
      <c r="AH15" s="252"/>
      <c r="AI15" s="253">
        <v>100</v>
      </c>
      <c r="AJ15" s="253"/>
      <c r="AK15" s="254">
        <v>19</v>
      </c>
      <c r="AL15" s="253">
        <v>1987</v>
      </c>
      <c r="AM15" s="214"/>
      <c r="AN15" s="255">
        <v>1.3</v>
      </c>
      <c r="AO15" s="256">
        <v>15</v>
      </c>
      <c r="AP15" s="256">
        <v>0.65</v>
      </c>
      <c r="AQ15" s="257">
        <f t="shared" si="1"/>
        <v>4.29</v>
      </c>
      <c r="AR15" s="258">
        <v>137</v>
      </c>
      <c r="AS15" s="259" t="s">
        <v>248</v>
      </c>
      <c r="AT15" s="260" t="s">
        <v>264</v>
      </c>
      <c r="AU15" s="260" t="s">
        <v>264</v>
      </c>
      <c r="AV15" s="221"/>
      <c r="AW15" s="221"/>
      <c r="AX15" s="261">
        <v>43657</v>
      </c>
    </row>
    <row r="16" spans="2:50" ht="30.75" thickBot="1" x14ac:dyDescent="0.35">
      <c r="B16" s="193">
        <v>8</v>
      </c>
      <c r="C16" s="194">
        <v>138</v>
      </c>
      <c r="D16" s="195" t="s">
        <v>52</v>
      </c>
      <c r="E16" s="196" t="s">
        <v>332</v>
      </c>
      <c r="F16" s="197" t="s">
        <v>330</v>
      </c>
      <c r="G16" s="198">
        <v>26</v>
      </c>
      <c r="H16" s="199">
        <v>58.5</v>
      </c>
      <c r="I16" s="200">
        <v>90</v>
      </c>
      <c r="J16" s="201">
        <v>64</v>
      </c>
      <c r="K16" s="262">
        <v>95</v>
      </c>
      <c r="L16" s="203">
        <v>100</v>
      </c>
      <c r="M16" s="133">
        <f t="shared" si="2"/>
        <v>63.29</v>
      </c>
      <c r="N16" s="225">
        <v>54.3</v>
      </c>
      <c r="O16" s="263">
        <v>97.5</v>
      </c>
      <c r="P16" s="206">
        <f t="shared" si="0"/>
        <v>26</v>
      </c>
      <c r="Q16" s="264">
        <v>53.6</v>
      </c>
      <c r="R16" s="265">
        <v>49.5</v>
      </c>
      <c r="S16" s="208">
        <v>30</v>
      </c>
      <c r="T16" s="208">
        <v>42</v>
      </c>
      <c r="U16" s="209">
        <f t="shared" si="3"/>
        <v>43325</v>
      </c>
      <c r="V16" s="208">
        <v>44</v>
      </c>
      <c r="W16" s="140">
        <f t="shared" si="4"/>
        <v>45</v>
      </c>
      <c r="X16" s="140">
        <v>1</v>
      </c>
      <c r="Y16" s="141">
        <f t="shared" si="5"/>
        <v>5</v>
      </c>
      <c r="Z16" s="210">
        <v>138</v>
      </c>
      <c r="AA16" s="211" t="s">
        <v>265</v>
      </c>
      <c r="AB16" s="211">
        <v>7.5</v>
      </c>
      <c r="AC16" s="211">
        <v>10.5</v>
      </c>
      <c r="AD16" s="211">
        <v>80</v>
      </c>
      <c r="AE16" s="211">
        <v>6</v>
      </c>
      <c r="AF16" s="211">
        <v>43</v>
      </c>
      <c r="AG16" s="211" t="s">
        <v>259</v>
      </c>
      <c r="AH16" s="211"/>
      <c r="AI16" s="212">
        <v>100</v>
      </c>
      <c r="AJ16" s="212"/>
      <c r="AK16" s="213">
        <v>33</v>
      </c>
      <c r="AL16" s="212">
        <v>1987</v>
      </c>
      <c r="AM16" s="226">
        <v>43327</v>
      </c>
      <c r="AN16" s="215">
        <v>1.4</v>
      </c>
      <c r="AO16" s="216">
        <v>15</v>
      </c>
      <c r="AP16" s="216">
        <v>0.65</v>
      </c>
      <c r="AQ16" s="217">
        <f t="shared" si="1"/>
        <v>4.29</v>
      </c>
      <c r="AR16" s="218">
        <v>138</v>
      </c>
      <c r="AS16" s="219" t="s">
        <v>248</v>
      </c>
      <c r="AT16" s="220" t="s">
        <v>249</v>
      </c>
      <c r="AU16" s="220" t="s">
        <v>250</v>
      </c>
      <c r="AV16" s="221"/>
      <c r="AW16" s="221"/>
      <c r="AX16" s="222">
        <v>43325</v>
      </c>
    </row>
    <row r="17" spans="2:50" ht="19.5" thickBot="1" x14ac:dyDescent="0.35">
      <c r="B17" s="193">
        <v>9</v>
      </c>
      <c r="C17" s="194">
        <v>139</v>
      </c>
      <c r="D17" s="195" t="s">
        <v>257</v>
      </c>
      <c r="E17" s="266">
        <v>1411287</v>
      </c>
      <c r="F17" s="267">
        <v>44439</v>
      </c>
      <c r="G17" s="198">
        <v>30</v>
      </c>
      <c r="H17" s="199">
        <v>62.1</v>
      </c>
      <c r="I17" s="200">
        <v>90</v>
      </c>
      <c r="J17" s="201">
        <v>79</v>
      </c>
      <c r="K17" s="202">
        <v>105</v>
      </c>
      <c r="L17" s="203">
        <v>99</v>
      </c>
      <c r="M17" s="133">
        <f t="shared" si="2"/>
        <v>67.755439999999993</v>
      </c>
      <c r="N17" s="225">
        <v>57.5</v>
      </c>
      <c r="O17" s="205">
        <v>110</v>
      </c>
      <c r="P17" s="206">
        <f t="shared" si="0"/>
        <v>30</v>
      </c>
      <c r="Q17" s="206">
        <v>58</v>
      </c>
      <c r="R17" s="207">
        <v>50</v>
      </c>
      <c r="S17" s="208">
        <v>34</v>
      </c>
      <c r="T17" s="208">
        <v>41</v>
      </c>
      <c r="U17" s="209">
        <v>44447</v>
      </c>
      <c r="V17" s="208">
        <v>50.4</v>
      </c>
      <c r="W17" s="140">
        <f t="shared" si="4"/>
        <v>51.4</v>
      </c>
      <c r="X17" s="140">
        <v>1</v>
      </c>
      <c r="Y17" s="141">
        <f t="shared" si="5"/>
        <v>-7.3999999999999986</v>
      </c>
      <c r="Z17" s="210">
        <v>139</v>
      </c>
      <c r="AA17" s="211" t="s">
        <v>266</v>
      </c>
      <c r="AB17" s="211">
        <v>3.21</v>
      </c>
      <c r="AC17" s="211">
        <v>16.95</v>
      </c>
      <c r="AD17" s="211">
        <v>80</v>
      </c>
      <c r="AE17" s="211">
        <v>6</v>
      </c>
      <c r="AF17" s="211">
        <v>37</v>
      </c>
      <c r="AG17" s="211" t="s">
        <v>252</v>
      </c>
      <c r="AH17" s="211"/>
      <c r="AI17" s="212">
        <v>324</v>
      </c>
      <c r="AJ17" s="212"/>
      <c r="AK17" s="213">
        <v>23.58</v>
      </c>
      <c r="AL17" s="212">
        <v>1983</v>
      </c>
      <c r="AM17" s="226"/>
      <c r="AN17" s="215">
        <v>1</v>
      </c>
      <c r="AO17" s="216">
        <v>19.399999999999999</v>
      </c>
      <c r="AP17" s="216">
        <v>0.65</v>
      </c>
      <c r="AQ17" s="217">
        <f t="shared" si="1"/>
        <v>6.3554399999999998</v>
      </c>
      <c r="AR17" s="218">
        <v>139</v>
      </c>
      <c r="AS17" s="219" t="s">
        <v>248</v>
      </c>
      <c r="AT17" s="220" t="s">
        <v>249</v>
      </c>
      <c r="AU17" s="220" t="s">
        <v>267</v>
      </c>
      <c r="AV17" s="221"/>
      <c r="AW17" s="221"/>
      <c r="AX17" s="222">
        <v>44447</v>
      </c>
    </row>
    <row r="18" spans="2:50" ht="30.75" thickBot="1" x14ac:dyDescent="0.35">
      <c r="B18" s="193">
        <v>10</v>
      </c>
      <c r="C18" s="194">
        <v>140</v>
      </c>
      <c r="D18" s="195" t="s">
        <v>52</v>
      </c>
      <c r="E18" s="268" t="s">
        <v>333</v>
      </c>
      <c r="F18" s="197" t="s">
        <v>334</v>
      </c>
      <c r="G18" s="198">
        <v>26</v>
      </c>
      <c r="H18" s="199">
        <v>58.5</v>
      </c>
      <c r="I18" s="200">
        <v>90</v>
      </c>
      <c r="J18" s="201">
        <v>64</v>
      </c>
      <c r="K18" s="269">
        <v>96</v>
      </c>
      <c r="L18" s="203">
        <v>60</v>
      </c>
      <c r="M18" s="133">
        <f t="shared" si="2"/>
        <v>63.510479999999994</v>
      </c>
      <c r="N18" s="225">
        <v>53.7</v>
      </c>
      <c r="O18" s="205">
        <v>78.400000000000006</v>
      </c>
      <c r="P18" s="206">
        <f t="shared" si="0"/>
        <v>26</v>
      </c>
      <c r="Q18" s="206">
        <v>52.9</v>
      </c>
      <c r="R18" s="265">
        <v>50</v>
      </c>
      <c r="S18" s="208">
        <v>28</v>
      </c>
      <c r="T18" s="208">
        <v>34</v>
      </c>
      <c r="U18" s="209">
        <f t="shared" si="3"/>
        <v>44146</v>
      </c>
      <c r="V18" s="208">
        <v>44.1</v>
      </c>
      <c r="W18" s="140">
        <f t="shared" si="4"/>
        <v>45.1</v>
      </c>
      <c r="X18" s="140">
        <v>1</v>
      </c>
      <c r="Y18" s="141">
        <f t="shared" si="5"/>
        <v>3.8999999999999986</v>
      </c>
      <c r="Z18" s="210">
        <v>140</v>
      </c>
      <c r="AA18" s="211" t="s">
        <v>268</v>
      </c>
      <c r="AB18" s="211">
        <v>8</v>
      </c>
      <c r="AC18" s="211">
        <v>10</v>
      </c>
      <c r="AD18" s="211">
        <v>80</v>
      </c>
      <c r="AE18" s="211">
        <v>6</v>
      </c>
      <c r="AF18" s="211">
        <v>42</v>
      </c>
      <c r="AG18" s="211" t="s">
        <v>242</v>
      </c>
      <c r="AH18" s="211"/>
      <c r="AI18" s="212">
        <v>95</v>
      </c>
      <c r="AJ18" s="212"/>
      <c r="AK18" s="213">
        <v>47.5</v>
      </c>
      <c r="AL18" s="212">
        <v>1987</v>
      </c>
      <c r="AM18" s="226">
        <v>44147</v>
      </c>
      <c r="AN18" s="215">
        <v>1.52</v>
      </c>
      <c r="AO18" s="216">
        <v>11.2</v>
      </c>
      <c r="AP18" s="216">
        <v>0.65</v>
      </c>
      <c r="AQ18" s="217">
        <f t="shared" si="1"/>
        <v>3.21048</v>
      </c>
      <c r="AR18" s="218">
        <v>140</v>
      </c>
      <c r="AS18" s="219" t="s">
        <v>248</v>
      </c>
      <c r="AT18" s="220" t="s">
        <v>269</v>
      </c>
      <c r="AU18" s="220"/>
      <c r="AV18" s="221"/>
      <c r="AW18" s="221"/>
      <c r="AX18" s="222">
        <v>44146</v>
      </c>
    </row>
    <row r="19" spans="2:50" ht="19.5" thickBot="1" x14ac:dyDescent="0.35">
      <c r="B19" s="193">
        <v>11</v>
      </c>
      <c r="C19" s="194">
        <v>141</v>
      </c>
      <c r="D19" s="195" t="s">
        <v>45</v>
      </c>
      <c r="E19" s="270">
        <v>1411072</v>
      </c>
      <c r="F19" s="224">
        <v>42579</v>
      </c>
      <c r="G19" s="198">
        <v>15</v>
      </c>
      <c r="H19" s="199">
        <v>33.5</v>
      </c>
      <c r="I19" s="200">
        <v>65</v>
      </c>
      <c r="J19" s="201">
        <v>61</v>
      </c>
      <c r="K19" s="202">
        <v>68</v>
      </c>
      <c r="L19" s="203">
        <v>60</v>
      </c>
      <c r="M19" s="133">
        <f t="shared" si="2"/>
        <v>68.14209000000001</v>
      </c>
      <c r="N19" s="225">
        <v>30</v>
      </c>
      <c r="O19" s="205">
        <v>60</v>
      </c>
      <c r="P19" s="206">
        <f t="shared" si="0"/>
        <v>15</v>
      </c>
      <c r="Q19" s="246">
        <v>30</v>
      </c>
      <c r="R19" s="265">
        <v>50</v>
      </c>
      <c r="S19" s="208">
        <v>37</v>
      </c>
      <c r="T19" s="208">
        <v>42</v>
      </c>
      <c r="U19" s="209">
        <v>44545</v>
      </c>
      <c r="V19" s="208">
        <v>53.4</v>
      </c>
      <c r="W19" s="140">
        <f t="shared" si="4"/>
        <v>54.4</v>
      </c>
      <c r="X19" s="140">
        <v>1</v>
      </c>
      <c r="Y19" s="141">
        <f t="shared" si="5"/>
        <v>-1.3999999999999986</v>
      </c>
      <c r="Z19" s="210">
        <v>141</v>
      </c>
      <c r="AA19" s="211">
        <v>33</v>
      </c>
      <c r="AB19" s="211">
        <v>5.5</v>
      </c>
      <c r="AC19" s="211">
        <v>11</v>
      </c>
      <c r="AD19" s="211">
        <v>83</v>
      </c>
      <c r="AE19" s="211">
        <v>6</v>
      </c>
      <c r="AF19" s="211">
        <v>46</v>
      </c>
      <c r="AG19" s="211" t="s">
        <v>242</v>
      </c>
      <c r="AH19" s="211"/>
      <c r="AI19" s="212">
        <v>106</v>
      </c>
      <c r="AJ19" s="212"/>
      <c r="AK19" s="213">
        <v>19.3</v>
      </c>
      <c r="AL19" s="212">
        <v>1987</v>
      </c>
      <c r="AM19" s="226">
        <v>44174</v>
      </c>
      <c r="AN19" s="215">
        <v>1.1000000000000001</v>
      </c>
      <c r="AO19" s="216">
        <v>7.9</v>
      </c>
      <c r="AP19" s="216">
        <v>0.65</v>
      </c>
      <c r="AQ19" s="217">
        <f t="shared" si="1"/>
        <v>2.7420900000000001</v>
      </c>
      <c r="AR19" s="218">
        <v>141</v>
      </c>
      <c r="AS19" s="219" t="s">
        <v>248</v>
      </c>
      <c r="AT19" s="220" t="s">
        <v>264</v>
      </c>
      <c r="AU19" s="220" t="s">
        <v>249</v>
      </c>
      <c r="AV19" s="221"/>
      <c r="AW19" s="221"/>
      <c r="AX19" s="222">
        <v>44545</v>
      </c>
    </row>
    <row r="20" spans="2:50" ht="19.5" thickBot="1" x14ac:dyDescent="0.35">
      <c r="B20" s="271">
        <v>12</v>
      </c>
      <c r="C20" s="194">
        <v>142</v>
      </c>
      <c r="D20" s="195" t="s">
        <v>254</v>
      </c>
      <c r="E20" s="272" t="s">
        <v>335</v>
      </c>
      <c r="F20" s="224">
        <v>44104</v>
      </c>
      <c r="G20" s="198">
        <v>26</v>
      </c>
      <c r="H20" s="199">
        <v>58.6</v>
      </c>
      <c r="I20" s="200">
        <v>92</v>
      </c>
      <c r="J20" s="201">
        <v>80</v>
      </c>
      <c r="K20" s="269">
        <v>105</v>
      </c>
      <c r="L20" s="203">
        <v>93.6</v>
      </c>
      <c r="M20" s="133">
        <f t="shared" si="2"/>
        <v>62.069119999999998</v>
      </c>
      <c r="N20" s="225">
        <v>61.6</v>
      </c>
      <c r="O20" s="205">
        <v>93.69</v>
      </c>
      <c r="P20" s="206">
        <f t="shared" si="0"/>
        <v>26</v>
      </c>
      <c r="Q20" s="206">
        <v>62.3</v>
      </c>
      <c r="R20" s="265">
        <v>49.96</v>
      </c>
      <c r="S20" s="208">
        <v>35</v>
      </c>
      <c r="T20" s="273">
        <v>44</v>
      </c>
      <c r="U20" s="209">
        <f t="shared" si="3"/>
        <v>44064</v>
      </c>
      <c r="V20" s="208">
        <v>50.4</v>
      </c>
      <c r="W20" s="140">
        <f t="shared" si="4"/>
        <v>51.4</v>
      </c>
      <c r="X20" s="140">
        <v>1</v>
      </c>
      <c r="Y20" s="141">
        <f t="shared" si="5"/>
        <v>-1.3999999999999986</v>
      </c>
      <c r="Z20" s="210">
        <v>142</v>
      </c>
      <c r="AA20" s="211" t="s">
        <v>270</v>
      </c>
      <c r="AB20" s="212">
        <v>7.5</v>
      </c>
      <c r="AC20" s="212">
        <v>10.5</v>
      </c>
      <c r="AD20" s="211">
        <v>84</v>
      </c>
      <c r="AE20" s="211">
        <v>5</v>
      </c>
      <c r="AF20" s="211">
        <v>44</v>
      </c>
      <c r="AG20" s="211" t="s">
        <v>242</v>
      </c>
      <c r="AH20" s="211"/>
      <c r="AI20" s="212">
        <v>102</v>
      </c>
      <c r="AJ20" s="212"/>
      <c r="AK20" s="213">
        <v>34</v>
      </c>
      <c r="AL20" s="212">
        <v>1987</v>
      </c>
      <c r="AM20" s="226"/>
      <c r="AN20" s="215">
        <v>0.7</v>
      </c>
      <c r="AO20" s="216">
        <v>11.2</v>
      </c>
      <c r="AP20" s="216">
        <v>0.65</v>
      </c>
      <c r="AQ20" s="217">
        <f t="shared" si="1"/>
        <v>3.6691199999999999</v>
      </c>
      <c r="AR20" s="218">
        <v>142</v>
      </c>
      <c r="AS20" s="219" t="s">
        <v>248</v>
      </c>
      <c r="AT20" s="220" t="s">
        <v>264</v>
      </c>
      <c r="AU20" s="220" t="s">
        <v>264</v>
      </c>
      <c r="AV20" s="274"/>
      <c r="AW20" s="274"/>
      <c r="AX20" s="222">
        <v>44064</v>
      </c>
    </row>
    <row r="21" spans="2:50" ht="19.5" thickBot="1" x14ac:dyDescent="0.35">
      <c r="B21" s="193">
        <v>13</v>
      </c>
      <c r="C21" s="235">
        <v>143</v>
      </c>
      <c r="D21" s="236" t="s">
        <v>254</v>
      </c>
      <c r="E21" s="275" t="s">
        <v>336</v>
      </c>
      <c r="F21" s="276">
        <v>44104</v>
      </c>
      <c r="G21" s="239">
        <v>26</v>
      </c>
      <c r="H21" s="240">
        <v>58.6</v>
      </c>
      <c r="I21" s="241">
        <v>92</v>
      </c>
      <c r="J21" s="242">
        <v>80</v>
      </c>
      <c r="K21" s="243">
        <v>112</v>
      </c>
      <c r="L21" s="244">
        <v>103</v>
      </c>
      <c r="M21" s="133">
        <f t="shared" si="2"/>
        <v>61.010479999999994</v>
      </c>
      <c r="N21" s="277">
        <v>59.7</v>
      </c>
      <c r="O21" s="278">
        <v>87.73</v>
      </c>
      <c r="P21" s="246">
        <f t="shared" si="0"/>
        <v>26</v>
      </c>
      <c r="Q21" s="246">
        <v>51</v>
      </c>
      <c r="R21" s="247">
        <v>45.96</v>
      </c>
      <c r="S21" s="248">
        <v>36</v>
      </c>
      <c r="T21" s="248">
        <v>43</v>
      </c>
      <c r="U21" s="249">
        <f t="shared" si="3"/>
        <v>44048</v>
      </c>
      <c r="V21" s="248">
        <v>44.1</v>
      </c>
      <c r="W21" s="140">
        <f t="shared" si="4"/>
        <v>45.1</v>
      </c>
      <c r="X21" s="140">
        <v>1</v>
      </c>
      <c r="Y21" s="250">
        <f t="shared" si="5"/>
        <v>3.8999999999999986</v>
      </c>
      <c r="Z21" s="251">
        <v>143</v>
      </c>
      <c r="AA21" s="252" t="s">
        <v>271</v>
      </c>
      <c r="AB21" s="252">
        <v>10</v>
      </c>
      <c r="AC21" s="252">
        <v>13</v>
      </c>
      <c r="AD21" s="252">
        <v>80</v>
      </c>
      <c r="AE21" s="252">
        <v>6</v>
      </c>
      <c r="AF21" s="252">
        <v>42</v>
      </c>
      <c r="AG21" s="252" t="s">
        <v>242</v>
      </c>
      <c r="AH21" s="252"/>
      <c r="AI21" s="253">
        <v>94</v>
      </c>
      <c r="AJ21" s="253"/>
      <c r="AK21" s="254">
        <v>31.3</v>
      </c>
      <c r="AL21" s="253">
        <v>1987</v>
      </c>
      <c r="AM21" s="214"/>
      <c r="AN21" s="255">
        <v>1.27</v>
      </c>
      <c r="AO21" s="256">
        <v>11.2</v>
      </c>
      <c r="AP21" s="256">
        <v>0.65</v>
      </c>
      <c r="AQ21" s="257">
        <f t="shared" si="1"/>
        <v>3.21048</v>
      </c>
      <c r="AR21" s="258">
        <v>143</v>
      </c>
      <c r="AS21" s="259" t="s">
        <v>248</v>
      </c>
      <c r="AT21" s="260" t="s">
        <v>256</v>
      </c>
      <c r="AU21" s="260" t="s">
        <v>253</v>
      </c>
      <c r="AV21" s="84"/>
      <c r="AW21" s="84"/>
      <c r="AX21" s="261">
        <v>44048</v>
      </c>
    </row>
    <row r="22" spans="2:50" ht="19.5" thickBot="1" x14ac:dyDescent="0.35">
      <c r="B22" s="193">
        <v>14</v>
      </c>
      <c r="C22" s="194">
        <v>144</v>
      </c>
      <c r="D22" s="195" t="s">
        <v>257</v>
      </c>
      <c r="E22" s="223">
        <v>1411286</v>
      </c>
      <c r="F22" s="267">
        <v>44439</v>
      </c>
      <c r="G22" s="198">
        <v>30</v>
      </c>
      <c r="H22" s="199">
        <v>62.1</v>
      </c>
      <c r="I22" s="200">
        <v>90</v>
      </c>
      <c r="J22" s="201">
        <v>79</v>
      </c>
      <c r="K22" s="202">
        <v>105</v>
      </c>
      <c r="L22" s="203">
        <v>82.1</v>
      </c>
      <c r="M22" s="133">
        <f t="shared" si="2"/>
        <v>64.32435000000001</v>
      </c>
      <c r="N22" s="225">
        <v>57.7</v>
      </c>
      <c r="O22" s="205">
        <v>95</v>
      </c>
      <c r="P22" s="206">
        <f t="shared" si="0"/>
        <v>30</v>
      </c>
      <c r="Q22" s="206">
        <v>58</v>
      </c>
      <c r="R22" s="265">
        <v>50</v>
      </c>
      <c r="S22" s="208">
        <v>39</v>
      </c>
      <c r="T22" s="208">
        <v>42</v>
      </c>
      <c r="U22" s="209">
        <v>44452</v>
      </c>
      <c r="V22" s="208">
        <v>49</v>
      </c>
      <c r="W22" s="140">
        <f t="shared" si="4"/>
        <v>50</v>
      </c>
      <c r="X22" s="140">
        <v>1</v>
      </c>
      <c r="Y22" s="141">
        <f t="shared" si="5"/>
        <v>2</v>
      </c>
      <c r="Z22" s="210">
        <v>144</v>
      </c>
      <c r="AA22" s="211">
        <v>42903</v>
      </c>
      <c r="AB22" s="211">
        <v>10.5</v>
      </c>
      <c r="AC22" s="211">
        <v>12.5</v>
      </c>
      <c r="AD22" s="211">
        <v>81</v>
      </c>
      <c r="AE22" s="211">
        <v>5.5</v>
      </c>
      <c r="AF22" s="211">
        <v>45.5</v>
      </c>
      <c r="AG22" s="211" t="s">
        <v>242</v>
      </c>
      <c r="AH22" s="211"/>
      <c r="AI22" s="212">
        <v>120</v>
      </c>
      <c r="AJ22" s="212"/>
      <c r="AK22" s="213">
        <v>60</v>
      </c>
      <c r="AL22" s="212">
        <v>1987</v>
      </c>
      <c r="AM22" s="226"/>
      <c r="AN22" s="215">
        <v>1.27</v>
      </c>
      <c r="AO22" s="216">
        <v>5.0999999999999996</v>
      </c>
      <c r="AP22" s="216">
        <v>0.65</v>
      </c>
      <c r="AQ22" s="217">
        <f t="shared" si="1"/>
        <v>1.62435</v>
      </c>
      <c r="AR22" s="218">
        <v>144</v>
      </c>
      <c r="AS22" s="219" t="s">
        <v>248</v>
      </c>
      <c r="AT22" s="220" t="s">
        <v>264</v>
      </c>
      <c r="AU22" s="220" t="s">
        <v>256</v>
      </c>
      <c r="AV22" s="84"/>
      <c r="AW22" s="84"/>
      <c r="AX22" s="222">
        <v>44452</v>
      </c>
    </row>
    <row r="23" spans="2:50" ht="19.5" thickBot="1" x14ac:dyDescent="0.35">
      <c r="B23" s="193">
        <v>15</v>
      </c>
      <c r="C23" s="194">
        <v>145</v>
      </c>
      <c r="D23" s="195" t="s">
        <v>272</v>
      </c>
      <c r="E23" s="270" t="s">
        <v>241</v>
      </c>
      <c r="F23" s="224">
        <v>40178</v>
      </c>
      <c r="G23" s="198">
        <v>18.5</v>
      </c>
      <c r="H23" s="199">
        <v>42</v>
      </c>
      <c r="I23" s="200">
        <v>64</v>
      </c>
      <c r="J23" s="201">
        <v>70</v>
      </c>
      <c r="K23" s="269">
        <v>64</v>
      </c>
      <c r="L23" s="203">
        <v>73.7</v>
      </c>
      <c r="M23" s="133">
        <f t="shared" si="2"/>
        <v>73.288449999999997</v>
      </c>
      <c r="N23" s="225">
        <v>38</v>
      </c>
      <c r="O23" s="205">
        <v>40</v>
      </c>
      <c r="P23" s="206">
        <f t="shared" si="0"/>
        <v>18.5</v>
      </c>
      <c r="Q23" s="206">
        <v>38.200000000000003</v>
      </c>
      <c r="R23" s="265">
        <v>50</v>
      </c>
      <c r="S23" s="208">
        <v>32</v>
      </c>
      <c r="T23" s="208">
        <v>40</v>
      </c>
      <c r="U23" s="209">
        <f t="shared" si="3"/>
        <v>43068</v>
      </c>
      <c r="V23" s="208">
        <v>63</v>
      </c>
      <c r="W23" s="140">
        <f t="shared" si="4"/>
        <v>66.2</v>
      </c>
      <c r="X23" s="279">
        <v>3.2</v>
      </c>
      <c r="Y23" s="141">
        <f t="shared" si="5"/>
        <v>-12</v>
      </c>
      <c r="Z23" s="210">
        <v>145</v>
      </c>
      <c r="AA23" s="211" t="s">
        <v>273</v>
      </c>
      <c r="AB23" s="211">
        <v>38</v>
      </c>
      <c r="AC23" s="211">
        <v>41</v>
      </c>
      <c r="AD23" s="211">
        <v>100</v>
      </c>
      <c r="AE23" s="211">
        <v>-2</v>
      </c>
      <c r="AF23" s="211">
        <v>53</v>
      </c>
      <c r="AG23" s="211" t="s">
        <v>242</v>
      </c>
      <c r="AH23" s="211"/>
      <c r="AI23" s="212">
        <v>100</v>
      </c>
      <c r="AJ23" s="212"/>
      <c r="AK23" s="213">
        <v>33.33</v>
      </c>
      <c r="AL23" s="212">
        <v>2009</v>
      </c>
      <c r="AM23" s="226"/>
      <c r="AN23" s="215">
        <v>0.5</v>
      </c>
      <c r="AO23" s="216">
        <v>5.0999999999999996</v>
      </c>
      <c r="AP23" s="216">
        <v>0.65</v>
      </c>
      <c r="AQ23" s="217">
        <f t="shared" si="1"/>
        <v>2.0884499999999999</v>
      </c>
      <c r="AR23" s="218">
        <v>145</v>
      </c>
      <c r="AS23" s="219" t="s">
        <v>248</v>
      </c>
      <c r="AT23" s="220" t="s">
        <v>264</v>
      </c>
      <c r="AU23" s="220" t="s">
        <v>264</v>
      </c>
      <c r="AV23" s="84"/>
      <c r="AW23" s="84"/>
      <c r="AX23" s="222">
        <v>43068</v>
      </c>
    </row>
    <row r="24" spans="2:50" ht="19.5" thickBot="1" x14ac:dyDescent="0.35">
      <c r="B24" s="193">
        <v>16</v>
      </c>
      <c r="C24" s="194">
        <v>147</v>
      </c>
      <c r="D24" s="195" t="s">
        <v>45</v>
      </c>
      <c r="E24" s="266" t="s">
        <v>337</v>
      </c>
      <c r="F24" s="197" t="s">
        <v>338</v>
      </c>
      <c r="G24" s="198">
        <v>15</v>
      </c>
      <c r="H24" s="199">
        <v>33.5</v>
      </c>
      <c r="I24" s="200">
        <v>65</v>
      </c>
      <c r="J24" s="201">
        <v>61</v>
      </c>
      <c r="K24" s="269">
        <v>68</v>
      </c>
      <c r="L24" s="203">
        <v>65</v>
      </c>
      <c r="M24" s="133">
        <f t="shared" si="2"/>
        <v>58.62435</v>
      </c>
      <c r="N24" s="225">
        <v>30.5</v>
      </c>
      <c r="O24" s="205">
        <v>62.2</v>
      </c>
      <c r="P24" s="206">
        <f t="shared" si="0"/>
        <v>15</v>
      </c>
      <c r="Q24" s="206">
        <v>28.6</v>
      </c>
      <c r="R24" s="265">
        <v>48</v>
      </c>
      <c r="S24" s="208">
        <v>34</v>
      </c>
      <c r="T24" s="208">
        <v>40</v>
      </c>
      <c r="U24" s="209">
        <f t="shared" si="3"/>
        <v>43444</v>
      </c>
      <c r="V24" s="208">
        <v>49</v>
      </c>
      <c r="W24" s="140">
        <f t="shared" si="4"/>
        <v>50</v>
      </c>
      <c r="X24" s="279">
        <v>1</v>
      </c>
      <c r="Y24" s="141">
        <f t="shared" si="5"/>
        <v>-3</v>
      </c>
      <c r="Z24" s="210">
        <v>147</v>
      </c>
      <c r="AA24" s="211" t="s">
        <v>274</v>
      </c>
      <c r="AB24" s="211">
        <v>20.3</v>
      </c>
      <c r="AC24" s="211">
        <v>21.3</v>
      </c>
      <c r="AD24" s="211">
        <v>90</v>
      </c>
      <c r="AE24" s="211"/>
      <c r="AF24" s="211">
        <v>46</v>
      </c>
      <c r="AG24" s="211" t="s">
        <v>242</v>
      </c>
      <c r="AH24" s="211">
        <v>145.80000000000001</v>
      </c>
      <c r="AI24" s="212">
        <v>90</v>
      </c>
      <c r="AJ24" s="212"/>
      <c r="AK24" s="213">
        <v>90</v>
      </c>
      <c r="AL24" s="212">
        <v>1987</v>
      </c>
      <c r="AM24" s="226"/>
      <c r="AN24" s="215">
        <v>0.7</v>
      </c>
      <c r="AO24" s="216">
        <v>5.0999999999999996</v>
      </c>
      <c r="AP24" s="216">
        <v>0.65</v>
      </c>
      <c r="AQ24" s="217">
        <f t="shared" si="1"/>
        <v>1.62435</v>
      </c>
      <c r="AR24" s="218">
        <v>147</v>
      </c>
      <c r="AS24" s="219" t="s">
        <v>248</v>
      </c>
      <c r="AT24" s="220" t="s">
        <v>269</v>
      </c>
      <c r="AU24" s="220" t="s">
        <v>275</v>
      </c>
      <c r="AV24" s="84"/>
      <c r="AW24" s="84"/>
      <c r="AX24" s="222">
        <v>43444</v>
      </c>
    </row>
    <row r="25" spans="2:50" ht="30.75" thickBot="1" x14ac:dyDescent="0.35">
      <c r="B25" s="193">
        <v>17</v>
      </c>
      <c r="C25" s="194">
        <v>148</v>
      </c>
      <c r="D25" s="195" t="s">
        <v>52</v>
      </c>
      <c r="E25" s="196" t="s">
        <v>339</v>
      </c>
      <c r="F25" s="197" t="s">
        <v>340</v>
      </c>
      <c r="G25" s="198">
        <v>26</v>
      </c>
      <c r="H25" s="199">
        <v>58.5</v>
      </c>
      <c r="I25" s="200">
        <v>90</v>
      </c>
      <c r="J25" s="201">
        <v>64</v>
      </c>
      <c r="K25" s="269">
        <v>94</v>
      </c>
      <c r="L25" s="203">
        <v>111</v>
      </c>
      <c r="M25" s="133">
        <f t="shared" si="2"/>
        <v>57.899750000000004</v>
      </c>
      <c r="N25" s="225">
        <v>54.14</v>
      </c>
      <c r="O25" s="205">
        <v>100.8</v>
      </c>
      <c r="P25" s="206">
        <f t="shared" si="0"/>
        <v>26</v>
      </c>
      <c r="Q25" s="206">
        <v>49.94</v>
      </c>
      <c r="R25" s="265">
        <v>47.5</v>
      </c>
      <c r="S25" s="208">
        <v>26</v>
      </c>
      <c r="T25" s="208">
        <v>43</v>
      </c>
      <c r="U25" s="209">
        <f t="shared" si="3"/>
        <v>43486</v>
      </c>
      <c r="V25" s="208">
        <v>44.1</v>
      </c>
      <c r="W25" s="140">
        <f t="shared" si="4"/>
        <v>45.1</v>
      </c>
      <c r="X25" s="279">
        <v>1</v>
      </c>
      <c r="Y25" s="141">
        <f t="shared" si="5"/>
        <v>5.8999999999999986</v>
      </c>
      <c r="Z25" s="210">
        <v>148</v>
      </c>
      <c r="AA25" s="211">
        <v>148</v>
      </c>
      <c r="AB25" s="211">
        <v>13</v>
      </c>
      <c r="AC25" s="211">
        <v>18</v>
      </c>
      <c r="AD25" s="211">
        <v>90</v>
      </c>
      <c r="AE25" s="211">
        <v>3</v>
      </c>
      <c r="AF25" s="211">
        <v>47</v>
      </c>
      <c r="AG25" s="211" t="s">
        <v>242</v>
      </c>
      <c r="AH25" s="211"/>
      <c r="AI25" s="212">
        <v>150</v>
      </c>
      <c r="AJ25" s="212"/>
      <c r="AK25" s="213">
        <v>30</v>
      </c>
      <c r="AL25" s="212">
        <v>1987</v>
      </c>
      <c r="AM25" s="226"/>
      <c r="AN25" s="215">
        <v>0.85</v>
      </c>
      <c r="AO25" s="216">
        <v>15</v>
      </c>
      <c r="AP25" s="216">
        <v>0.65</v>
      </c>
      <c r="AQ25" s="217">
        <f t="shared" si="1"/>
        <v>4.2997500000000004</v>
      </c>
      <c r="AR25" s="218">
        <v>148</v>
      </c>
      <c r="AS25" s="219" t="s">
        <v>248</v>
      </c>
      <c r="AT25" s="220" t="s">
        <v>269</v>
      </c>
      <c r="AU25" s="220" t="s">
        <v>269</v>
      </c>
      <c r="AV25" s="84"/>
      <c r="AW25" s="84"/>
      <c r="AX25" s="222">
        <v>43486</v>
      </c>
    </row>
    <row r="26" spans="2:50" ht="19.5" thickBot="1" x14ac:dyDescent="0.35">
      <c r="B26" s="193">
        <v>18</v>
      </c>
      <c r="C26" s="194">
        <v>149</v>
      </c>
      <c r="D26" s="195" t="s">
        <v>7</v>
      </c>
      <c r="E26" s="280" t="s">
        <v>341</v>
      </c>
      <c r="F26" s="197" t="s">
        <v>342</v>
      </c>
      <c r="G26" s="198">
        <v>26</v>
      </c>
      <c r="H26" s="199">
        <v>56.7</v>
      </c>
      <c r="I26" s="200">
        <v>120</v>
      </c>
      <c r="J26" s="201">
        <v>60</v>
      </c>
      <c r="K26" s="269">
        <v>120</v>
      </c>
      <c r="L26" s="203">
        <v>108</v>
      </c>
      <c r="M26" s="133">
        <f t="shared" si="2"/>
        <v>58.699750000000009</v>
      </c>
      <c r="N26" s="225">
        <v>60.05</v>
      </c>
      <c r="O26" s="205">
        <v>104.4</v>
      </c>
      <c r="P26" s="206">
        <f t="shared" si="0"/>
        <v>26</v>
      </c>
      <c r="Q26" s="206">
        <v>56.99</v>
      </c>
      <c r="R26" s="265">
        <v>48.5</v>
      </c>
      <c r="S26" s="208">
        <v>30</v>
      </c>
      <c r="T26" s="208">
        <v>41</v>
      </c>
      <c r="U26" s="209">
        <f t="shared" si="3"/>
        <v>43455</v>
      </c>
      <c r="V26" s="208">
        <v>44.1</v>
      </c>
      <c r="W26" s="140">
        <f t="shared" si="4"/>
        <v>45.1</v>
      </c>
      <c r="X26" s="279">
        <v>1</v>
      </c>
      <c r="Y26" s="141">
        <f t="shared" si="5"/>
        <v>5.8999999999999986</v>
      </c>
      <c r="Z26" s="210">
        <v>149</v>
      </c>
      <c r="AA26" s="211" t="s">
        <v>276</v>
      </c>
      <c r="AB26" s="211">
        <v>12</v>
      </c>
      <c r="AC26" s="211">
        <v>13.5</v>
      </c>
      <c r="AD26" s="211">
        <v>84</v>
      </c>
      <c r="AE26" s="211">
        <v>5</v>
      </c>
      <c r="AF26" s="211">
        <v>45</v>
      </c>
      <c r="AG26" s="211" t="s">
        <v>242</v>
      </c>
      <c r="AH26" s="211"/>
      <c r="AI26" s="212">
        <v>110</v>
      </c>
      <c r="AJ26" s="212"/>
      <c r="AK26" s="213">
        <v>75</v>
      </c>
      <c r="AL26" s="212">
        <v>1987</v>
      </c>
      <c r="AM26" s="226"/>
      <c r="AN26" s="215">
        <v>0.93</v>
      </c>
      <c r="AO26" s="216">
        <v>15</v>
      </c>
      <c r="AP26" s="216">
        <v>0.65</v>
      </c>
      <c r="AQ26" s="217">
        <f t="shared" si="1"/>
        <v>4.2997500000000004</v>
      </c>
      <c r="AR26" s="218">
        <v>149</v>
      </c>
      <c r="AS26" s="219" t="s">
        <v>248</v>
      </c>
      <c r="AT26" s="220" t="s">
        <v>269</v>
      </c>
      <c r="AU26" s="220" t="s">
        <v>275</v>
      </c>
      <c r="AV26" s="84"/>
      <c r="AW26" s="84"/>
      <c r="AX26" s="222">
        <v>43455</v>
      </c>
    </row>
    <row r="27" spans="2:50" ht="19.5" thickBot="1" x14ac:dyDescent="0.35">
      <c r="B27" s="193">
        <v>19</v>
      </c>
      <c r="C27" s="194">
        <v>150</v>
      </c>
      <c r="D27" s="195" t="s">
        <v>78</v>
      </c>
      <c r="E27" s="268" t="s">
        <v>343</v>
      </c>
      <c r="F27" s="197" t="s">
        <v>344</v>
      </c>
      <c r="G27" s="198">
        <v>26</v>
      </c>
      <c r="H27" s="199">
        <v>58</v>
      </c>
      <c r="I27" s="200">
        <v>108</v>
      </c>
      <c r="J27" s="201">
        <v>62</v>
      </c>
      <c r="K27" s="269">
        <v>100</v>
      </c>
      <c r="L27" s="203">
        <v>90</v>
      </c>
      <c r="M27" s="133">
        <f t="shared" si="2"/>
        <v>68.45750000000001</v>
      </c>
      <c r="N27" s="225">
        <v>50.66</v>
      </c>
      <c r="O27" s="205">
        <v>68</v>
      </c>
      <c r="P27" s="206">
        <f t="shared" si="0"/>
        <v>26</v>
      </c>
      <c r="Q27" s="206">
        <v>46</v>
      </c>
      <c r="R27" s="265">
        <v>48</v>
      </c>
      <c r="S27" s="208">
        <v>35</v>
      </c>
      <c r="T27" s="208">
        <v>45</v>
      </c>
      <c r="U27" s="209">
        <f t="shared" si="3"/>
        <v>43514</v>
      </c>
      <c r="V27" s="208">
        <v>50</v>
      </c>
      <c r="W27" s="140">
        <f t="shared" si="4"/>
        <v>53.2</v>
      </c>
      <c r="X27" s="279">
        <v>3.2</v>
      </c>
      <c r="Y27" s="141">
        <f t="shared" si="5"/>
        <v>1</v>
      </c>
      <c r="Z27" s="210">
        <v>150</v>
      </c>
      <c r="AA27" s="211" t="s">
        <v>277</v>
      </c>
      <c r="AB27" s="211">
        <v>39</v>
      </c>
      <c r="AC27" s="211">
        <v>50</v>
      </c>
      <c r="AD27" s="211">
        <v>116</v>
      </c>
      <c r="AE27" s="211">
        <v>3</v>
      </c>
      <c r="AF27" s="211">
        <v>48</v>
      </c>
      <c r="AG27" s="211" t="s">
        <v>242</v>
      </c>
      <c r="AH27" s="211"/>
      <c r="AI27" s="212">
        <v>105</v>
      </c>
      <c r="AJ27" s="212"/>
      <c r="AK27" s="213">
        <v>9.5500000000000007</v>
      </c>
      <c r="AL27" s="212">
        <v>2007</v>
      </c>
      <c r="AM27" s="226"/>
      <c r="AN27" s="215">
        <v>1.36</v>
      </c>
      <c r="AO27" s="216">
        <v>5.0999999999999996</v>
      </c>
      <c r="AP27" s="216">
        <v>0.65</v>
      </c>
      <c r="AQ27" s="217">
        <f t="shared" si="1"/>
        <v>1.6575</v>
      </c>
      <c r="AR27" s="218">
        <v>150</v>
      </c>
      <c r="AS27" s="219" t="s">
        <v>248</v>
      </c>
      <c r="AT27" s="220" t="s">
        <v>264</v>
      </c>
      <c r="AU27" s="220" t="s">
        <v>264</v>
      </c>
      <c r="AV27" s="84"/>
      <c r="AW27" s="84"/>
      <c r="AX27" s="222">
        <v>43514</v>
      </c>
    </row>
    <row r="28" spans="2:50" ht="19.5" thickBot="1" x14ac:dyDescent="0.35">
      <c r="B28" s="193">
        <v>20</v>
      </c>
      <c r="C28" s="194">
        <v>151</v>
      </c>
      <c r="D28" s="195" t="s">
        <v>257</v>
      </c>
      <c r="E28" s="268">
        <v>1411288</v>
      </c>
      <c r="F28" s="267">
        <v>44439</v>
      </c>
      <c r="G28" s="198">
        <v>30</v>
      </c>
      <c r="H28" s="199">
        <v>62.1</v>
      </c>
      <c r="I28" s="200">
        <v>90</v>
      </c>
      <c r="J28" s="201">
        <v>79</v>
      </c>
      <c r="K28" s="269">
        <v>75</v>
      </c>
      <c r="L28" s="203">
        <v>84</v>
      </c>
      <c r="M28" s="133">
        <f t="shared" si="2"/>
        <v>112.6215</v>
      </c>
      <c r="N28" s="225">
        <v>54.8</v>
      </c>
      <c r="O28" s="205">
        <v>73</v>
      </c>
      <c r="P28" s="206">
        <f t="shared" si="0"/>
        <v>30</v>
      </c>
      <c r="Q28" s="206">
        <v>53</v>
      </c>
      <c r="R28" s="265">
        <v>50</v>
      </c>
      <c r="S28" s="208">
        <v>18</v>
      </c>
      <c r="T28" s="208">
        <v>68</v>
      </c>
      <c r="U28" s="209">
        <v>44406</v>
      </c>
      <c r="V28" s="208">
        <v>90</v>
      </c>
      <c r="W28" s="140">
        <f t="shared" si="4"/>
        <v>93.2</v>
      </c>
      <c r="X28" s="279">
        <v>3.2</v>
      </c>
      <c r="Y28" s="141">
        <f t="shared" si="5"/>
        <v>87</v>
      </c>
      <c r="Z28" s="210">
        <v>151</v>
      </c>
      <c r="AA28" s="211" t="s">
        <v>278</v>
      </c>
      <c r="AB28" s="211">
        <v>17</v>
      </c>
      <c r="AC28" s="211">
        <v>36.799999999999997</v>
      </c>
      <c r="AD28" s="211">
        <v>219</v>
      </c>
      <c r="AE28" s="211">
        <v>3</v>
      </c>
      <c r="AF28" s="211">
        <v>174</v>
      </c>
      <c r="AG28" s="211" t="s">
        <v>279</v>
      </c>
      <c r="AH28" s="211"/>
      <c r="AI28" s="212">
        <v>79</v>
      </c>
      <c r="AJ28" s="212"/>
      <c r="AK28" s="213">
        <v>3.98</v>
      </c>
      <c r="AL28" s="212">
        <v>2016</v>
      </c>
      <c r="AM28" s="226">
        <v>42658</v>
      </c>
      <c r="AN28" s="215">
        <v>1.48</v>
      </c>
      <c r="AO28" s="216">
        <v>7.9</v>
      </c>
      <c r="AP28" s="216">
        <v>0.65</v>
      </c>
      <c r="AQ28" s="217">
        <f t="shared" si="1"/>
        <v>4.6215000000000002</v>
      </c>
      <c r="AR28" s="218">
        <v>151</v>
      </c>
      <c r="AS28" s="219" t="s">
        <v>248</v>
      </c>
      <c r="AT28" s="220" t="s">
        <v>256</v>
      </c>
      <c r="AU28" s="220" t="s">
        <v>253</v>
      </c>
      <c r="AV28" s="84"/>
      <c r="AW28" s="84"/>
      <c r="AX28" s="222">
        <v>44406</v>
      </c>
    </row>
    <row r="29" spans="2:50" ht="19.5" thickBot="1" x14ac:dyDescent="0.35">
      <c r="B29" s="193">
        <v>21</v>
      </c>
      <c r="C29" s="194">
        <v>152</v>
      </c>
      <c r="D29" s="195" t="s">
        <v>7</v>
      </c>
      <c r="E29" s="270" t="s">
        <v>241</v>
      </c>
      <c r="F29" s="197" t="s">
        <v>345</v>
      </c>
      <c r="G29" s="198">
        <v>26</v>
      </c>
      <c r="H29" s="199">
        <v>57</v>
      </c>
      <c r="I29" s="200">
        <v>120</v>
      </c>
      <c r="J29" s="201">
        <v>60</v>
      </c>
      <c r="K29" s="269">
        <v>120</v>
      </c>
      <c r="L29" s="203">
        <v>97.5</v>
      </c>
      <c r="M29" s="133">
        <f t="shared" si="2"/>
        <v>61.826450000000001</v>
      </c>
      <c r="N29" s="225">
        <v>55.9</v>
      </c>
      <c r="O29" s="205">
        <v>88</v>
      </c>
      <c r="P29" s="206">
        <f t="shared" si="0"/>
        <v>26</v>
      </c>
      <c r="Q29" s="206">
        <v>47.5</v>
      </c>
      <c r="R29" s="265">
        <v>46.5</v>
      </c>
      <c r="S29" s="208">
        <v>34</v>
      </c>
      <c r="T29" s="208">
        <v>42</v>
      </c>
      <c r="U29" s="209">
        <f t="shared" si="3"/>
        <v>43390</v>
      </c>
      <c r="V29" s="208">
        <v>44.1</v>
      </c>
      <c r="W29" s="140">
        <f t="shared" si="4"/>
        <v>45.1</v>
      </c>
      <c r="X29" s="279">
        <v>1</v>
      </c>
      <c r="Y29" s="141">
        <f t="shared" si="5"/>
        <v>-3.3500000000000014</v>
      </c>
      <c r="Z29" s="210">
        <v>152</v>
      </c>
      <c r="AA29" s="211" t="s">
        <v>280</v>
      </c>
      <c r="AB29" s="211">
        <v>4</v>
      </c>
      <c r="AC29" s="211">
        <v>8</v>
      </c>
      <c r="AD29" s="211">
        <v>110</v>
      </c>
      <c r="AE29" s="211">
        <v>4</v>
      </c>
      <c r="AF29" s="211">
        <v>36.75</v>
      </c>
      <c r="AG29" s="211" t="s">
        <v>242</v>
      </c>
      <c r="AH29" s="211">
        <v>210</v>
      </c>
      <c r="AI29" s="212">
        <v>170</v>
      </c>
      <c r="AJ29" s="212"/>
      <c r="AK29" s="213">
        <v>42.5</v>
      </c>
      <c r="AL29" s="212">
        <v>1981</v>
      </c>
      <c r="AM29" s="226">
        <v>42733</v>
      </c>
      <c r="AN29" s="215">
        <v>1.3</v>
      </c>
      <c r="AO29" s="216">
        <v>13</v>
      </c>
      <c r="AP29" s="216">
        <v>0.65</v>
      </c>
      <c r="AQ29" s="217">
        <f t="shared" si="1"/>
        <v>3.7264500000000003</v>
      </c>
      <c r="AR29" s="218">
        <v>152</v>
      </c>
      <c r="AS29" s="219" t="s">
        <v>248</v>
      </c>
      <c r="AT29" s="220" t="s">
        <v>256</v>
      </c>
      <c r="AU29" s="220" t="s">
        <v>281</v>
      </c>
      <c r="AV29" s="84"/>
      <c r="AW29" s="84"/>
      <c r="AX29" s="222">
        <v>43390</v>
      </c>
    </row>
    <row r="30" spans="2:50" ht="19.5" thickBot="1" x14ac:dyDescent="0.35">
      <c r="B30" s="193">
        <v>22</v>
      </c>
      <c r="C30" s="194">
        <v>153</v>
      </c>
      <c r="D30" s="195" t="s">
        <v>45</v>
      </c>
      <c r="E30" s="266" t="s">
        <v>346</v>
      </c>
      <c r="F30" s="197" t="s">
        <v>347</v>
      </c>
      <c r="G30" s="198">
        <v>15</v>
      </c>
      <c r="H30" s="199">
        <v>33.5</v>
      </c>
      <c r="I30" s="200">
        <v>65</v>
      </c>
      <c r="J30" s="201">
        <v>61</v>
      </c>
      <c r="K30" s="269">
        <v>68</v>
      </c>
      <c r="L30" s="203">
        <v>63</v>
      </c>
      <c r="M30" s="133">
        <f t="shared" si="2"/>
        <v>62.106549999999999</v>
      </c>
      <c r="N30" s="225">
        <v>30.2</v>
      </c>
      <c r="O30" s="205">
        <v>63.3</v>
      </c>
      <c r="P30" s="206">
        <f t="shared" si="0"/>
        <v>15</v>
      </c>
      <c r="Q30" s="206">
        <v>26.8</v>
      </c>
      <c r="R30" s="265">
        <v>46</v>
      </c>
      <c r="S30" s="208">
        <v>27</v>
      </c>
      <c r="T30" s="208">
        <v>35</v>
      </c>
      <c r="U30" s="209">
        <f t="shared" si="3"/>
        <v>42642</v>
      </c>
      <c r="V30" s="208">
        <v>44.1</v>
      </c>
      <c r="W30" s="140">
        <f t="shared" si="4"/>
        <v>45.1</v>
      </c>
      <c r="X30" s="279">
        <v>1</v>
      </c>
      <c r="Y30" s="141">
        <f t="shared" si="5"/>
        <v>1.8999999999999986</v>
      </c>
      <c r="Z30" s="210">
        <v>153</v>
      </c>
      <c r="AA30" s="211" t="s">
        <v>282</v>
      </c>
      <c r="AB30" s="211">
        <v>10.5</v>
      </c>
      <c r="AC30" s="211">
        <v>13.3</v>
      </c>
      <c r="AD30" s="211">
        <v>101</v>
      </c>
      <c r="AE30" s="211">
        <v>4</v>
      </c>
      <c r="AF30" s="211">
        <v>42</v>
      </c>
      <c r="AG30" s="211" t="s">
        <v>242</v>
      </c>
      <c r="AH30" s="211">
        <v>120</v>
      </c>
      <c r="AI30" s="212">
        <v>129</v>
      </c>
      <c r="AJ30" s="212"/>
      <c r="AK30" s="213">
        <v>46</v>
      </c>
      <c r="AL30" s="212">
        <v>1984</v>
      </c>
      <c r="AM30" s="226"/>
      <c r="AN30" s="215">
        <v>1.5</v>
      </c>
      <c r="AO30" s="216">
        <v>7</v>
      </c>
      <c r="AP30" s="216">
        <v>0.65</v>
      </c>
      <c r="AQ30" s="217">
        <f t="shared" si="1"/>
        <v>2.0065499999999998</v>
      </c>
      <c r="AR30" s="218">
        <v>153</v>
      </c>
      <c r="AS30" s="219" t="s">
        <v>248</v>
      </c>
      <c r="AT30" s="220" t="s">
        <v>249</v>
      </c>
      <c r="AU30" s="220" t="s">
        <v>267</v>
      </c>
      <c r="AV30" s="84"/>
      <c r="AW30" s="84"/>
      <c r="AX30" s="222">
        <v>42642</v>
      </c>
    </row>
    <row r="31" spans="2:50" ht="19.5" thickBot="1" x14ac:dyDescent="0.35">
      <c r="B31" s="193">
        <v>23</v>
      </c>
      <c r="C31" s="194">
        <v>154</v>
      </c>
      <c r="D31" s="195" t="s">
        <v>283</v>
      </c>
      <c r="E31" s="270" t="s">
        <v>241</v>
      </c>
      <c r="F31" s="224">
        <v>40178</v>
      </c>
      <c r="G31" s="198">
        <v>22</v>
      </c>
      <c r="H31" s="199">
        <v>49.5</v>
      </c>
      <c r="I31" s="200">
        <v>77</v>
      </c>
      <c r="J31" s="201">
        <v>60</v>
      </c>
      <c r="K31" s="269">
        <v>84</v>
      </c>
      <c r="L31" s="203">
        <v>78.400000000000006</v>
      </c>
      <c r="M31" s="133">
        <f t="shared" si="2"/>
        <v>51.054000000000002</v>
      </c>
      <c r="N31" s="225">
        <v>47.2</v>
      </c>
      <c r="O31" s="205">
        <v>76.900000000000006</v>
      </c>
      <c r="P31" s="206">
        <f t="shared" si="0"/>
        <v>22</v>
      </c>
      <c r="Q31" s="206">
        <v>47.2</v>
      </c>
      <c r="R31" s="265">
        <v>50</v>
      </c>
      <c r="S31" s="208">
        <v>26</v>
      </c>
      <c r="T31" s="208">
        <v>35</v>
      </c>
      <c r="U31" s="209">
        <f t="shared" si="3"/>
        <v>42836</v>
      </c>
      <c r="V31" s="208">
        <v>40</v>
      </c>
      <c r="W31" s="140">
        <f t="shared" si="4"/>
        <v>41</v>
      </c>
      <c r="X31" s="279">
        <v>1</v>
      </c>
      <c r="Y31" s="141">
        <f t="shared" si="5"/>
        <v>7</v>
      </c>
      <c r="Z31" s="210">
        <v>154</v>
      </c>
      <c r="AA31" s="211" t="s">
        <v>284</v>
      </c>
      <c r="AB31" s="211">
        <v>11.2</v>
      </c>
      <c r="AC31" s="211">
        <v>13.6</v>
      </c>
      <c r="AD31" s="211">
        <v>103</v>
      </c>
      <c r="AE31" s="211">
        <v>4</v>
      </c>
      <c r="AF31" s="211">
        <v>43</v>
      </c>
      <c r="AG31" s="211" t="s">
        <v>242</v>
      </c>
      <c r="AH31" s="211">
        <v>150</v>
      </c>
      <c r="AI31" s="212">
        <v>127</v>
      </c>
      <c r="AJ31" s="212"/>
      <c r="AK31" s="213">
        <v>52.9</v>
      </c>
      <c r="AL31" s="212">
        <v>1984</v>
      </c>
      <c r="AM31" s="226"/>
      <c r="AN31" s="215">
        <v>0.8</v>
      </c>
      <c r="AO31" s="216">
        <v>7.9</v>
      </c>
      <c r="AP31" s="216">
        <v>0.65</v>
      </c>
      <c r="AQ31" s="217">
        <f t="shared" si="1"/>
        <v>2.0540000000000003</v>
      </c>
      <c r="AR31" s="218">
        <v>154</v>
      </c>
      <c r="AS31" s="219" t="s">
        <v>248</v>
      </c>
      <c r="AT31" s="220" t="s">
        <v>269</v>
      </c>
      <c r="AU31" s="220"/>
      <c r="AV31" s="84"/>
      <c r="AW31" s="84"/>
      <c r="AX31" s="222">
        <v>42836</v>
      </c>
    </row>
    <row r="32" spans="2:50" ht="19.5" thickBot="1" x14ac:dyDescent="0.35">
      <c r="B32" s="193">
        <v>24</v>
      </c>
      <c r="C32" s="194">
        <v>155</v>
      </c>
      <c r="D32" s="195" t="s">
        <v>7</v>
      </c>
      <c r="E32" s="280" t="s">
        <v>348</v>
      </c>
      <c r="F32" s="197" t="s">
        <v>349</v>
      </c>
      <c r="G32" s="198">
        <v>26</v>
      </c>
      <c r="H32" s="199">
        <v>57.5</v>
      </c>
      <c r="I32" s="200">
        <v>120</v>
      </c>
      <c r="J32" s="201">
        <v>60</v>
      </c>
      <c r="K32" s="269">
        <v>100</v>
      </c>
      <c r="L32" s="203">
        <v>100.2</v>
      </c>
      <c r="M32" s="133">
        <f t="shared" si="2"/>
        <v>74.069999999999993</v>
      </c>
      <c r="N32" s="225">
        <v>55.6</v>
      </c>
      <c r="O32" s="205">
        <v>97.5</v>
      </c>
      <c r="P32" s="206">
        <f t="shared" si="0"/>
        <v>26</v>
      </c>
      <c r="Q32" s="206">
        <v>52.5</v>
      </c>
      <c r="R32" s="265">
        <v>48.5</v>
      </c>
      <c r="S32" s="208">
        <v>25</v>
      </c>
      <c r="T32" s="208">
        <v>38</v>
      </c>
      <c r="U32" s="209">
        <f t="shared" si="3"/>
        <v>43936</v>
      </c>
      <c r="V32" s="208">
        <v>52</v>
      </c>
      <c r="W32" s="140">
        <f t="shared" si="4"/>
        <v>53</v>
      </c>
      <c r="X32" s="279">
        <v>1</v>
      </c>
      <c r="Y32" s="141">
        <f t="shared" si="5"/>
        <v>-6.5</v>
      </c>
      <c r="Z32" s="210">
        <v>155</v>
      </c>
      <c r="AA32" s="211" t="s">
        <v>285</v>
      </c>
      <c r="AB32" s="211">
        <v>5.0999999999999996</v>
      </c>
      <c r="AC32" s="211">
        <v>12.6</v>
      </c>
      <c r="AD32" s="211">
        <v>80</v>
      </c>
      <c r="AE32" s="211">
        <v>4</v>
      </c>
      <c r="AF32" s="211">
        <v>41.5</v>
      </c>
      <c r="AG32" s="211" t="s">
        <v>242</v>
      </c>
      <c r="AH32" s="211">
        <v>145</v>
      </c>
      <c r="AI32" s="212">
        <v>132</v>
      </c>
      <c r="AJ32" s="212"/>
      <c r="AK32" s="213">
        <v>17.5</v>
      </c>
      <c r="AL32" s="212">
        <v>1987</v>
      </c>
      <c r="AM32" s="226"/>
      <c r="AN32" s="215">
        <v>1.6</v>
      </c>
      <c r="AO32" s="216">
        <v>15</v>
      </c>
      <c r="AP32" s="216">
        <v>0.65</v>
      </c>
      <c r="AQ32" s="217">
        <f t="shared" si="1"/>
        <v>5.07</v>
      </c>
      <c r="AR32" s="218">
        <v>155</v>
      </c>
      <c r="AS32" s="219" t="s">
        <v>248</v>
      </c>
      <c r="AT32" s="220" t="s">
        <v>264</v>
      </c>
      <c r="AU32" s="220" t="s">
        <v>264</v>
      </c>
      <c r="AV32" s="84"/>
      <c r="AW32" s="84"/>
      <c r="AX32" s="222">
        <v>43936</v>
      </c>
    </row>
    <row r="33" spans="2:50" ht="19.5" thickBot="1" x14ac:dyDescent="0.35">
      <c r="B33" s="193">
        <v>25</v>
      </c>
      <c r="C33" s="194">
        <v>156</v>
      </c>
      <c r="D33" s="195" t="s">
        <v>286</v>
      </c>
      <c r="E33" s="270" t="s">
        <v>241</v>
      </c>
      <c r="F33" s="224">
        <v>40178</v>
      </c>
      <c r="G33" s="198">
        <v>18.5</v>
      </c>
      <c r="H33" s="199">
        <v>42</v>
      </c>
      <c r="I33" s="200">
        <v>77</v>
      </c>
      <c r="J33" s="201">
        <v>60</v>
      </c>
      <c r="K33" s="269">
        <v>77</v>
      </c>
      <c r="L33" s="203">
        <v>79.2</v>
      </c>
      <c r="M33" s="133">
        <f t="shared" si="2"/>
        <v>61.559399999999997</v>
      </c>
      <c r="N33" s="225">
        <v>34.9</v>
      </c>
      <c r="O33" s="205">
        <v>67.599999999999994</v>
      </c>
      <c r="P33" s="206">
        <f t="shared" si="0"/>
        <v>18.5</v>
      </c>
      <c r="Q33" s="206">
        <v>33.700000000000003</v>
      </c>
      <c r="R33" s="265">
        <v>46.5</v>
      </c>
      <c r="S33" s="208">
        <v>32</v>
      </c>
      <c r="T33" s="208">
        <v>40</v>
      </c>
      <c r="U33" s="209">
        <f t="shared" si="3"/>
        <v>42860</v>
      </c>
      <c r="V33" s="208">
        <v>44</v>
      </c>
      <c r="W33" s="140">
        <f t="shared" si="4"/>
        <v>45</v>
      </c>
      <c r="X33" s="279">
        <v>1</v>
      </c>
      <c r="Y33" s="141">
        <f t="shared" si="5"/>
        <v>6</v>
      </c>
      <c r="Z33" s="210">
        <v>156</v>
      </c>
      <c r="AA33" s="211" t="s">
        <v>287</v>
      </c>
      <c r="AB33" s="211">
        <v>12</v>
      </c>
      <c r="AC33" s="211">
        <v>16</v>
      </c>
      <c r="AD33" s="211">
        <v>82</v>
      </c>
      <c r="AE33" s="211">
        <v>4</v>
      </c>
      <c r="AF33" s="211">
        <v>46</v>
      </c>
      <c r="AG33" s="211" t="s">
        <v>242</v>
      </c>
      <c r="AH33" s="211">
        <v>145</v>
      </c>
      <c r="AI33" s="212">
        <v>80</v>
      </c>
      <c r="AJ33" s="212"/>
      <c r="AK33" s="213">
        <v>20</v>
      </c>
      <c r="AL33" s="212">
        <v>1987</v>
      </c>
      <c r="AM33" s="226"/>
      <c r="AN33" s="215">
        <v>1.43</v>
      </c>
      <c r="AO33" s="216">
        <v>7.9</v>
      </c>
      <c r="AP33" s="216">
        <v>0.65</v>
      </c>
      <c r="AQ33" s="217">
        <f t="shared" si="1"/>
        <v>2.2594000000000003</v>
      </c>
      <c r="AR33" s="218">
        <v>156</v>
      </c>
      <c r="AS33" s="219" t="s">
        <v>248</v>
      </c>
      <c r="AT33" s="220" t="s">
        <v>264</v>
      </c>
      <c r="AU33" s="220" t="s">
        <v>264</v>
      </c>
      <c r="AV33" s="84"/>
      <c r="AW33" s="84"/>
      <c r="AX33" s="222">
        <v>42860</v>
      </c>
    </row>
    <row r="34" spans="2:50" ht="19.5" thickBot="1" x14ac:dyDescent="0.35">
      <c r="B34" s="193">
        <v>26</v>
      </c>
      <c r="C34" s="194">
        <v>157</v>
      </c>
      <c r="D34" s="195" t="s">
        <v>286</v>
      </c>
      <c r="E34" s="270" t="s">
        <v>241</v>
      </c>
      <c r="F34" s="197" t="s">
        <v>344</v>
      </c>
      <c r="G34" s="198">
        <v>18.5</v>
      </c>
      <c r="H34" s="199">
        <v>42</v>
      </c>
      <c r="I34" s="200">
        <v>77</v>
      </c>
      <c r="J34" s="201">
        <v>60</v>
      </c>
      <c r="K34" s="269">
        <v>77</v>
      </c>
      <c r="L34" s="203">
        <v>82.8</v>
      </c>
      <c r="M34" s="133">
        <f t="shared" si="2"/>
        <v>62.203200000000002</v>
      </c>
      <c r="N34" s="225">
        <v>40.31</v>
      </c>
      <c r="O34" s="205">
        <v>82</v>
      </c>
      <c r="P34" s="206">
        <f t="shared" si="0"/>
        <v>18.5</v>
      </c>
      <c r="Q34" s="206">
        <v>40</v>
      </c>
      <c r="R34" s="265">
        <v>50</v>
      </c>
      <c r="S34" s="208">
        <v>28</v>
      </c>
      <c r="T34" s="208">
        <v>38</v>
      </c>
      <c r="U34" s="209">
        <v>44481</v>
      </c>
      <c r="V34" s="208">
        <v>44</v>
      </c>
      <c r="W34" s="140">
        <f t="shared" si="4"/>
        <v>45</v>
      </c>
      <c r="X34" s="279">
        <v>1</v>
      </c>
      <c r="Y34" s="141">
        <f t="shared" si="5"/>
        <v>-1</v>
      </c>
      <c r="Z34" s="210">
        <v>157</v>
      </c>
      <c r="AA34" s="211" t="s">
        <v>288</v>
      </c>
      <c r="AB34" s="211">
        <v>8.5</v>
      </c>
      <c r="AC34" s="211">
        <v>14</v>
      </c>
      <c r="AD34" s="211">
        <v>81</v>
      </c>
      <c r="AE34" s="211">
        <v>4</v>
      </c>
      <c r="AF34" s="211">
        <v>39</v>
      </c>
      <c r="AG34" s="211" t="s">
        <v>242</v>
      </c>
      <c r="AH34" s="211">
        <v>145</v>
      </c>
      <c r="AI34" s="212">
        <v>111.5</v>
      </c>
      <c r="AJ34" s="212"/>
      <c r="AK34" s="213">
        <v>22</v>
      </c>
      <c r="AL34" s="212">
        <v>1987</v>
      </c>
      <c r="AM34" s="226"/>
      <c r="AN34" s="215">
        <v>1.4</v>
      </c>
      <c r="AO34" s="216">
        <v>11.2</v>
      </c>
      <c r="AP34" s="216">
        <v>0.65</v>
      </c>
      <c r="AQ34" s="217">
        <f t="shared" si="1"/>
        <v>3.2031999999999998</v>
      </c>
      <c r="AR34" s="218">
        <v>157</v>
      </c>
      <c r="AS34" s="219" t="s">
        <v>248</v>
      </c>
      <c r="AT34" s="220" t="s">
        <v>249</v>
      </c>
      <c r="AU34" s="220" t="s">
        <v>250</v>
      </c>
      <c r="AV34" s="84"/>
      <c r="AW34" s="84"/>
      <c r="AX34" s="222">
        <v>44481</v>
      </c>
    </row>
    <row r="35" spans="2:50" ht="21.75" thickBot="1" x14ac:dyDescent="0.35">
      <c r="B35" s="193">
        <v>27</v>
      </c>
      <c r="C35" s="194">
        <v>158</v>
      </c>
      <c r="D35" s="195" t="s">
        <v>74</v>
      </c>
      <c r="E35" s="270" t="s">
        <v>241</v>
      </c>
      <c r="F35" s="224">
        <v>40178</v>
      </c>
      <c r="G35" s="198">
        <v>18.5</v>
      </c>
      <c r="H35" s="199">
        <v>42</v>
      </c>
      <c r="I35" s="200">
        <v>77</v>
      </c>
      <c r="J35" s="201">
        <v>60</v>
      </c>
      <c r="K35" s="269">
        <v>77</v>
      </c>
      <c r="L35" s="203">
        <v>70</v>
      </c>
      <c r="M35" s="133">
        <f t="shared" si="2"/>
        <v>60.756700000000002</v>
      </c>
      <c r="N35" s="225">
        <v>35</v>
      </c>
      <c r="O35" s="205">
        <v>73.400000000000006</v>
      </c>
      <c r="P35" s="206">
        <f t="shared" si="0"/>
        <v>18.5</v>
      </c>
      <c r="Q35" s="206">
        <v>34.200000000000003</v>
      </c>
      <c r="R35" s="265">
        <v>48</v>
      </c>
      <c r="S35" s="208">
        <v>26</v>
      </c>
      <c r="T35" s="208">
        <v>30</v>
      </c>
      <c r="U35" s="209">
        <f t="shared" si="3"/>
        <v>43308</v>
      </c>
      <c r="V35" s="208">
        <v>42</v>
      </c>
      <c r="W35" s="140">
        <f t="shared" si="4"/>
        <v>43</v>
      </c>
      <c r="X35" s="279">
        <v>1</v>
      </c>
      <c r="Y35" s="141">
        <f t="shared" si="5"/>
        <v>-2.8999999999999986</v>
      </c>
      <c r="Z35" s="210">
        <v>158</v>
      </c>
      <c r="AA35" s="211" t="s">
        <v>289</v>
      </c>
      <c r="AB35" s="211">
        <v>2.4</v>
      </c>
      <c r="AC35" s="281" t="s">
        <v>67</v>
      </c>
      <c r="AD35" s="211">
        <v>80</v>
      </c>
      <c r="AE35" s="211">
        <v>4</v>
      </c>
      <c r="AF35" s="211">
        <v>35.1</v>
      </c>
      <c r="AG35" s="211" t="s">
        <v>242</v>
      </c>
      <c r="AH35" s="211"/>
      <c r="AI35" s="212">
        <v>46.8</v>
      </c>
      <c r="AJ35" s="212"/>
      <c r="AK35" s="282" t="s">
        <v>67</v>
      </c>
      <c r="AL35" s="212">
        <v>1983</v>
      </c>
      <c r="AM35" s="226">
        <v>43308</v>
      </c>
      <c r="AN35" s="215">
        <v>1.56</v>
      </c>
      <c r="AO35" s="216">
        <v>7.9</v>
      </c>
      <c r="AP35" s="216">
        <v>0.65</v>
      </c>
      <c r="AQ35" s="217">
        <f t="shared" si="1"/>
        <v>2.1567000000000003</v>
      </c>
      <c r="AR35" s="218">
        <v>158</v>
      </c>
      <c r="AS35" s="219" t="s">
        <v>248</v>
      </c>
      <c r="AT35" s="220" t="s">
        <v>264</v>
      </c>
      <c r="AU35" s="220" t="s">
        <v>264</v>
      </c>
      <c r="AV35" s="84"/>
      <c r="AW35" s="84"/>
      <c r="AX35" s="222">
        <v>43308</v>
      </c>
    </row>
    <row r="36" spans="2:50" ht="19.5" thickBot="1" x14ac:dyDescent="0.35">
      <c r="B36" s="193">
        <v>28</v>
      </c>
      <c r="C36" s="194">
        <v>159</v>
      </c>
      <c r="D36" s="195" t="s">
        <v>47</v>
      </c>
      <c r="E36" s="270" t="s">
        <v>241</v>
      </c>
      <c r="F36" s="197" t="s">
        <v>350</v>
      </c>
      <c r="G36" s="198">
        <v>37</v>
      </c>
      <c r="H36" s="199">
        <v>79</v>
      </c>
      <c r="I36" s="200">
        <v>160</v>
      </c>
      <c r="J36" s="201">
        <v>65</v>
      </c>
      <c r="K36" s="269">
        <v>150</v>
      </c>
      <c r="L36" s="203">
        <v>140</v>
      </c>
      <c r="M36" s="133">
        <f t="shared" si="2"/>
        <v>68.13600000000001</v>
      </c>
      <c r="N36" s="225">
        <v>75.84</v>
      </c>
      <c r="O36" s="205">
        <v>133.19999999999999</v>
      </c>
      <c r="P36" s="206">
        <f t="shared" si="0"/>
        <v>37</v>
      </c>
      <c r="Q36" s="206">
        <v>73.23</v>
      </c>
      <c r="R36" s="265">
        <v>49.5</v>
      </c>
      <c r="S36" s="208">
        <v>26</v>
      </c>
      <c r="T36" s="208">
        <v>38</v>
      </c>
      <c r="U36" s="209">
        <f t="shared" si="3"/>
        <v>43585</v>
      </c>
      <c r="V36" s="208">
        <v>48</v>
      </c>
      <c r="W36" s="140">
        <f t="shared" si="4"/>
        <v>49</v>
      </c>
      <c r="X36" s="279">
        <v>1</v>
      </c>
      <c r="Y36" s="141">
        <f t="shared" si="5"/>
        <v>-9</v>
      </c>
      <c r="Z36" s="210">
        <v>159</v>
      </c>
      <c r="AA36" s="211" t="s">
        <v>290</v>
      </c>
      <c r="AB36" s="211">
        <v>6.2</v>
      </c>
      <c r="AC36" s="211">
        <v>9.1999999999999993</v>
      </c>
      <c r="AD36" s="211">
        <v>77</v>
      </c>
      <c r="AE36" s="211">
        <v>4</v>
      </c>
      <c r="AF36" s="211">
        <v>35</v>
      </c>
      <c r="AG36" s="211" t="s">
        <v>242</v>
      </c>
      <c r="AH36" s="211">
        <v>145</v>
      </c>
      <c r="AI36" s="212">
        <v>150</v>
      </c>
      <c r="AJ36" s="212"/>
      <c r="AK36" s="213">
        <v>50</v>
      </c>
      <c r="AL36" s="212">
        <v>1987</v>
      </c>
      <c r="AM36" s="226"/>
      <c r="AN36" s="215">
        <v>1.82</v>
      </c>
      <c r="AO36" s="216">
        <v>3</v>
      </c>
      <c r="AP36" s="216">
        <v>0.65</v>
      </c>
      <c r="AQ36" s="217">
        <f t="shared" si="1"/>
        <v>0.93600000000000005</v>
      </c>
      <c r="AR36" s="218">
        <v>159</v>
      </c>
      <c r="AS36" s="219" t="s">
        <v>260</v>
      </c>
      <c r="AT36" s="220" t="s">
        <v>261</v>
      </c>
      <c r="AU36" s="220" t="s">
        <v>291</v>
      </c>
      <c r="AV36" s="84"/>
      <c r="AW36" s="84"/>
      <c r="AX36" s="222">
        <v>43585</v>
      </c>
    </row>
    <row r="37" spans="2:50" ht="19.5" thickBot="1" x14ac:dyDescent="0.35">
      <c r="B37" s="193">
        <v>29</v>
      </c>
      <c r="C37" s="194">
        <v>160</v>
      </c>
      <c r="D37" s="195" t="s">
        <v>57</v>
      </c>
      <c r="E37" s="266" t="s">
        <v>351</v>
      </c>
      <c r="F37" s="197" t="s">
        <v>338</v>
      </c>
      <c r="G37" s="198">
        <v>18.5</v>
      </c>
      <c r="H37" s="199">
        <v>40.5</v>
      </c>
      <c r="I37" s="200">
        <v>67</v>
      </c>
      <c r="J37" s="201">
        <v>65</v>
      </c>
      <c r="K37" s="269">
        <v>75</v>
      </c>
      <c r="L37" s="203">
        <v>75.3</v>
      </c>
      <c r="M37" s="133">
        <f t="shared" si="2"/>
        <v>51.848599999999998</v>
      </c>
      <c r="N37" s="225">
        <v>33.9</v>
      </c>
      <c r="O37" s="205">
        <v>75.099999999999994</v>
      </c>
      <c r="P37" s="206">
        <f t="shared" si="0"/>
        <v>18.5</v>
      </c>
      <c r="Q37" s="206">
        <v>33.4</v>
      </c>
      <c r="R37" s="265">
        <v>49.5</v>
      </c>
      <c r="S37" s="208">
        <v>28</v>
      </c>
      <c r="T37" s="208">
        <v>35</v>
      </c>
      <c r="U37" s="209">
        <f t="shared" si="3"/>
        <v>43250</v>
      </c>
      <c r="V37" s="208">
        <v>36</v>
      </c>
      <c r="W37" s="140">
        <f t="shared" si="4"/>
        <v>37</v>
      </c>
      <c r="X37" s="279">
        <v>1</v>
      </c>
      <c r="Y37" s="141">
        <f t="shared" si="5"/>
        <v>14</v>
      </c>
      <c r="Z37" s="210">
        <v>160</v>
      </c>
      <c r="AA37" s="211" t="s">
        <v>292</v>
      </c>
      <c r="AB37" s="211">
        <v>7.5</v>
      </c>
      <c r="AC37" s="211">
        <v>13.5</v>
      </c>
      <c r="AD37" s="211">
        <v>85</v>
      </c>
      <c r="AE37" s="211">
        <v>4</v>
      </c>
      <c r="AF37" s="211">
        <v>46</v>
      </c>
      <c r="AG37" s="211" t="s">
        <v>242</v>
      </c>
      <c r="AH37" s="211">
        <v>145</v>
      </c>
      <c r="AI37" s="212">
        <v>120</v>
      </c>
      <c r="AJ37" s="212"/>
      <c r="AK37" s="213">
        <v>20</v>
      </c>
      <c r="AL37" s="212">
        <v>1987</v>
      </c>
      <c r="AM37" s="226"/>
      <c r="AN37" s="215">
        <v>1.3</v>
      </c>
      <c r="AO37" s="216">
        <v>7.9</v>
      </c>
      <c r="AP37" s="216">
        <v>0.65</v>
      </c>
      <c r="AQ37" s="217">
        <f t="shared" si="1"/>
        <v>1.8486000000000002</v>
      </c>
      <c r="AR37" s="218">
        <v>160</v>
      </c>
      <c r="AS37" s="219" t="s">
        <v>248</v>
      </c>
      <c r="AT37" s="220" t="s">
        <v>249</v>
      </c>
      <c r="AU37" s="220" t="s">
        <v>253</v>
      </c>
      <c r="AV37" s="84"/>
      <c r="AW37" s="84"/>
      <c r="AX37" s="222">
        <v>43250</v>
      </c>
    </row>
    <row r="38" spans="2:50" ht="19.5" thickBot="1" x14ac:dyDescent="0.35">
      <c r="B38" s="193">
        <v>30</v>
      </c>
      <c r="C38" s="194">
        <v>161</v>
      </c>
      <c r="D38" s="195" t="s">
        <v>57</v>
      </c>
      <c r="E38" s="266" t="s">
        <v>352</v>
      </c>
      <c r="F38" s="197" t="s">
        <v>353</v>
      </c>
      <c r="G38" s="198">
        <v>18.5</v>
      </c>
      <c r="H38" s="199">
        <v>40.5</v>
      </c>
      <c r="I38" s="200">
        <v>67</v>
      </c>
      <c r="J38" s="201">
        <v>65</v>
      </c>
      <c r="K38" s="269">
        <v>71</v>
      </c>
      <c r="L38" s="203">
        <v>72.2</v>
      </c>
      <c r="M38" s="133">
        <f t="shared" si="2"/>
        <v>63.202000000000005</v>
      </c>
      <c r="N38" s="225">
        <v>34.200000000000003</v>
      </c>
      <c r="O38" s="205">
        <v>70.8</v>
      </c>
      <c r="P38" s="206">
        <f t="shared" si="0"/>
        <v>18.5</v>
      </c>
      <c r="Q38" s="206">
        <v>32.299999999999997</v>
      </c>
      <c r="R38" s="265">
        <v>48</v>
      </c>
      <c r="S38" s="208">
        <v>26</v>
      </c>
      <c r="T38" s="208">
        <v>38</v>
      </c>
      <c r="U38" s="209">
        <f t="shared" si="3"/>
        <v>42964</v>
      </c>
      <c r="V38" s="208">
        <v>44</v>
      </c>
      <c r="W38" s="140">
        <f t="shared" si="4"/>
        <v>45</v>
      </c>
      <c r="X38" s="279">
        <v>1</v>
      </c>
      <c r="Y38" s="141">
        <f t="shared" si="5"/>
        <v>18</v>
      </c>
      <c r="Z38" s="210">
        <v>161</v>
      </c>
      <c r="AA38" s="211" t="s">
        <v>293</v>
      </c>
      <c r="AB38" s="211">
        <v>21</v>
      </c>
      <c r="AC38" s="211">
        <v>37</v>
      </c>
      <c r="AD38" s="211">
        <v>58</v>
      </c>
      <c r="AE38" s="211">
        <v>4</v>
      </c>
      <c r="AF38" s="211">
        <v>58</v>
      </c>
      <c r="AG38" s="211" t="s">
        <v>242</v>
      </c>
      <c r="AH38" s="211"/>
      <c r="AI38" s="212">
        <v>98</v>
      </c>
      <c r="AJ38" s="212"/>
      <c r="AK38" s="213">
        <v>6.1</v>
      </c>
      <c r="AL38" s="212">
        <v>2007</v>
      </c>
      <c r="AM38" s="226"/>
      <c r="AN38" s="215">
        <v>1.62</v>
      </c>
      <c r="AO38" s="216">
        <v>7</v>
      </c>
      <c r="AP38" s="216">
        <v>0.65</v>
      </c>
      <c r="AQ38" s="217">
        <f t="shared" si="1"/>
        <v>2.0019999999999998</v>
      </c>
      <c r="AR38" s="218">
        <v>161</v>
      </c>
      <c r="AS38" s="219" t="s">
        <v>248</v>
      </c>
      <c r="AT38" s="220" t="s">
        <v>264</v>
      </c>
      <c r="AU38" s="220" t="s">
        <v>264</v>
      </c>
      <c r="AV38" s="84"/>
      <c r="AW38" s="84"/>
      <c r="AX38" s="222">
        <v>42964</v>
      </c>
    </row>
    <row r="39" spans="2:50" ht="19.5" thickBot="1" x14ac:dyDescent="0.35">
      <c r="B39" s="193">
        <v>31</v>
      </c>
      <c r="C39" s="194">
        <v>162</v>
      </c>
      <c r="D39" s="195" t="s">
        <v>294</v>
      </c>
      <c r="E39" s="266">
        <v>1411222</v>
      </c>
      <c r="F39" s="197" t="s">
        <v>338</v>
      </c>
      <c r="G39" s="198">
        <v>18.5</v>
      </c>
      <c r="H39" s="199">
        <v>42.6</v>
      </c>
      <c r="I39" s="200">
        <v>64</v>
      </c>
      <c r="J39" s="201">
        <v>65</v>
      </c>
      <c r="K39" s="269">
        <v>55</v>
      </c>
      <c r="L39" s="203">
        <v>63.2</v>
      </c>
      <c r="M39" s="133">
        <f t="shared" si="2"/>
        <v>75.081800000000001</v>
      </c>
      <c r="N39" s="225">
        <v>38.799999999999997</v>
      </c>
      <c r="O39" s="205">
        <v>45.2</v>
      </c>
      <c r="P39" s="206">
        <f t="shared" si="0"/>
        <v>18.5</v>
      </c>
      <c r="Q39" s="206">
        <v>29.6</v>
      </c>
      <c r="R39" s="265">
        <v>50</v>
      </c>
      <c r="S39" s="208">
        <v>28</v>
      </c>
      <c r="T39" s="208">
        <v>42</v>
      </c>
      <c r="U39" s="209">
        <f t="shared" si="3"/>
        <v>44211</v>
      </c>
      <c r="V39" s="208">
        <v>58</v>
      </c>
      <c r="W39" s="140">
        <f t="shared" si="4"/>
        <v>59</v>
      </c>
      <c r="X39" s="279">
        <v>1</v>
      </c>
      <c r="Y39" s="141">
        <f t="shared" si="5"/>
        <v>0.21999999999999886</v>
      </c>
      <c r="Z39" s="210">
        <v>162</v>
      </c>
      <c r="AA39" s="211" t="s">
        <v>295</v>
      </c>
      <c r="AB39" s="211">
        <v>6.5</v>
      </c>
      <c r="AC39" s="211">
        <v>23</v>
      </c>
      <c r="AD39" s="211">
        <v>80</v>
      </c>
      <c r="AE39" s="211">
        <v>2</v>
      </c>
      <c r="AF39" s="211">
        <v>56.22</v>
      </c>
      <c r="AG39" s="211" t="s">
        <v>252</v>
      </c>
      <c r="AH39" s="211">
        <v>145</v>
      </c>
      <c r="AI39" s="212">
        <v>114</v>
      </c>
      <c r="AJ39" s="212"/>
      <c r="AK39" s="213">
        <v>6.8</v>
      </c>
      <c r="AL39" s="212">
        <v>1987</v>
      </c>
      <c r="AM39" s="226"/>
      <c r="AN39" s="215">
        <v>1.48</v>
      </c>
      <c r="AO39" s="216">
        <v>3.4</v>
      </c>
      <c r="AP39" s="216">
        <v>0.65</v>
      </c>
      <c r="AQ39" s="217">
        <f t="shared" si="1"/>
        <v>1.2818000000000001</v>
      </c>
      <c r="AR39" s="218">
        <v>162</v>
      </c>
      <c r="AS39" s="219" t="s">
        <v>248</v>
      </c>
      <c r="AT39" s="220" t="s">
        <v>249</v>
      </c>
      <c r="AU39" s="220" t="s">
        <v>253</v>
      </c>
      <c r="AV39" s="84"/>
      <c r="AW39" s="84"/>
      <c r="AX39" s="222">
        <v>44211</v>
      </c>
    </row>
    <row r="40" spans="2:50" ht="19.5" thickBot="1" x14ac:dyDescent="0.35">
      <c r="B40" s="193">
        <v>32</v>
      </c>
      <c r="C40" s="194">
        <v>163</v>
      </c>
      <c r="D40" s="195" t="s">
        <v>46</v>
      </c>
      <c r="E40" s="270" t="s">
        <v>241</v>
      </c>
      <c r="F40" s="224">
        <v>41121</v>
      </c>
      <c r="G40" s="198">
        <v>18.5</v>
      </c>
      <c r="H40" s="199">
        <v>42.3</v>
      </c>
      <c r="I40" s="200">
        <v>65</v>
      </c>
      <c r="J40" s="201">
        <v>65</v>
      </c>
      <c r="K40" s="269">
        <v>72</v>
      </c>
      <c r="L40" s="203">
        <v>66.099999999999994</v>
      </c>
      <c r="M40" s="133">
        <f t="shared" si="2"/>
        <v>59.761915000000002</v>
      </c>
      <c r="N40" s="225">
        <v>38.200000000000003</v>
      </c>
      <c r="O40" s="205">
        <v>58.4</v>
      </c>
      <c r="P40" s="206">
        <f t="shared" si="0"/>
        <v>18.5</v>
      </c>
      <c r="Q40" s="206">
        <v>37</v>
      </c>
      <c r="R40" s="265">
        <v>47.5</v>
      </c>
      <c r="S40" s="208">
        <v>30</v>
      </c>
      <c r="T40" s="208">
        <v>37</v>
      </c>
      <c r="U40" s="209">
        <f t="shared" si="3"/>
        <v>42793</v>
      </c>
      <c r="V40" s="208">
        <v>44.1</v>
      </c>
      <c r="W40" s="140">
        <f t="shared" si="4"/>
        <v>45.1</v>
      </c>
      <c r="X40" s="279">
        <v>1</v>
      </c>
      <c r="Y40" s="141">
        <f t="shared" si="5"/>
        <v>12.599999999999998</v>
      </c>
      <c r="Z40" s="210">
        <v>163</v>
      </c>
      <c r="AA40" s="211" t="s">
        <v>296</v>
      </c>
      <c r="AB40" s="211">
        <v>5.5</v>
      </c>
      <c r="AC40" s="211">
        <v>13.5</v>
      </c>
      <c r="AD40" s="211">
        <v>82</v>
      </c>
      <c r="AE40" s="211">
        <v>4.7</v>
      </c>
      <c r="AF40" s="211">
        <v>52</v>
      </c>
      <c r="AG40" s="211" t="s">
        <v>242</v>
      </c>
      <c r="AH40" s="211"/>
      <c r="AI40" s="212">
        <v>130</v>
      </c>
      <c r="AJ40" s="212"/>
      <c r="AK40" s="213">
        <v>16</v>
      </c>
      <c r="AL40" s="212">
        <v>1987</v>
      </c>
      <c r="AM40" s="226">
        <v>42733</v>
      </c>
      <c r="AN40" s="215">
        <v>1.32</v>
      </c>
      <c r="AO40" s="216">
        <v>5.0999999999999996</v>
      </c>
      <c r="AP40" s="216">
        <v>0.65</v>
      </c>
      <c r="AQ40" s="217">
        <f t="shared" si="1"/>
        <v>1.4619149999999999</v>
      </c>
      <c r="AR40" s="218">
        <v>163</v>
      </c>
      <c r="AS40" s="219" t="s">
        <v>248</v>
      </c>
      <c r="AT40" s="220" t="s">
        <v>249</v>
      </c>
      <c r="AU40" s="220" t="s">
        <v>267</v>
      </c>
      <c r="AV40" s="84"/>
      <c r="AW40" s="84"/>
      <c r="AX40" s="222">
        <v>42793</v>
      </c>
    </row>
    <row r="41" spans="2:50" ht="19.5" thickBot="1" x14ac:dyDescent="0.35">
      <c r="B41" s="193">
        <v>33</v>
      </c>
      <c r="C41" s="194">
        <v>164</v>
      </c>
      <c r="D41" s="195" t="s">
        <v>7</v>
      </c>
      <c r="E41" s="280" t="s">
        <v>354</v>
      </c>
      <c r="F41" s="197" t="s">
        <v>355</v>
      </c>
      <c r="G41" s="198">
        <v>30</v>
      </c>
      <c r="H41" s="199">
        <v>66.400000000000006</v>
      </c>
      <c r="I41" s="200">
        <v>120</v>
      </c>
      <c r="J41" s="201">
        <v>60</v>
      </c>
      <c r="K41" s="269">
        <v>100</v>
      </c>
      <c r="L41" s="203">
        <v>100.5</v>
      </c>
      <c r="M41" s="133">
        <f t="shared" si="2"/>
        <v>67.110479999999995</v>
      </c>
      <c r="N41" s="225">
        <v>60</v>
      </c>
      <c r="O41" s="205">
        <v>93</v>
      </c>
      <c r="P41" s="206">
        <f t="shared" si="0"/>
        <v>30</v>
      </c>
      <c r="Q41" s="206">
        <v>54.5</v>
      </c>
      <c r="R41" s="265">
        <v>45.5</v>
      </c>
      <c r="S41" s="208">
        <v>28</v>
      </c>
      <c r="T41" s="208">
        <v>39</v>
      </c>
      <c r="U41" s="209">
        <f t="shared" si="3"/>
        <v>42674</v>
      </c>
      <c r="V41" s="208">
        <v>44.1</v>
      </c>
      <c r="W41" s="140">
        <f t="shared" si="4"/>
        <v>45.1</v>
      </c>
      <c r="X41" s="279">
        <v>1</v>
      </c>
      <c r="Y41" s="141">
        <f t="shared" si="5"/>
        <v>8.5999999999999979</v>
      </c>
      <c r="Z41" s="210">
        <v>164</v>
      </c>
      <c r="AA41" s="211" t="s">
        <v>297</v>
      </c>
      <c r="AB41" s="211">
        <v>4</v>
      </c>
      <c r="AC41" s="211">
        <v>9</v>
      </c>
      <c r="AD41" s="211">
        <v>83</v>
      </c>
      <c r="AE41" s="211">
        <v>4.7</v>
      </c>
      <c r="AF41" s="211">
        <v>48</v>
      </c>
      <c r="AG41" s="211" t="s">
        <v>242</v>
      </c>
      <c r="AH41" s="211"/>
      <c r="AI41" s="212">
        <v>125</v>
      </c>
      <c r="AJ41" s="212"/>
      <c r="AK41" s="213">
        <v>25</v>
      </c>
      <c r="AL41" s="212">
        <v>1987</v>
      </c>
      <c r="AM41" s="226">
        <v>42733</v>
      </c>
      <c r="AN41" s="215">
        <v>1.88</v>
      </c>
      <c r="AO41" s="216">
        <v>11.2</v>
      </c>
      <c r="AP41" s="216">
        <v>0.65</v>
      </c>
      <c r="AQ41" s="217">
        <f t="shared" si="1"/>
        <v>3.21048</v>
      </c>
      <c r="AR41" s="218">
        <v>164</v>
      </c>
      <c r="AS41" s="219" t="s">
        <v>248</v>
      </c>
      <c r="AT41" s="220" t="s">
        <v>249</v>
      </c>
      <c r="AU41" s="220" t="s">
        <v>253</v>
      </c>
      <c r="AV41" s="84"/>
      <c r="AW41" s="84"/>
      <c r="AX41" s="222">
        <v>42674</v>
      </c>
    </row>
    <row r="42" spans="2:50" ht="19.5" thickBot="1" x14ac:dyDescent="0.35">
      <c r="B42" s="193">
        <v>34</v>
      </c>
      <c r="C42" s="194">
        <v>165</v>
      </c>
      <c r="D42" s="195" t="s">
        <v>298</v>
      </c>
      <c r="E42" s="268">
        <v>1411074</v>
      </c>
      <c r="F42" s="267">
        <v>42490</v>
      </c>
      <c r="G42" s="198">
        <v>26</v>
      </c>
      <c r="H42" s="199">
        <v>58</v>
      </c>
      <c r="I42" s="200">
        <v>95</v>
      </c>
      <c r="J42" s="201">
        <v>65</v>
      </c>
      <c r="K42" s="269">
        <v>95</v>
      </c>
      <c r="L42" s="203">
        <v>88</v>
      </c>
      <c r="M42" s="133">
        <f t="shared" si="2"/>
        <v>68.493200000000002</v>
      </c>
      <c r="N42" s="225">
        <v>54.6</v>
      </c>
      <c r="O42" s="205">
        <v>88</v>
      </c>
      <c r="P42" s="206">
        <f t="shared" si="0"/>
        <v>26</v>
      </c>
      <c r="Q42" s="206">
        <v>53.8</v>
      </c>
      <c r="R42" s="265">
        <v>50</v>
      </c>
      <c r="S42" s="208">
        <v>29</v>
      </c>
      <c r="T42" s="208">
        <v>45</v>
      </c>
      <c r="U42" s="209">
        <f>AX42</f>
        <v>44224</v>
      </c>
      <c r="V42" s="208">
        <v>50.4</v>
      </c>
      <c r="W42" s="140">
        <f t="shared" si="4"/>
        <v>51.4</v>
      </c>
      <c r="X42" s="279">
        <v>1</v>
      </c>
      <c r="Y42" s="141">
        <f t="shared" si="5"/>
        <v>1.3000000000000016</v>
      </c>
      <c r="Z42" s="210">
        <v>165</v>
      </c>
      <c r="AA42" s="211" t="s">
        <v>299</v>
      </c>
      <c r="AB42" s="211">
        <v>25</v>
      </c>
      <c r="AC42" s="211">
        <v>34</v>
      </c>
      <c r="AD42" s="211">
        <v>98</v>
      </c>
      <c r="AE42" s="211">
        <v>4.7</v>
      </c>
      <c r="AF42" s="211">
        <v>47</v>
      </c>
      <c r="AG42" s="211" t="s">
        <v>242</v>
      </c>
      <c r="AH42" s="211"/>
      <c r="AI42" s="212">
        <v>110</v>
      </c>
      <c r="AJ42" s="212"/>
      <c r="AK42" s="213">
        <v>12.2</v>
      </c>
      <c r="AL42" s="212">
        <v>2009</v>
      </c>
      <c r="AM42" s="226"/>
      <c r="AN42" s="215">
        <v>1.48</v>
      </c>
      <c r="AO42" s="216">
        <v>7</v>
      </c>
      <c r="AP42" s="216">
        <v>0.65</v>
      </c>
      <c r="AQ42" s="217">
        <f t="shared" si="1"/>
        <v>2.2932000000000001</v>
      </c>
      <c r="AR42" s="218">
        <v>165</v>
      </c>
      <c r="AS42" s="219" t="s">
        <v>248</v>
      </c>
      <c r="AT42" s="220" t="s">
        <v>249</v>
      </c>
      <c r="AU42" s="220" t="s">
        <v>250</v>
      </c>
      <c r="AV42" s="84"/>
      <c r="AW42" s="84"/>
      <c r="AX42" s="222">
        <v>44224</v>
      </c>
    </row>
    <row r="43" spans="2:50" ht="19.5" thickBot="1" x14ac:dyDescent="0.35">
      <c r="B43" s="193">
        <v>35</v>
      </c>
      <c r="C43" s="194">
        <v>166</v>
      </c>
      <c r="D43" s="195" t="s">
        <v>53</v>
      </c>
      <c r="E43" s="268" t="s">
        <v>356</v>
      </c>
      <c r="F43" s="197" t="s">
        <v>355</v>
      </c>
      <c r="G43" s="198">
        <v>26</v>
      </c>
      <c r="H43" s="199">
        <v>58</v>
      </c>
      <c r="I43" s="200">
        <v>108</v>
      </c>
      <c r="J43" s="201">
        <v>62</v>
      </c>
      <c r="K43" s="269">
        <v>99</v>
      </c>
      <c r="L43" s="203">
        <v>85.2</v>
      </c>
      <c r="M43" s="133">
        <f t="shared" si="2"/>
        <v>65.64</v>
      </c>
      <c r="N43" s="225">
        <v>49</v>
      </c>
      <c r="O43" s="205">
        <v>90</v>
      </c>
      <c r="P43" s="206">
        <f t="shared" si="0"/>
        <v>26</v>
      </c>
      <c r="Q43" s="206">
        <v>46</v>
      </c>
      <c r="R43" s="265">
        <v>48.5</v>
      </c>
      <c r="S43" s="208">
        <v>26</v>
      </c>
      <c r="T43" s="208">
        <v>36</v>
      </c>
      <c r="U43" s="209">
        <f t="shared" si="3"/>
        <v>42599</v>
      </c>
      <c r="V43" s="208">
        <v>50</v>
      </c>
      <c r="W43" s="140">
        <f t="shared" si="4"/>
        <v>51</v>
      </c>
      <c r="X43" s="279">
        <v>1</v>
      </c>
      <c r="Y43" s="141">
        <f t="shared" si="5"/>
        <v>4.7</v>
      </c>
      <c r="Z43" s="210">
        <v>166</v>
      </c>
      <c r="AA43" s="211" t="s">
        <v>300</v>
      </c>
      <c r="AB43" s="211">
        <v>19</v>
      </c>
      <c r="AC43" s="211">
        <v>33</v>
      </c>
      <c r="AD43" s="211">
        <v>84</v>
      </c>
      <c r="AE43" s="211">
        <v>4.7</v>
      </c>
      <c r="AF43" s="211">
        <v>50</v>
      </c>
      <c r="AG43" s="211" t="s">
        <v>242</v>
      </c>
      <c r="AH43" s="211"/>
      <c r="AI43" s="212">
        <v>98</v>
      </c>
      <c r="AJ43" s="212"/>
      <c r="AK43" s="213">
        <v>7</v>
      </c>
      <c r="AL43" s="212">
        <v>2007</v>
      </c>
      <c r="AM43" s="226">
        <v>42612</v>
      </c>
      <c r="AN43" s="215">
        <v>1.1000000000000001</v>
      </c>
      <c r="AO43" s="216">
        <v>11.2</v>
      </c>
      <c r="AP43" s="216">
        <v>0.65</v>
      </c>
      <c r="AQ43" s="217">
        <f t="shared" si="1"/>
        <v>3.6399999999999992</v>
      </c>
      <c r="AR43" s="218">
        <v>166</v>
      </c>
      <c r="AS43" s="219" t="s">
        <v>248</v>
      </c>
      <c r="AT43" s="220" t="s">
        <v>249</v>
      </c>
      <c r="AU43" s="220" t="s">
        <v>253</v>
      </c>
      <c r="AV43" s="84"/>
      <c r="AW43" s="84"/>
      <c r="AX43" s="222">
        <v>42599</v>
      </c>
    </row>
    <row r="44" spans="2:50" ht="19.5" thickBot="1" x14ac:dyDescent="0.35">
      <c r="B44" s="193">
        <v>36</v>
      </c>
      <c r="C44" s="194">
        <v>167</v>
      </c>
      <c r="D44" s="195" t="s">
        <v>57</v>
      </c>
      <c r="E44" s="223">
        <v>1411115</v>
      </c>
      <c r="F44" s="197" t="s">
        <v>353</v>
      </c>
      <c r="G44" s="198">
        <v>18.5</v>
      </c>
      <c r="H44" s="199">
        <v>40.5</v>
      </c>
      <c r="I44" s="200">
        <v>75</v>
      </c>
      <c r="J44" s="201">
        <v>60</v>
      </c>
      <c r="K44" s="262">
        <v>77</v>
      </c>
      <c r="L44" s="203">
        <v>71.400000000000006</v>
      </c>
      <c r="M44" s="133">
        <f t="shared" si="2"/>
        <v>62.064534999999999</v>
      </c>
      <c r="N44" s="225">
        <v>33.6</v>
      </c>
      <c r="O44" s="205">
        <v>67.8</v>
      </c>
      <c r="P44" s="206">
        <f t="shared" si="0"/>
        <v>18.5</v>
      </c>
      <c r="Q44" s="264">
        <v>29.6</v>
      </c>
      <c r="R44" s="265">
        <v>46</v>
      </c>
      <c r="S44" s="208">
        <v>27</v>
      </c>
      <c r="T44" s="208">
        <v>37</v>
      </c>
      <c r="U44" s="209">
        <f t="shared" si="3"/>
        <v>44046</v>
      </c>
      <c r="V44" s="208">
        <v>44.1</v>
      </c>
      <c r="W44" s="140">
        <f t="shared" si="4"/>
        <v>45.1</v>
      </c>
      <c r="X44" s="279">
        <v>1</v>
      </c>
      <c r="Y44" s="141">
        <f t="shared" si="5"/>
        <v>2.3999999999999986</v>
      </c>
      <c r="Z44" s="210">
        <v>167</v>
      </c>
      <c r="AA44" s="211" t="s">
        <v>301</v>
      </c>
      <c r="AB44" s="211">
        <v>4</v>
      </c>
      <c r="AC44" s="211">
        <v>9.5</v>
      </c>
      <c r="AD44" s="211">
        <v>80</v>
      </c>
      <c r="AE44" s="211">
        <v>5</v>
      </c>
      <c r="AF44" s="211">
        <v>41.5</v>
      </c>
      <c r="AG44" s="211" t="s">
        <v>252</v>
      </c>
      <c r="AH44" s="211"/>
      <c r="AI44" s="212">
        <v>136</v>
      </c>
      <c r="AJ44" s="212"/>
      <c r="AK44" s="213">
        <v>24.7</v>
      </c>
      <c r="AL44" s="212">
        <v>1987</v>
      </c>
      <c r="AM44" s="226"/>
      <c r="AN44" s="215">
        <v>1.47</v>
      </c>
      <c r="AO44" s="216">
        <v>7.9</v>
      </c>
      <c r="AP44" s="216">
        <v>0.65</v>
      </c>
      <c r="AQ44" s="217">
        <f t="shared" si="1"/>
        <v>2.2645350000000004</v>
      </c>
      <c r="AR44" s="218">
        <v>167</v>
      </c>
      <c r="AS44" s="219" t="s">
        <v>248</v>
      </c>
      <c r="AT44" s="220" t="s">
        <v>264</v>
      </c>
      <c r="AU44" s="220" t="s">
        <v>264</v>
      </c>
      <c r="AV44" s="84"/>
      <c r="AW44" s="84"/>
      <c r="AX44" s="222">
        <v>44046</v>
      </c>
    </row>
    <row r="45" spans="2:50" ht="19.5" thickBot="1" x14ac:dyDescent="0.35">
      <c r="B45" s="193">
        <v>37</v>
      </c>
      <c r="C45" s="194">
        <v>168</v>
      </c>
      <c r="D45" s="195" t="s">
        <v>302</v>
      </c>
      <c r="E45" s="270" t="s">
        <v>241</v>
      </c>
      <c r="F45" s="224">
        <v>40178</v>
      </c>
      <c r="G45" s="198">
        <v>18.5</v>
      </c>
      <c r="H45" s="199">
        <v>42</v>
      </c>
      <c r="I45" s="200">
        <v>77</v>
      </c>
      <c r="J45" s="201">
        <v>60</v>
      </c>
      <c r="K45" s="269">
        <v>78</v>
      </c>
      <c r="L45" s="203">
        <v>87.6</v>
      </c>
      <c r="M45" s="133">
        <f t="shared" si="2"/>
        <v>62.010480000000001</v>
      </c>
      <c r="N45" s="225">
        <v>36.6</v>
      </c>
      <c r="O45" s="205">
        <v>87</v>
      </c>
      <c r="P45" s="206">
        <f t="shared" si="0"/>
        <v>18.5</v>
      </c>
      <c r="Q45" s="206">
        <v>36.5</v>
      </c>
      <c r="R45" s="265">
        <v>50</v>
      </c>
      <c r="S45" s="208">
        <v>28</v>
      </c>
      <c r="T45" s="208">
        <v>36</v>
      </c>
      <c r="U45" s="209">
        <f t="shared" si="3"/>
        <v>42586</v>
      </c>
      <c r="V45" s="208">
        <v>44.1</v>
      </c>
      <c r="W45" s="140">
        <f t="shared" si="4"/>
        <v>45.1</v>
      </c>
      <c r="X45" s="279">
        <v>1</v>
      </c>
      <c r="Y45" s="141">
        <f t="shared" si="5"/>
        <v>2.8999999999999986</v>
      </c>
      <c r="Z45" s="210">
        <v>168</v>
      </c>
      <c r="AA45" s="211" t="s">
        <v>303</v>
      </c>
      <c r="AB45" s="211">
        <v>5</v>
      </c>
      <c r="AC45" s="211">
        <v>15</v>
      </c>
      <c r="AD45" s="211">
        <v>82</v>
      </c>
      <c r="AE45" s="211">
        <v>5</v>
      </c>
      <c r="AF45" s="211">
        <v>42</v>
      </c>
      <c r="AG45" s="211" t="s">
        <v>242</v>
      </c>
      <c r="AH45" s="211"/>
      <c r="AI45" s="212">
        <v>100</v>
      </c>
      <c r="AJ45" s="212"/>
      <c r="AK45" s="213">
        <v>10</v>
      </c>
      <c r="AL45" s="212">
        <v>1987</v>
      </c>
      <c r="AM45" s="226"/>
      <c r="AN45" s="215">
        <v>1.37</v>
      </c>
      <c r="AO45" s="216">
        <v>11.2</v>
      </c>
      <c r="AP45" s="216">
        <v>0.65</v>
      </c>
      <c r="AQ45" s="217">
        <f t="shared" si="1"/>
        <v>3.21048</v>
      </c>
      <c r="AR45" s="218">
        <v>168</v>
      </c>
      <c r="AS45" s="219" t="s">
        <v>248</v>
      </c>
      <c r="AT45" s="220" t="s">
        <v>269</v>
      </c>
      <c r="AU45" s="220"/>
      <c r="AV45" s="84"/>
      <c r="AW45" s="84"/>
      <c r="AX45" s="222">
        <v>42586</v>
      </c>
    </row>
    <row r="46" spans="2:50" ht="19.5" thickBot="1" x14ac:dyDescent="0.35">
      <c r="B46" s="193">
        <v>38</v>
      </c>
      <c r="C46" s="194">
        <v>169</v>
      </c>
      <c r="D46" s="195" t="s">
        <v>48</v>
      </c>
      <c r="E46" s="270" t="s">
        <v>241</v>
      </c>
      <c r="F46" s="270" t="s">
        <v>357</v>
      </c>
      <c r="G46" s="198">
        <v>18.5</v>
      </c>
      <c r="H46" s="199">
        <v>42</v>
      </c>
      <c r="I46" s="200">
        <v>65</v>
      </c>
      <c r="J46" s="201">
        <v>65</v>
      </c>
      <c r="K46" s="269">
        <v>75</v>
      </c>
      <c r="L46" s="203">
        <v>62.2</v>
      </c>
      <c r="M46" s="133">
        <f t="shared" si="2"/>
        <v>59.754000000000005</v>
      </c>
      <c r="N46" s="225">
        <v>38.799999999999997</v>
      </c>
      <c r="O46" s="205">
        <v>77.400000000000006</v>
      </c>
      <c r="P46" s="206">
        <f t="shared" si="0"/>
        <v>18.5</v>
      </c>
      <c r="Q46" s="206">
        <v>37.4</v>
      </c>
      <c r="R46" s="265">
        <v>50</v>
      </c>
      <c r="S46" s="208">
        <v>27</v>
      </c>
      <c r="T46" s="208">
        <v>35</v>
      </c>
      <c r="U46" s="209">
        <f t="shared" si="3"/>
        <v>42513</v>
      </c>
      <c r="V46" s="208">
        <v>40</v>
      </c>
      <c r="W46" s="140">
        <f t="shared" si="4"/>
        <v>41</v>
      </c>
      <c r="X46" s="279">
        <v>1</v>
      </c>
      <c r="Y46" s="141">
        <f t="shared" si="5"/>
        <v>5.5</v>
      </c>
      <c r="Z46" s="210">
        <v>169</v>
      </c>
      <c r="AA46" s="211" t="s">
        <v>304</v>
      </c>
      <c r="AB46" s="211">
        <v>3.1</v>
      </c>
      <c r="AC46" s="211">
        <v>14.8</v>
      </c>
      <c r="AD46" s="211">
        <v>81</v>
      </c>
      <c r="AE46" s="211">
        <v>5.5</v>
      </c>
      <c r="AF46" s="211">
        <v>40</v>
      </c>
      <c r="AG46" s="211" t="s">
        <v>242</v>
      </c>
      <c r="AH46" s="211"/>
      <c r="AI46" s="212">
        <v>80</v>
      </c>
      <c r="AJ46" s="212"/>
      <c r="AK46" s="213">
        <v>6.84</v>
      </c>
      <c r="AL46" s="212">
        <v>1987</v>
      </c>
      <c r="AM46" s="226"/>
      <c r="AN46" s="215">
        <v>1.67</v>
      </c>
      <c r="AO46" s="216">
        <v>7.9</v>
      </c>
      <c r="AP46" s="216">
        <v>0.65</v>
      </c>
      <c r="AQ46" s="217">
        <f t="shared" si="1"/>
        <v>2.0540000000000003</v>
      </c>
      <c r="AR46" s="218">
        <v>169</v>
      </c>
      <c r="AS46" s="219" t="s">
        <v>248</v>
      </c>
      <c r="AT46" s="220" t="s">
        <v>305</v>
      </c>
      <c r="AU46" s="220" t="s">
        <v>306</v>
      </c>
      <c r="AV46" s="84"/>
      <c r="AW46" s="84"/>
      <c r="AX46" s="222">
        <v>42513</v>
      </c>
    </row>
    <row r="47" spans="2:50" ht="19.5" thickBot="1" x14ac:dyDescent="0.35">
      <c r="B47" s="193">
        <v>39</v>
      </c>
      <c r="C47" s="194">
        <v>170</v>
      </c>
      <c r="D47" s="195" t="s">
        <v>302</v>
      </c>
      <c r="E47" s="270" t="s">
        <v>241</v>
      </c>
      <c r="F47" s="224">
        <v>40178</v>
      </c>
      <c r="G47" s="198">
        <v>22</v>
      </c>
      <c r="H47" s="199">
        <v>49.5</v>
      </c>
      <c r="I47" s="200">
        <v>86</v>
      </c>
      <c r="J47" s="201">
        <v>60</v>
      </c>
      <c r="K47" s="269">
        <v>86</v>
      </c>
      <c r="L47" s="283">
        <v>89.4</v>
      </c>
      <c r="M47" s="133">
        <f t="shared" si="2"/>
        <v>64.310479999999998</v>
      </c>
      <c r="N47" s="225">
        <v>35.5</v>
      </c>
      <c r="O47" s="205">
        <v>95.4</v>
      </c>
      <c r="P47" s="206">
        <f t="shared" si="0"/>
        <v>22</v>
      </c>
      <c r="Q47" s="206">
        <v>36</v>
      </c>
      <c r="R47" s="265">
        <v>50</v>
      </c>
      <c r="S47" s="208">
        <v>24</v>
      </c>
      <c r="T47" s="208">
        <v>33</v>
      </c>
      <c r="U47" s="209">
        <f t="shared" si="3"/>
        <v>43091</v>
      </c>
      <c r="V47" s="208">
        <v>44.1</v>
      </c>
      <c r="W47" s="140">
        <f t="shared" si="4"/>
        <v>45.1</v>
      </c>
      <c r="X47" s="279">
        <v>1</v>
      </c>
      <c r="Y47" s="141">
        <f t="shared" si="5"/>
        <v>1.9000000000000012</v>
      </c>
      <c r="Z47" s="210">
        <v>170</v>
      </c>
      <c r="AA47" s="211" t="s">
        <v>307</v>
      </c>
      <c r="AB47" s="211">
        <v>5</v>
      </c>
      <c r="AC47" s="211">
        <v>20</v>
      </c>
      <c r="AD47" s="211">
        <v>80</v>
      </c>
      <c r="AE47" s="211">
        <v>4.8</v>
      </c>
      <c r="AF47" s="211">
        <v>41.2</v>
      </c>
      <c r="AG47" s="211" t="s">
        <v>242</v>
      </c>
      <c r="AH47" s="211"/>
      <c r="AI47" s="212">
        <v>98</v>
      </c>
      <c r="AJ47" s="212"/>
      <c r="AK47" s="213">
        <v>6.5</v>
      </c>
      <c r="AL47" s="212">
        <v>1987</v>
      </c>
      <c r="AM47" s="226"/>
      <c r="AN47" s="215">
        <v>1.6</v>
      </c>
      <c r="AO47" s="216">
        <v>11.2</v>
      </c>
      <c r="AP47" s="216">
        <v>0.65</v>
      </c>
      <c r="AQ47" s="217">
        <f t="shared" si="1"/>
        <v>3.21048</v>
      </c>
      <c r="AR47" s="218">
        <v>170</v>
      </c>
      <c r="AS47" s="219" t="s">
        <v>248</v>
      </c>
      <c r="AT47" s="220" t="s">
        <v>249</v>
      </c>
      <c r="AU47" s="220" t="s">
        <v>308</v>
      </c>
      <c r="AV47" s="84"/>
      <c r="AW47" s="84"/>
      <c r="AX47" s="222">
        <v>43091</v>
      </c>
    </row>
    <row r="48" spans="2:50" ht="19.5" thickBot="1" x14ac:dyDescent="0.35">
      <c r="B48" s="193">
        <v>40</v>
      </c>
      <c r="C48" s="194">
        <v>171</v>
      </c>
      <c r="D48" s="195" t="s">
        <v>94</v>
      </c>
      <c r="E48" s="223" t="s">
        <v>358</v>
      </c>
      <c r="F48" s="197" t="s">
        <v>331</v>
      </c>
      <c r="G48" s="198">
        <v>18.5</v>
      </c>
      <c r="H48" s="199">
        <v>42.6</v>
      </c>
      <c r="I48" s="200">
        <v>75</v>
      </c>
      <c r="J48" s="201">
        <v>59</v>
      </c>
      <c r="K48" s="269">
        <v>75</v>
      </c>
      <c r="L48" s="203">
        <v>45</v>
      </c>
      <c r="M48" s="133">
        <f t="shared" si="2"/>
        <v>59.303930000000001</v>
      </c>
      <c r="N48" s="225">
        <v>34</v>
      </c>
      <c r="O48" s="205">
        <v>51.5</v>
      </c>
      <c r="P48" s="206">
        <f t="shared" si="0"/>
        <v>18.5</v>
      </c>
      <c r="Q48" s="206">
        <v>35.4</v>
      </c>
      <c r="R48" s="265">
        <v>49.5</v>
      </c>
      <c r="S48" s="208">
        <v>38</v>
      </c>
      <c r="T48" s="208">
        <v>42</v>
      </c>
      <c r="U48" s="209">
        <f t="shared" si="3"/>
        <v>43704</v>
      </c>
      <c r="V48" s="208">
        <v>44.1</v>
      </c>
      <c r="W48" s="140">
        <f t="shared" si="4"/>
        <v>45.1</v>
      </c>
      <c r="X48" s="279">
        <v>1</v>
      </c>
      <c r="Y48" s="141">
        <f t="shared" si="5"/>
        <v>1.8999999999999986</v>
      </c>
      <c r="Z48" s="210">
        <v>171</v>
      </c>
      <c r="AA48" s="211">
        <v>43950</v>
      </c>
      <c r="AB48" s="211">
        <v>12.5</v>
      </c>
      <c r="AC48" s="211">
        <v>14.5</v>
      </c>
      <c r="AD48" s="211">
        <v>80</v>
      </c>
      <c r="AE48" s="211">
        <v>5</v>
      </c>
      <c r="AF48" s="211">
        <v>41</v>
      </c>
      <c r="AG48" s="211" t="s">
        <v>242</v>
      </c>
      <c r="AH48" s="211">
        <v>146</v>
      </c>
      <c r="AI48" s="212">
        <v>104</v>
      </c>
      <c r="AJ48" s="212"/>
      <c r="AK48" s="213">
        <v>52</v>
      </c>
      <c r="AL48" s="212">
        <v>1988</v>
      </c>
      <c r="AM48" s="226">
        <v>42915</v>
      </c>
      <c r="AN48" s="215">
        <v>1.3</v>
      </c>
      <c r="AO48" s="216">
        <v>4.2</v>
      </c>
      <c r="AP48" s="216">
        <v>0.65</v>
      </c>
      <c r="AQ48" s="217">
        <f t="shared" si="1"/>
        <v>1.2039300000000004</v>
      </c>
      <c r="AR48" s="218">
        <v>171</v>
      </c>
      <c r="AS48" s="219" t="s">
        <v>248</v>
      </c>
      <c r="AT48" s="220" t="s">
        <v>264</v>
      </c>
      <c r="AU48" s="220" t="s">
        <v>264</v>
      </c>
      <c r="AV48" s="84"/>
      <c r="AW48" s="84"/>
      <c r="AX48" s="222">
        <v>43704</v>
      </c>
    </row>
    <row r="49" spans="2:50" ht="30.75" thickBot="1" x14ac:dyDescent="0.35">
      <c r="B49" s="193">
        <v>41</v>
      </c>
      <c r="C49" s="194">
        <v>172</v>
      </c>
      <c r="D49" s="195" t="s">
        <v>52</v>
      </c>
      <c r="E49" s="196" t="s">
        <v>359</v>
      </c>
      <c r="F49" s="197" t="s">
        <v>340</v>
      </c>
      <c r="G49" s="198">
        <v>26</v>
      </c>
      <c r="H49" s="199">
        <v>58.5</v>
      </c>
      <c r="I49" s="200">
        <v>90</v>
      </c>
      <c r="J49" s="201">
        <v>64</v>
      </c>
      <c r="K49" s="269">
        <v>80</v>
      </c>
      <c r="L49" s="203">
        <v>90</v>
      </c>
      <c r="M49" s="133">
        <f t="shared" si="2"/>
        <v>66.739999999999995</v>
      </c>
      <c r="N49" s="225">
        <v>55</v>
      </c>
      <c r="O49" s="205">
        <v>86</v>
      </c>
      <c r="P49" s="206">
        <f t="shared" si="0"/>
        <v>26</v>
      </c>
      <c r="Q49" s="206">
        <v>54.3</v>
      </c>
      <c r="R49" s="265">
        <v>49.98</v>
      </c>
      <c r="S49" s="208">
        <v>28</v>
      </c>
      <c r="T49" s="208">
        <v>40</v>
      </c>
      <c r="U49" s="209">
        <f t="shared" si="3"/>
        <v>41926</v>
      </c>
      <c r="V49" s="208">
        <v>50</v>
      </c>
      <c r="W49" s="140">
        <f t="shared" si="4"/>
        <v>51</v>
      </c>
      <c r="X49" s="279">
        <v>1</v>
      </c>
      <c r="Y49" s="141">
        <f t="shared" si="5"/>
        <v>-4</v>
      </c>
      <c r="Z49" s="210">
        <v>172</v>
      </c>
      <c r="AA49" s="211" t="s">
        <v>309</v>
      </c>
      <c r="AB49" s="211">
        <v>8.5</v>
      </c>
      <c r="AC49" s="211">
        <v>11.5</v>
      </c>
      <c r="AD49" s="211">
        <v>80</v>
      </c>
      <c r="AE49" s="211">
        <v>5</v>
      </c>
      <c r="AF49" s="211">
        <v>41</v>
      </c>
      <c r="AG49" s="211" t="s">
        <v>242</v>
      </c>
      <c r="AH49" s="211"/>
      <c r="AI49" s="212">
        <v>120</v>
      </c>
      <c r="AJ49" s="212"/>
      <c r="AK49" s="213">
        <v>40</v>
      </c>
      <c r="AL49" s="212">
        <v>1988</v>
      </c>
      <c r="AM49" s="226"/>
      <c r="AN49" s="215">
        <v>1.21</v>
      </c>
      <c r="AO49" s="216">
        <v>11.2</v>
      </c>
      <c r="AP49" s="216">
        <v>0.65</v>
      </c>
      <c r="AQ49" s="217">
        <f t="shared" si="1"/>
        <v>3.6399999999999992</v>
      </c>
      <c r="AR49" s="218">
        <v>172</v>
      </c>
      <c r="AS49" s="219" t="s">
        <v>248</v>
      </c>
      <c r="AT49" s="220" t="s">
        <v>269</v>
      </c>
      <c r="AU49" s="220" t="s">
        <v>275</v>
      </c>
      <c r="AV49" s="84"/>
      <c r="AW49" s="84"/>
      <c r="AX49" s="222">
        <v>41926</v>
      </c>
    </row>
    <row r="50" spans="2:50" ht="19.5" thickBot="1" x14ac:dyDescent="0.35">
      <c r="B50" s="271">
        <v>42</v>
      </c>
      <c r="C50" s="284">
        <v>173</v>
      </c>
      <c r="D50" s="285" t="s">
        <v>310</v>
      </c>
      <c r="E50" s="286" t="s">
        <v>360</v>
      </c>
      <c r="F50" s="287">
        <v>43982</v>
      </c>
      <c r="G50" s="288">
        <v>18.5</v>
      </c>
      <c r="H50" s="289">
        <v>42.6</v>
      </c>
      <c r="I50" s="290">
        <v>84</v>
      </c>
      <c r="J50" s="291">
        <v>56</v>
      </c>
      <c r="K50" s="292">
        <v>78</v>
      </c>
      <c r="L50" s="293">
        <v>68.400000000000006</v>
      </c>
      <c r="M50" s="133">
        <f t="shared" si="2"/>
        <v>61.447499999999998</v>
      </c>
      <c r="N50" s="294">
        <v>37.6</v>
      </c>
      <c r="O50" s="295">
        <v>67.2</v>
      </c>
      <c r="P50" s="296">
        <f t="shared" si="0"/>
        <v>18.5</v>
      </c>
      <c r="Q50" s="296">
        <v>37.5</v>
      </c>
      <c r="R50" s="297">
        <v>50</v>
      </c>
      <c r="S50" s="298">
        <v>32</v>
      </c>
      <c r="T50" s="298">
        <v>39</v>
      </c>
      <c r="U50" s="299">
        <f t="shared" si="3"/>
        <v>43970</v>
      </c>
      <c r="V50" s="298">
        <v>45</v>
      </c>
      <c r="W50" s="140">
        <f t="shared" si="4"/>
        <v>46</v>
      </c>
      <c r="X50" s="279">
        <v>1</v>
      </c>
      <c r="Y50" s="300">
        <f t="shared" si="5"/>
        <v>1</v>
      </c>
      <c r="Z50" s="301">
        <v>173</v>
      </c>
      <c r="AA50" s="302" t="s">
        <v>311</v>
      </c>
      <c r="AB50" s="302">
        <v>8.5</v>
      </c>
      <c r="AC50" s="302">
        <v>13.5</v>
      </c>
      <c r="AD50" s="302">
        <v>80</v>
      </c>
      <c r="AE50" s="302">
        <v>5</v>
      </c>
      <c r="AF50" s="302">
        <v>41</v>
      </c>
      <c r="AG50" s="302" t="s">
        <v>242</v>
      </c>
      <c r="AH50" s="302">
        <v>146</v>
      </c>
      <c r="AI50" s="303">
        <v>122</v>
      </c>
      <c r="AJ50" s="303"/>
      <c r="AK50" s="304">
        <v>24.4</v>
      </c>
      <c r="AL50" s="303">
        <v>1988</v>
      </c>
      <c r="AM50" s="305">
        <v>44164</v>
      </c>
      <c r="AN50" s="306">
        <v>1.34</v>
      </c>
      <c r="AO50" s="307">
        <v>7</v>
      </c>
      <c r="AP50" s="307">
        <v>0.65</v>
      </c>
      <c r="AQ50" s="308">
        <f t="shared" si="1"/>
        <v>2.0474999999999999</v>
      </c>
      <c r="AR50" s="309">
        <v>173</v>
      </c>
      <c r="AS50" s="310" t="s">
        <v>248</v>
      </c>
      <c r="AT50" s="311" t="s">
        <v>269</v>
      </c>
      <c r="AU50" s="311" t="s">
        <v>312</v>
      </c>
      <c r="AV50" s="84"/>
      <c r="AW50" s="84"/>
      <c r="AX50" s="312">
        <v>43970</v>
      </c>
    </row>
    <row r="51" spans="2:50" ht="19.5" thickBot="1" x14ac:dyDescent="0.35">
      <c r="B51" s="123">
        <v>43</v>
      </c>
      <c r="C51" s="124">
        <v>174</v>
      </c>
      <c r="D51" s="186" t="s">
        <v>7</v>
      </c>
      <c r="E51" s="126" t="s">
        <v>241</v>
      </c>
      <c r="F51" s="127">
        <v>41213</v>
      </c>
      <c r="G51" s="128">
        <v>30</v>
      </c>
      <c r="H51" s="189">
        <v>66.400000000000006</v>
      </c>
      <c r="I51" s="129">
        <v>120</v>
      </c>
      <c r="J51" s="130">
        <v>60</v>
      </c>
      <c r="K51" s="131">
        <v>116</v>
      </c>
      <c r="L51" s="190">
        <v>109</v>
      </c>
      <c r="M51" s="133">
        <f t="shared" si="2"/>
        <v>61.973050000000001</v>
      </c>
      <c r="N51" s="191">
        <v>60</v>
      </c>
      <c r="O51" s="135">
        <v>90</v>
      </c>
      <c r="P51" s="136">
        <f t="shared" si="0"/>
        <v>30</v>
      </c>
      <c r="Q51" s="136">
        <v>66</v>
      </c>
      <c r="R51" s="137">
        <v>50</v>
      </c>
      <c r="S51" s="138">
        <v>23</v>
      </c>
      <c r="T51" s="138">
        <v>35</v>
      </c>
      <c r="U51" s="139">
        <f t="shared" si="3"/>
        <v>42726</v>
      </c>
      <c r="V51" s="138">
        <v>44.1</v>
      </c>
      <c r="W51" s="140">
        <f t="shared" si="4"/>
        <v>45.1</v>
      </c>
      <c r="X51" s="279">
        <v>1</v>
      </c>
      <c r="Y51" s="141">
        <f t="shared" si="5"/>
        <v>1.5</v>
      </c>
      <c r="Z51" s="142">
        <v>174</v>
      </c>
      <c r="AA51" s="143" t="s">
        <v>313</v>
      </c>
      <c r="AB51" s="143">
        <v>9</v>
      </c>
      <c r="AC51" s="143">
        <v>13</v>
      </c>
      <c r="AD51" s="143">
        <v>80</v>
      </c>
      <c r="AE51" s="143">
        <v>5</v>
      </c>
      <c r="AF51" s="143">
        <v>40.6</v>
      </c>
      <c r="AG51" s="143" t="s">
        <v>242</v>
      </c>
      <c r="AH51" s="143" t="s">
        <v>67</v>
      </c>
      <c r="AI51" s="144">
        <v>120</v>
      </c>
      <c r="AJ51" s="144"/>
      <c r="AK51" s="145">
        <v>30</v>
      </c>
      <c r="AL51" s="144">
        <v>1988</v>
      </c>
      <c r="AM51" s="146">
        <v>42733</v>
      </c>
      <c r="AN51" s="192">
        <v>1.2</v>
      </c>
      <c r="AO51" s="148">
        <v>17</v>
      </c>
      <c r="AP51" s="148">
        <v>0.65</v>
      </c>
      <c r="AQ51" s="149">
        <f t="shared" si="1"/>
        <v>4.873050000000001</v>
      </c>
      <c r="AR51" s="150">
        <v>174</v>
      </c>
      <c r="AS51" s="151" t="s">
        <v>248</v>
      </c>
      <c r="AT51" s="152" t="s">
        <v>269</v>
      </c>
      <c r="AU51" s="152" t="s">
        <v>275</v>
      </c>
      <c r="AV51" s="153"/>
      <c r="AW51" s="153"/>
      <c r="AX51" s="154">
        <v>42726</v>
      </c>
    </row>
    <row r="52" spans="2:50" ht="19.5" thickBot="1" x14ac:dyDescent="0.35">
      <c r="B52" s="193">
        <v>44</v>
      </c>
      <c r="C52" s="194">
        <v>175</v>
      </c>
      <c r="D52" s="195" t="s">
        <v>7</v>
      </c>
      <c r="E52" s="280" t="s">
        <v>361</v>
      </c>
      <c r="F52" s="197" t="s">
        <v>362</v>
      </c>
      <c r="G52" s="198">
        <v>26</v>
      </c>
      <c r="H52" s="199">
        <v>56.7</v>
      </c>
      <c r="I52" s="200">
        <v>120</v>
      </c>
      <c r="J52" s="201">
        <v>60</v>
      </c>
      <c r="K52" s="202">
        <v>115</v>
      </c>
      <c r="L52" s="203">
        <v>117</v>
      </c>
      <c r="M52" s="133">
        <f t="shared" si="2"/>
        <v>63.186239999999998</v>
      </c>
      <c r="N52" s="225">
        <v>53</v>
      </c>
      <c r="O52" s="205">
        <v>116</v>
      </c>
      <c r="P52" s="206">
        <f t="shared" si="0"/>
        <v>26</v>
      </c>
      <c r="Q52" s="206">
        <v>54</v>
      </c>
      <c r="R52" s="207">
        <v>50</v>
      </c>
      <c r="S52" s="208">
        <v>28</v>
      </c>
      <c r="T52" s="208">
        <v>32</v>
      </c>
      <c r="U52" s="209">
        <f t="shared" si="3"/>
        <v>41821</v>
      </c>
      <c r="V52" s="208">
        <v>50.4</v>
      </c>
      <c r="W52" s="140">
        <f t="shared" si="4"/>
        <v>51.4</v>
      </c>
      <c r="X52" s="279">
        <v>1</v>
      </c>
      <c r="Y52" s="141">
        <f t="shared" si="5"/>
        <v>-0.39999999999999858</v>
      </c>
      <c r="Z52" s="210">
        <v>175</v>
      </c>
      <c r="AA52" s="211">
        <v>43895</v>
      </c>
      <c r="AB52" s="211">
        <v>12</v>
      </c>
      <c r="AC52" s="211">
        <v>24.5</v>
      </c>
      <c r="AD52" s="211">
        <v>80</v>
      </c>
      <c r="AE52" s="211">
        <v>3</v>
      </c>
      <c r="AF52" s="211">
        <v>47</v>
      </c>
      <c r="AG52" s="211" t="s">
        <v>242</v>
      </c>
      <c r="AH52" s="211">
        <v>146</v>
      </c>
      <c r="AI52" s="212">
        <v>114</v>
      </c>
      <c r="AJ52" s="212"/>
      <c r="AK52" s="213">
        <v>9.1199999999999992</v>
      </c>
      <c r="AL52" s="212">
        <v>1988</v>
      </c>
      <c r="AM52" s="226"/>
      <c r="AN52" s="215">
        <v>1.1000000000000001</v>
      </c>
      <c r="AO52" s="216">
        <v>2.4</v>
      </c>
      <c r="AP52" s="216">
        <v>0.65</v>
      </c>
      <c r="AQ52" s="217">
        <f t="shared" si="1"/>
        <v>0.78623999999999994</v>
      </c>
      <c r="AR52" s="218">
        <v>175</v>
      </c>
      <c r="AS52" s="219" t="s">
        <v>260</v>
      </c>
      <c r="AT52" s="220" t="s">
        <v>261</v>
      </c>
      <c r="AU52" s="220" t="s">
        <v>291</v>
      </c>
      <c r="AV52" s="221"/>
      <c r="AW52" s="221"/>
      <c r="AX52" s="222">
        <v>41821</v>
      </c>
    </row>
    <row r="53" spans="2:50" ht="19.5" thickBot="1" x14ac:dyDescent="0.35">
      <c r="B53" s="193">
        <v>45</v>
      </c>
      <c r="C53" s="194">
        <v>176</v>
      </c>
      <c r="D53" s="236" t="s">
        <v>93</v>
      </c>
      <c r="E53" s="270">
        <v>1411231</v>
      </c>
      <c r="F53" s="224">
        <v>43708</v>
      </c>
      <c r="G53" s="239">
        <v>30</v>
      </c>
      <c r="H53" s="240">
        <v>68.8</v>
      </c>
      <c r="I53" s="241">
        <v>130</v>
      </c>
      <c r="J53" s="242">
        <v>60</v>
      </c>
      <c r="K53" s="202">
        <v>140</v>
      </c>
      <c r="L53" s="203">
        <v>120</v>
      </c>
      <c r="M53" s="133">
        <f t="shared" si="2"/>
        <v>55.697000000000003</v>
      </c>
      <c r="N53" s="225">
        <v>65.099999999999994</v>
      </c>
      <c r="O53" s="205">
        <v>120</v>
      </c>
      <c r="P53" s="206">
        <f t="shared" si="0"/>
        <v>30</v>
      </c>
      <c r="Q53" s="206">
        <v>65.099999999999994</v>
      </c>
      <c r="R53" s="207">
        <v>50</v>
      </c>
      <c r="S53" s="208">
        <v>30</v>
      </c>
      <c r="T53" s="208">
        <v>45</v>
      </c>
      <c r="U53" s="209">
        <v>44538</v>
      </c>
      <c r="V53" s="208">
        <v>46</v>
      </c>
      <c r="W53" s="140">
        <f t="shared" si="4"/>
        <v>49.2</v>
      </c>
      <c r="X53" s="279">
        <v>3.2</v>
      </c>
      <c r="Y53" s="141">
        <f t="shared" si="5"/>
        <v>-4</v>
      </c>
      <c r="Z53" s="210">
        <v>176</v>
      </c>
      <c r="AA53" s="211" t="s">
        <v>314</v>
      </c>
      <c r="AB53" s="211">
        <v>18</v>
      </c>
      <c r="AC53" s="211">
        <v>28</v>
      </c>
      <c r="AD53" s="211">
        <v>80</v>
      </c>
      <c r="AE53" s="211">
        <v>-2</v>
      </c>
      <c r="AF53" s="211">
        <v>44</v>
      </c>
      <c r="AG53" s="211" t="s">
        <v>259</v>
      </c>
      <c r="AH53" s="211"/>
      <c r="AI53" s="212">
        <v>200</v>
      </c>
      <c r="AJ53" s="212">
        <v>146</v>
      </c>
      <c r="AK53" s="213">
        <v>15</v>
      </c>
      <c r="AL53" s="212">
        <v>2010</v>
      </c>
      <c r="AM53" s="226"/>
      <c r="AN53" s="215">
        <v>0.56000000000000005</v>
      </c>
      <c r="AO53" s="216">
        <v>3</v>
      </c>
      <c r="AP53" s="216">
        <v>0.65</v>
      </c>
      <c r="AQ53" s="217">
        <f t="shared" si="1"/>
        <v>0.89700000000000002</v>
      </c>
      <c r="AR53" s="218">
        <v>176</v>
      </c>
      <c r="AS53" s="219" t="s">
        <v>260</v>
      </c>
      <c r="AT53" s="220" t="s">
        <v>261</v>
      </c>
      <c r="AU53" s="220" t="s">
        <v>315</v>
      </c>
      <c r="AV53" s="221"/>
      <c r="AW53" s="221"/>
      <c r="AX53" s="222">
        <v>44538</v>
      </c>
    </row>
    <row r="54" spans="2:50" ht="19.5" thickBot="1" x14ac:dyDescent="0.35">
      <c r="B54" s="193">
        <v>46</v>
      </c>
      <c r="C54" s="194">
        <v>177</v>
      </c>
      <c r="D54" s="195" t="s">
        <v>302</v>
      </c>
      <c r="E54" s="270" t="s">
        <v>241</v>
      </c>
      <c r="F54" s="224">
        <v>40178</v>
      </c>
      <c r="G54" s="198">
        <v>22</v>
      </c>
      <c r="H54" s="199">
        <v>49</v>
      </c>
      <c r="I54" s="200">
        <v>86</v>
      </c>
      <c r="J54" s="201">
        <v>65</v>
      </c>
      <c r="K54" s="202">
        <v>80</v>
      </c>
      <c r="L54" s="203">
        <v>89</v>
      </c>
      <c r="M54" s="133">
        <f t="shared" si="2"/>
        <v>64.72760000000001</v>
      </c>
      <c r="N54" s="225">
        <v>41</v>
      </c>
      <c r="O54" s="205">
        <v>65</v>
      </c>
      <c r="P54" s="206">
        <f t="shared" si="0"/>
        <v>22</v>
      </c>
      <c r="Q54" s="206">
        <v>30</v>
      </c>
      <c r="R54" s="207">
        <v>50</v>
      </c>
      <c r="S54" s="208">
        <v>25</v>
      </c>
      <c r="T54" s="208">
        <v>32</v>
      </c>
      <c r="U54" s="209">
        <f t="shared" si="3"/>
        <v>44237</v>
      </c>
      <c r="V54" s="208">
        <v>50.4</v>
      </c>
      <c r="W54" s="140">
        <f t="shared" si="4"/>
        <v>51.4</v>
      </c>
      <c r="X54" s="279">
        <v>1</v>
      </c>
      <c r="Y54" s="141">
        <f t="shared" si="5"/>
        <v>1.2000000000000002</v>
      </c>
      <c r="Z54" s="210">
        <v>177</v>
      </c>
      <c r="AA54" s="211" t="s">
        <v>316</v>
      </c>
      <c r="AB54" s="211">
        <v>7</v>
      </c>
      <c r="AC54" s="211">
        <v>14</v>
      </c>
      <c r="AD54" s="211">
        <v>80</v>
      </c>
      <c r="AE54" s="211">
        <v>5.2</v>
      </c>
      <c r="AF54" s="211">
        <v>46.4</v>
      </c>
      <c r="AG54" s="211" t="s">
        <v>317</v>
      </c>
      <c r="AH54" s="211">
        <v>100</v>
      </c>
      <c r="AI54" s="212">
        <v>150</v>
      </c>
      <c r="AJ54" s="212"/>
      <c r="AK54" s="213">
        <v>21.43</v>
      </c>
      <c r="AL54" s="212">
        <v>1988</v>
      </c>
      <c r="AM54" s="226">
        <v>44247</v>
      </c>
      <c r="AN54" s="215">
        <v>1.3</v>
      </c>
      <c r="AO54" s="216">
        <v>1</v>
      </c>
      <c r="AP54" s="216">
        <v>0.65</v>
      </c>
      <c r="AQ54" s="217">
        <f t="shared" si="1"/>
        <v>0.3276</v>
      </c>
      <c r="AR54" s="218">
        <v>177</v>
      </c>
      <c r="AS54" s="219" t="s">
        <v>260</v>
      </c>
      <c r="AT54" s="220" t="s">
        <v>315</v>
      </c>
      <c r="AU54" s="220" t="s">
        <v>262</v>
      </c>
      <c r="AV54" s="221"/>
      <c r="AW54" s="221"/>
      <c r="AX54" s="222">
        <v>44237</v>
      </c>
    </row>
    <row r="55" spans="2:50" ht="19.5" thickBot="1" x14ac:dyDescent="0.35">
      <c r="B55" s="193">
        <v>47</v>
      </c>
      <c r="C55" s="194">
        <v>178</v>
      </c>
      <c r="D55" s="195" t="s">
        <v>318</v>
      </c>
      <c r="E55" s="313">
        <v>1411157</v>
      </c>
      <c r="F55" s="197" t="s">
        <v>363</v>
      </c>
      <c r="G55" s="198">
        <v>30</v>
      </c>
      <c r="H55" s="199">
        <v>62.1</v>
      </c>
      <c r="I55" s="200">
        <v>107</v>
      </c>
      <c r="J55" s="201">
        <v>74</v>
      </c>
      <c r="K55" s="202">
        <v>110</v>
      </c>
      <c r="L55" s="203">
        <v>109</v>
      </c>
      <c r="M55" s="133">
        <f t="shared" si="2"/>
        <v>73.537600000000012</v>
      </c>
      <c r="N55" s="225">
        <v>67</v>
      </c>
      <c r="O55" s="205">
        <v>103</v>
      </c>
      <c r="P55" s="206">
        <f t="shared" si="0"/>
        <v>30</v>
      </c>
      <c r="Q55" s="206">
        <v>68</v>
      </c>
      <c r="R55" s="207">
        <v>50</v>
      </c>
      <c r="S55" s="208">
        <v>30</v>
      </c>
      <c r="T55" s="208">
        <v>40</v>
      </c>
      <c r="U55" s="209">
        <f t="shared" si="3"/>
        <v>43293</v>
      </c>
      <c r="V55" s="208">
        <v>49.4</v>
      </c>
      <c r="W55" s="140">
        <f t="shared" si="4"/>
        <v>50.4</v>
      </c>
      <c r="X55" s="279">
        <v>1</v>
      </c>
      <c r="Y55" s="141">
        <f t="shared" si="5"/>
        <v>2.1000000000000014</v>
      </c>
      <c r="Z55" s="210">
        <v>178</v>
      </c>
      <c r="AA55" s="211" t="s">
        <v>319</v>
      </c>
      <c r="AB55" s="211">
        <v>8</v>
      </c>
      <c r="AC55" s="211">
        <v>14</v>
      </c>
      <c r="AD55" s="211">
        <v>80</v>
      </c>
      <c r="AE55" s="211">
        <v>5.5</v>
      </c>
      <c r="AF55" s="211">
        <v>46</v>
      </c>
      <c r="AG55" s="211" t="s">
        <v>242</v>
      </c>
      <c r="AH55" s="211"/>
      <c r="AI55" s="212">
        <v>154</v>
      </c>
      <c r="AJ55" s="212"/>
      <c r="AK55" s="213">
        <v>25.7</v>
      </c>
      <c r="AL55" s="212">
        <v>1988</v>
      </c>
      <c r="AM55" s="226"/>
      <c r="AN55" s="215">
        <v>1.8</v>
      </c>
      <c r="AO55" s="216">
        <v>16</v>
      </c>
      <c r="AP55" s="216">
        <v>0.65</v>
      </c>
      <c r="AQ55" s="217">
        <f t="shared" si="1"/>
        <v>5.1375999999999999</v>
      </c>
      <c r="AR55" s="218">
        <v>178</v>
      </c>
      <c r="AS55" s="219" t="s">
        <v>248</v>
      </c>
      <c r="AT55" s="220" t="s">
        <v>256</v>
      </c>
      <c r="AU55" s="220" t="s">
        <v>281</v>
      </c>
      <c r="AV55" s="221"/>
      <c r="AW55" s="221"/>
      <c r="AX55" s="222">
        <v>43293</v>
      </c>
    </row>
    <row r="56" spans="2:50" ht="30.75" thickBot="1" x14ac:dyDescent="0.35">
      <c r="B56" s="155">
        <v>48</v>
      </c>
      <c r="C56" s="156">
        <v>179</v>
      </c>
      <c r="D56" s="227" t="s">
        <v>52</v>
      </c>
      <c r="E56" s="314" t="s">
        <v>364</v>
      </c>
      <c r="F56" s="315" t="s">
        <v>349</v>
      </c>
      <c r="G56" s="160">
        <v>26</v>
      </c>
      <c r="H56" s="230">
        <v>58.5</v>
      </c>
      <c r="I56" s="161">
        <v>90</v>
      </c>
      <c r="J56" s="162">
        <v>65</v>
      </c>
      <c r="K56" s="163">
        <v>70</v>
      </c>
      <c r="L56" s="231">
        <v>102</v>
      </c>
      <c r="M56" s="133">
        <f t="shared" si="2"/>
        <v>76.868130000000008</v>
      </c>
      <c r="N56" s="232">
        <v>52</v>
      </c>
      <c r="O56" s="166">
        <v>103</v>
      </c>
      <c r="P56" s="167">
        <f t="shared" si="0"/>
        <v>26</v>
      </c>
      <c r="Q56" s="167">
        <v>55</v>
      </c>
      <c r="R56" s="168">
        <v>50</v>
      </c>
      <c r="S56" s="169">
        <v>28</v>
      </c>
      <c r="T56" s="169">
        <v>40</v>
      </c>
      <c r="U56" s="170">
        <f t="shared" si="3"/>
        <v>43602</v>
      </c>
      <c r="V56" s="169">
        <v>55.4</v>
      </c>
      <c r="W56" s="140">
        <f t="shared" si="4"/>
        <v>56.4</v>
      </c>
      <c r="X56" s="279">
        <v>1</v>
      </c>
      <c r="Y56" s="171">
        <f t="shared" si="5"/>
        <v>-1.8999999999999986</v>
      </c>
      <c r="Z56" s="172">
        <v>179</v>
      </c>
      <c r="AA56" s="173">
        <v>43893</v>
      </c>
      <c r="AB56" s="173">
        <v>6.8</v>
      </c>
      <c r="AC56" s="173">
        <v>17.5</v>
      </c>
      <c r="AD56" s="173">
        <v>81</v>
      </c>
      <c r="AE56" s="173">
        <v>5.5</v>
      </c>
      <c r="AF56" s="173">
        <v>48</v>
      </c>
      <c r="AG56" s="173" t="s">
        <v>242</v>
      </c>
      <c r="AH56" s="173"/>
      <c r="AI56" s="174">
        <v>107</v>
      </c>
      <c r="AJ56" s="174"/>
      <c r="AK56" s="175">
        <v>10</v>
      </c>
      <c r="AL56" s="174">
        <v>1988</v>
      </c>
      <c r="AM56" s="177"/>
      <c r="AN56" s="233">
        <v>2</v>
      </c>
      <c r="AO56" s="179">
        <v>1.3</v>
      </c>
      <c r="AP56" s="179">
        <v>0.65</v>
      </c>
      <c r="AQ56" s="180">
        <f t="shared" si="1"/>
        <v>0.46813000000000005</v>
      </c>
      <c r="AR56" s="181">
        <v>179</v>
      </c>
      <c r="AS56" s="182" t="s">
        <v>260</v>
      </c>
      <c r="AT56" s="183" t="s">
        <v>261</v>
      </c>
      <c r="AU56" s="183" t="s">
        <v>291</v>
      </c>
      <c r="AV56" s="184"/>
      <c r="AW56" s="184"/>
      <c r="AX56" s="185">
        <v>43602</v>
      </c>
    </row>
    <row r="57" spans="2:50" ht="19.5" thickBot="1" x14ac:dyDescent="0.35">
      <c r="B57" s="123">
        <v>49</v>
      </c>
      <c r="C57" s="124">
        <v>60</v>
      </c>
      <c r="D57" s="186" t="s">
        <v>320</v>
      </c>
      <c r="E57" s="316" t="s">
        <v>365</v>
      </c>
      <c r="F57" s="188" t="s">
        <v>338</v>
      </c>
      <c r="G57" s="128">
        <v>15</v>
      </c>
      <c r="H57" s="189">
        <v>33.5</v>
      </c>
      <c r="I57" s="129">
        <v>69</v>
      </c>
      <c r="J57" s="130">
        <v>55</v>
      </c>
      <c r="K57" s="317">
        <v>70</v>
      </c>
      <c r="L57" s="190">
        <v>59</v>
      </c>
      <c r="M57" s="133">
        <f t="shared" si="2"/>
        <v>54.85</v>
      </c>
      <c r="N57" s="134">
        <v>33.5</v>
      </c>
      <c r="O57" s="135">
        <v>37.4</v>
      </c>
      <c r="P57" s="136">
        <f t="shared" si="0"/>
        <v>15</v>
      </c>
      <c r="Q57" s="136">
        <v>23.5</v>
      </c>
      <c r="R57" s="318">
        <v>43</v>
      </c>
      <c r="S57" s="138">
        <v>30</v>
      </c>
      <c r="T57" s="138">
        <v>35</v>
      </c>
      <c r="U57" s="139">
        <f t="shared" si="3"/>
        <v>42552</v>
      </c>
      <c r="V57" s="138">
        <v>42</v>
      </c>
      <c r="W57" s="140">
        <f t="shared" si="4"/>
        <v>43</v>
      </c>
      <c r="X57" s="279">
        <v>1</v>
      </c>
      <c r="Y57" s="141">
        <f t="shared" si="5"/>
        <v>2</v>
      </c>
      <c r="Z57" s="142">
        <v>60</v>
      </c>
      <c r="AA57" s="143" t="s">
        <v>321</v>
      </c>
      <c r="AB57" s="143">
        <v>4.8</v>
      </c>
      <c r="AC57" s="143">
        <v>15.1</v>
      </c>
      <c r="AD57" s="143">
        <v>105</v>
      </c>
      <c r="AE57" s="143">
        <v>2</v>
      </c>
      <c r="AF57" s="143">
        <v>42</v>
      </c>
      <c r="AG57" s="143" t="s">
        <v>242</v>
      </c>
      <c r="AH57" s="143">
        <v>125</v>
      </c>
      <c r="AI57" s="144">
        <v>108</v>
      </c>
      <c r="AJ57" s="144"/>
      <c r="AK57" s="145">
        <v>10.5</v>
      </c>
      <c r="AL57" s="144">
        <v>1982</v>
      </c>
      <c r="AM57" s="146"/>
      <c r="AN57" s="192">
        <v>0.87</v>
      </c>
      <c r="AO57" s="148">
        <v>6</v>
      </c>
      <c r="AP57" s="148">
        <v>1.25</v>
      </c>
      <c r="AQ57" s="149">
        <f t="shared" si="1"/>
        <v>3.15</v>
      </c>
      <c r="AR57" s="150">
        <v>60</v>
      </c>
      <c r="AS57" s="151" t="s">
        <v>322</v>
      </c>
      <c r="AT57" s="152"/>
      <c r="AU57" s="152"/>
      <c r="AV57" s="153"/>
      <c r="AW57" s="153"/>
      <c r="AX57" s="154">
        <v>42552</v>
      </c>
    </row>
    <row r="58" spans="2:50" ht="19.5" thickBot="1" x14ac:dyDescent="0.35">
      <c r="B58" s="193">
        <v>50</v>
      </c>
      <c r="C58" s="194">
        <v>64</v>
      </c>
      <c r="D58" s="319" t="s">
        <v>74</v>
      </c>
      <c r="E58" s="270" t="s">
        <v>241</v>
      </c>
      <c r="F58" s="224">
        <v>40178</v>
      </c>
      <c r="G58" s="198">
        <v>18.5</v>
      </c>
      <c r="H58" s="199">
        <v>42</v>
      </c>
      <c r="I58" s="200">
        <v>77</v>
      </c>
      <c r="J58" s="201">
        <v>60</v>
      </c>
      <c r="K58" s="269">
        <v>84</v>
      </c>
      <c r="L58" s="203">
        <v>85</v>
      </c>
      <c r="M58" s="133">
        <f t="shared" si="2"/>
        <v>58.612500000000004</v>
      </c>
      <c r="N58" s="320">
        <v>42</v>
      </c>
      <c r="O58" s="205">
        <v>54.6</v>
      </c>
      <c r="P58" s="206">
        <f t="shared" si="0"/>
        <v>18.5</v>
      </c>
      <c r="Q58" s="206">
        <v>31.1</v>
      </c>
      <c r="R58" s="265">
        <v>45</v>
      </c>
      <c r="S58" s="208">
        <v>30</v>
      </c>
      <c r="T58" s="208">
        <v>35</v>
      </c>
      <c r="U58" s="209">
        <f t="shared" si="3"/>
        <v>42548</v>
      </c>
      <c r="V58" s="208">
        <v>43</v>
      </c>
      <c r="W58" s="140">
        <f t="shared" si="4"/>
        <v>44</v>
      </c>
      <c r="X58" s="279">
        <v>1</v>
      </c>
      <c r="Y58" s="141">
        <f t="shared" si="5"/>
        <v>-6.5</v>
      </c>
      <c r="Z58" s="210">
        <v>64</v>
      </c>
      <c r="AA58" s="211" t="s">
        <v>323</v>
      </c>
      <c r="AB58" s="211">
        <v>4.5</v>
      </c>
      <c r="AC58" s="211">
        <v>13.5</v>
      </c>
      <c r="AD58" s="211">
        <v>106</v>
      </c>
      <c r="AE58" s="211">
        <v>2</v>
      </c>
      <c r="AF58" s="211">
        <v>34.5</v>
      </c>
      <c r="AG58" s="211" t="s">
        <v>242</v>
      </c>
      <c r="AH58" s="211">
        <v>125</v>
      </c>
      <c r="AI58" s="212">
        <v>108</v>
      </c>
      <c r="AJ58" s="212"/>
      <c r="AK58" s="213">
        <v>12</v>
      </c>
      <c r="AL58" s="212">
        <v>1982</v>
      </c>
      <c r="AM58" s="226"/>
      <c r="AN58" s="215">
        <v>0.87</v>
      </c>
      <c r="AO58" s="216">
        <v>11</v>
      </c>
      <c r="AP58" s="216">
        <v>1.25</v>
      </c>
      <c r="AQ58" s="217">
        <f t="shared" si="1"/>
        <v>5.9124999999999996</v>
      </c>
      <c r="AR58" s="218">
        <v>64</v>
      </c>
      <c r="AS58" s="219" t="s">
        <v>322</v>
      </c>
      <c r="AT58" s="220"/>
      <c r="AU58" s="220"/>
      <c r="AV58" s="221"/>
      <c r="AW58" s="221"/>
      <c r="AX58" s="222">
        <v>42548</v>
      </c>
    </row>
    <row r="59" spans="2:50" ht="19.5" thickBot="1" x14ac:dyDescent="0.35">
      <c r="B59" s="193">
        <v>51</v>
      </c>
      <c r="C59" s="194">
        <v>65</v>
      </c>
      <c r="D59" s="195" t="s">
        <v>45</v>
      </c>
      <c r="E59" s="266" t="s">
        <v>366</v>
      </c>
      <c r="F59" s="197" t="s">
        <v>338</v>
      </c>
      <c r="G59" s="198">
        <v>15</v>
      </c>
      <c r="H59" s="199">
        <v>33.5</v>
      </c>
      <c r="I59" s="200">
        <v>69</v>
      </c>
      <c r="J59" s="201">
        <v>55</v>
      </c>
      <c r="K59" s="269">
        <v>70</v>
      </c>
      <c r="L59" s="203">
        <v>55.7</v>
      </c>
      <c r="M59" s="133">
        <f t="shared" si="2"/>
        <v>55.476999999999997</v>
      </c>
      <c r="N59" s="320">
        <v>29.8</v>
      </c>
      <c r="O59" s="205">
        <v>46.6</v>
      </c>
      <c r="P59" s="206">
        <f t="shared" si="0"/>
        <v>15</v>
      </c>
      <c r="Q59" s="206">
        <v>32.700000000000003</v>
      </c>
      <c r="R59" s="265">
        <v>43</v>
      </c>
      <c r="S59" s="208">
        <v>30</v>
      </c>
      <c r="T59" s="208">
        <v>35</v>
      </c>
      <c r="U59" s="209">
        <f t="shared" si="3"/>
        <v>43255</v>
      </c>
      <c r="V59" s="208">
        <v>43</v>
      </c>
      <c r="W59" s="140">
        <f t="shared" si="4"/>
        <v>44</v>
      </c>
      <c r="X59" s="279">
        <v>1</v>
      </c>
      <c r="Y59" s="141">
        <f t="shared" si="5"/>
        <v>-7.2000000000000028</v>
      </c>
      <c r="Z59" s="210">
        <v>65</v>
      </c>
      <c r="AA59" s="211" t="s">
        <v>324</v>
      </c>
      <c r="AB59" s="211">
        <v>4.5999999999999996</v>
      </c>
      <c r="AC59" s="211">
        <v>12.75</v>
      </c>
      <c r="AD59" s="211">
        <v>105</v>
      </c>
      <c r="AE59" s="211">
        <v>2</v>
      </c>
      <c r="AF59" s="211">
        <v>33.799999999999997</v>
      </c>
      <c r="AG59" s="211" t="s">
        <v>242</v>
      </c>
      <c r="AH59" s="211">
        <v>150</v>
      </c>
      <c r="AI59" s="212">
        <v>110</v>
      </c>
      <c r="AJ59" s="212"/>
      <c r="AK59" s="213">
        <v>13.4</v>
      </c>
      <c r="AL59" s="212">
        <v>1982</v>
      </c>
      <c r="AM59" s="226"/>
      <c r="AN59" s="215">
        <v>0.98</v>
      </c>
      <c r="AO59" s="216">
        <v>6</v>
      </c>
      <c r="AP59" s="216">
        <v>0.65</v>
      </c>
      <c r="AQ59" s="217">
        <f t="shared" si="1"/>
        <v>1.6770000000000003</v>
      </c>
      <c r="AR59" s="218">
        <v>65</v>
      </c>
      <c r="AS59" s="219" t="s">
        <v>248</v>
      </c>
      <c r="AT59" s="220" t="s">
        <v>244</v>
      </c>
      <c r="AU59" s="220" t="s">
        <v>244</v>
      </c>
      <c r="AV59" s="221"/>
      <c r="AW59" s="221"/>
      <c r="AX59" s="222">
        <v>43255</v>
      </c>
    </row>
    <row r="60" spans="2:50" ht="19.5" thickBot="1" x14ac:dyDescent="0.35">
      <c r="B60" s="155">
        <v>52</v>
      </c>
      <c r="C60" s="156">
        <v>66</v>
      </c>
      <c r="D60" s="227" t="s">
        <v>94</v>
      </c>
      <c r="E60" s="321" t="s">
        <v>367</v>
      </c>
      <c r="F60" s="315" t="s">
        <v>331</v>
      </c>
      <c r="G60" s="160">
        <v>18.5</v>
      </c>
      <c r="H60" s="230">
        <v>42.6</v>
      </c>
      <c r="I60" s="161">
        <v>75</v>
      </c>
      <c r="J60" s="162">
        <v>59</v>
      </c>
      <c r="K60" s="322">
        <v>84</v>
      </c>
      <c r="L60" s="231">
        <v>77</v>
      </c>
      <c r="M60" s="133">
        <f t="shared" si="2"/>
        <v>54.377000000000002</v>
      </c>
      <c r="N60" s="165">
        <v>42.6</v>
      </c>
      <c r="O60" s="166">
        <v>55</v>
      </c>
      <c r="P60" s="167">
        <f t="shared" si="0"/>
        <v>18.5</v>
      </c>
      <c r="Q60" s="167">
        <v>35</v>
      </c>
      <c r="R60" s="323">
        <v>45</v>
      </c>
      <c r="S60" s="169">
        <v>35</v>
      </c>
      <c r="T60" s="169">
        <v>39</v>
      </c>
      <c r="U60" s="170">
        <f t="shared" si="3"/>
        <v>43627</v>
      </c>
      <c r="V60" s="169">
        <v>43</v>
      </c>
      <c r="W60" s="140">
        <f t="shared" si="4"/>
        <v>44</v>
      </c>
      <c r="X60" s="279">
        <v>1</v>
      </c>
      <c r="Y60" s="171">
        <f t="shared" si="5"/>
        <v>-6.7000000000000028</v>
      </c>
      <c r="Z60" s="172">
        <v>66</v>
      </c>
      <c r="AA60" s="173" t="s">
        <v>325</v>
      </c>
      <c r="AB60" s="173">
        <v>5</v>
      </c>
      <c r="AC60" s="173">
        <v>13</v>
      </c>
      <c r="AD60" s="173">
        <v>106</v>
      </c>
      <c r="AE60" s="173">
        <v>2</v>
      </c>
      <c r="AF60" s="173">
        <v>34.299999999999997</v>
      </c>
      <c r="AG60" s="173" t="s">
        <v>242</v>
      </c>
      <c r="AH60" s="173"/>
      <c r="AI60" s="174">
        <v>108</v>
      </c>
      <c r="AJ60" s="174"/>
      <c r="AK60" s="175">
        <v>13.5</v>
      </c>
      <c r="AL60" s="174">
        <v>1982</v>
      </c>
      <c r="AM60" s="177"/>
      <c r="AN60" s="233">
        <v>0.87</v>
      </c>
      <c r="AO60" s="179">
        <v>6</v>
      </c>
      <c r="AP60" s="179">
        <v>0.65</v>
      </c>
      <c r="AQ60" s="180">
        <f t="shared" si="1"/>
        <v>1.6770000000000003</v>
      </c>
      <c r="AR60" s="181">
        <v>66</v>
      </c>
      <c r="AS60" s="182" t="s">
        <v>248</v>
      </c>
      <c r="AT60" s="183" t="s">
        <v>244</v>
      </c>
      <c r="AU60" s="183" t="s">
        <v>244</v>
      </c>
      <c r="AV60" s="184"/>
      <c r="AW60" s="184"/>
      <c r="AX60" s="185">
        <v>43627</v>
      </c>
    </row>
  </sheetData>
  <mergeCells count="10">
    <mergeCell ref="S5:T5"/>
    <mergeCell ref="AB5:AC5"/>
    <mergeCell ref="AN5:AP5"/>
    <mergeCell ref="AT5:AU5"/>
    <mergeCell ref="B4:J4"/>
    <mergeCell ref="K4:N4"/>
    <mergeCell ref="O4:Y4"/>
    <mergeCell ref="AA4:AL4"/>
    <mergeCell ref="AN4:AQ4"/>
    <mergeCell ref="AR4:AX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Krokoz™</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Uzed</dc:creator>
  <cp:lastModifiedBy>Админ</cp:lastModifiedBy>
  <cp:lastPrinted>2021-12-24T12:03:49Z</cp:lastPrinted>
  <dcterms:created xsi:type="dcterms:W3CDTF">2018-01-03T05:48:10Z</dcterms:created>
  <dcterms:modified xsi:type="dcterms:W3CDTF">2022-01-05T07:01:15Z</dcterms:modified>
</cp:coreProperties>
</file>