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RTY\Downloads\"/>
    </mc:Choice>
  </mc:AlternateContent>
  <xr:revisionPtr revIDLastSave="0" documentId="13_ncr:1_{91160B36-4877-4088-80ED-9EE1439FCA6D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ПрактическаяРабота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g6Tqb+XrCBxFf/pnUxf1OBy4Tgng=="/>
    </ext>
  </extLst>
</workbook>
</file>

<file path=xl/calcChain.xml><?xml version="1.0" encoding="utf-8"?>
<calcChain xmlns="http://schemas.openxmlformats.org/spreadsheetml/2006/main">
  <c r="T4" i="3" l="1"/>
  <c r="K37" i="3"/>
  <c r="K29" i="3"/>
  <c r="K30" i="3" s="1"/>
  <c r="K28" i="3"/>
  <c r="M19" i="3"/>
  <c r="L19" i="3"/>
  <c r="L18" i="3"/>
  <c r="M18" i="3" s="1"/>
  <c r="K20" i="3"/>
  <c r="J21" i="3"/>
  <c r="K21" i="3" s="1"/>
  <c r="J20" i="3"/>
  <c r="J19" i="3"/>
  <c r="K19" i="3" s="1"/>
  <c r="J18" i="3"/>
  <c r="K18" i="3" s="1"/>
  <c r="K11" i="3"/>
  <c r="K10" i="3"/>
  <c r="L21" i="3" s="1"/>
  <c r="M21" i="3" s="1"/>
  <c r="K9" i="3"/>
  <c r="K8" i="3"/>
  <c r="K13" i="3" s="1"/>
  <c r="K7" i="3"/>
  <c r="S13" i="3" s="1"/>
  <c r="M5" i="3"/>
  <c r="F11" i="3"/>
  <c r="C10" i="3"/>
  <c r="D10" i="3"/>
  <c r="D11" i="3" s="1"/>
  <c r="E10" i="3"/>
  <c r="E11" i="3" s="1"/>
  <c r="F10" i="3"/>
  <c r="B10" i="3"/>
  <c r="B11" i="3" s="1"/>
  <c r="B19" i="3" l="1"/>
  <c r="K23" i="3"/>
  <c r="C11" i="3"/>
  <c r="B13" i="3" s="1"/>
  <c r="L22" i="3"/>
  <c r="M22" i="3" s="1"/>
  <c r="L20" i="3"/>
  <c r="M20" i="3" s="1"/>
  <c r="M23" i="3" s="1"/>
  <c r="B7" i="3"/>
  <c r="K33" i="3" l="1"/>
  <c r="K32" i="3"/>
  <c r="K34" i="3" s="1"/>
  <c r="K36" i="3" s="1"/>
  <c r="B14" i="3"/>
  <c r="D20" i="3"/>
  <c r="J26" i="3"/>
  <c r="K38" i="3"/>
  <c r="K39" i="3" s="1"/>
  <c r="D7" i="3"/>
  <c r="T18" i="3" l="1"/>
  <c r="K31" i="3"/>
  <c r="K14" i="3"/>
  <c r="B18" i="3"/>
  <c r="B22" i="3" s="1"/>
  <c r="T10" i="3" l="1"/>
  <c r="T8" i="3"/>
  <c r="T2" i="3"/>
  <c r="T23" i="3"/>
  <c r="T6" i="3"/>
  <c r="D22" i="3"/>
  <c r="K40" i="3"/>
  <c r="K41" i="3" l="1"/>
  <c r="K43" i="3" s="1"/>
  <c r="T13" i="3" s="1"/>
  <c r="T17" i="3"/>
  <c r="T25" i="3" s="1"/>
  <c r="T31" i="3" s="1"/>
  <c r="T15" i="3" l="1"/>
  <c r="T32" i="3"/>
  <c r="T34" i="3" s="1"/>
  <c r="T26" i="3"/>
  <c r="U20" i="3"/>
  <c r="T40" i="3" l="1"/>
  <c r="T37" i="3"/>
</calcChain>
</file>

<file path=xl/sharedStrings.xml><?xml version="1.0" encoding="utf-8"?>
<sst xmlns="http://schemas.openxmlformats.org/spreadsheetml/2006/main" count="155" uniqueCount="113">
  <si>
    <t>f</t>
  </si>
  <si>
    <t>%</t>
  </si>
  <si>
    <t>В</t>
  </si>
  <si>
    <t>k</t>
  </si>
  <si>
    <t>Xmax</t>
  </si>
  <si>
    <t>Xmin</t>
  </si>
  <si>
    <t>Среднее арифметическое(Х-)</t>
  </si>
  <si>
    <t>Среднее квадратичное отклонение (S)</t>
  </si>
  <si>
    <t>B</t>
  </si>
  <si>
    <t>G1</t>
  </si>
  <si>
    <t>&lt;</t>
  </si>
  <si>
    <t>G2</t>
  </si>
  <si>
    <t>Результаты промежуточных расчётов критерия Аббе</t>
  </si>
  <si>
    <t>Xi+1 -Xi, B</t>
  </si>
  <si>
    <t>(Xi+1 -Xi)^2, B^2</t>
  </si>
  <si>
    <t>Xi - (X-), B</t>
  </si>
  <si>
    <t>(Xi - (X-))^2, B^2</t>
  </si>
  <si>
    <t>R</t>
  </si>
  <si>
    <t>Ом</t>
  </si>
  <si>
    <t>Rv</t>
  </si>
  <si>
    <t>y</t>
  </si>
  <si>
    <t>фи</t>
  </si>
  <si>
    <t>bт</t>
  </si>
  <si>
    <t>q</t>
  </si>
  <si>
    <t>Ñ</t>
  </si>
  <si>
    <t>E(P)</t>
  </si>
  <si>
    <t>bм</t>
  </si>
  <si>
    <t>Используемые резисторы</t>
  </si>
  <si>
    <t>Номер варианта</t>
  </si>
  <si>
    <t>U1, B</t>
  </si>
  <si>
    <t>U2, B</t>
  </si>
  <si>
    <t>U3, B</t>
  </si>
  <si>
    <t>U4, B</t>
  </si>
  <si>
    <t>U5, B</t>
  </si>
  <si>
    <t>Количество</t>
  </si>
  <si>
    <t>Линеаризация</t>
  </si>
  <si>
    <t>R1</t>
  </si>
  <si>
    <t>R2</t>
  </si>
  <si>
    <t>R3</t>
  </si>
  <si>
    <t>R4</t>
  </si>
  <si>
    <t>R5</t>
  </si>
  <si>
    <t>dP[Вт]/dU[В]</t>
  </si>
  <si>
    <t>В/Ом</t>
  </si>
  <si>
    <t>Тип</t>
  </si>
  <si>
    <t>Всего резисторов:</t>
  </si>
  <si>
    <t>Параметры вольтметра</t>
  </si>
  <si>
    <t>Количество (b)</t>
  </si>
  <si>
    <t>Un, В</t>
  </si>
  <si>
    <t>bмп, %</t>
  </si>
  <si>
    <t>R, Ом</t>
  </si>
  <si>
    <t>d^2P/dU^2</t>
  </si>
  <si>
    <t>Ом^-1</t>
  </si>
  <si>
    <t>Номинал, Ом</t>
  </si>
  <si>
    <t>bR, %</t>
  </si>
  <si>
    <r>
      <rPr>
        <sz val="14"/>
        <color rgb="FF000000"/>
        <rFont val="Times New Roman"/>
        <family val="1"/>
        <charset val="204"/>
      </rPr>
      <t xml:space="preserve">Допуск, </t>
    </r>
    <r>
      <rPr>
        <sz val="14"/>
        <color rgb="FF000000"/>
        <rFont val="Symbol"/>
        <family val="1"/>
        <charset val="2"/>
      </rPr>
      <t>±</t>
    </r>
    <r>
      <rPr>
        <sz val="14"/>
        <color rgb="FF000000"/>
        <rFont val="Times New Roman"/>
        <family val="1"/>
        <charset val="204"/>
      </rPr>
      <t>%</t>
    </r>
  </si>
  <si>
    <t>dP/dR</t>
  </si>
  <si>
    <t>В^2/Ом^2</t>
  </si>
  <si>
    <t>кОм</t>
  </si>
  <si>
    <r>
      <rPr>
        <sz val="14"/>
        <color rgb="FF000000"/>
        <rFont val="Symbol"/>
        <family val="1"/>
        <charset val="2"/>
      </rPr>
      <t>D</t>
    </r>
    <r>
      <rPr>
        <sz val="14"/>
        <color rgb="FF000000"/>
        <rFont val="Times New Roman"/>
        <family val="1"/>
        <charset val="204"/>
      </rPr>
      <t>R</t>
    </r>
  </si>
  <si>
    <t>Рассчитанные пределы допускаемых погрешностей и СКО</t>
  </si>
  <si>
    <t>d^2P/dR^2</t>
  </si>
  <si>
    <t>Ом^-2</t>
  </si>
  <si>
    <t>±Ф, Ом</t>
  </si>
  <si>
    <t>d^2P/(dR dU)</t>
  </si>
  <si>
    <t>В/Ом^2</t>
  </si>
  <si>
    <t>S(x), Ом</t>
  </si>
  <si>
    <t>Погрешности</t>
  </si>
  <si>
    <t>Gт</t>
  </si>
  <si>
    <r>
      <rPr>
        <sz val="14"/>
        <color rgb="FF000000"/>
        <rFont val="Symbol"/>
        <family val="1"/>
        <charset val="2"/>
      </rPr>
      <t>D</t>
    </r>
    <r>
      <rPr>
        <sz val="11"/>
        <color rgb="FF000000"/>
        <rFont val="Times New Roman"/>
        <family val="1"/>
        <charset val="204"/>
      </rPr>
      <t>R</t>
    </r>
  </si>
  <si>
    <t>Du</t>
  </si>
  <si>
    <t>n</t>
  </si>
  <si>
    <t>СКО составного резистора(S(y))</t>
  </si>
  <si>
    <t>fэф</t>
  </si>
  <si>
    <t>По таблице "Значения коэффициентов Стьюдента"</t>
  </si>
  <si>
    <t>Вт</t>
  </si>
  <si>
    <t>f(0,95)</t>
  </si>
  <si>
    <t>S(U)</t>
  </si>
  <si>
    <t>S(R)</t>
  </si>
  <si>
    <t>Ф(Р)</t>
  </si>
  <si>
    <t>К</t>
  </si>
  <si>
    <r>
      <rPr>
        <sz val="14"/>
        <color rgb="FF000000"/>
        <rFont val="Symbol"/>
        <family val="1"/>
        <charset val="2"/>
      </rPr>
      <t>D</t>
    </r>
    <r>
      <rPr>
        <sz val="14"/>
        <color rgb="FF000000"/>
        <rFont val="Times New Roman"/>
        <family val="1"/>
        <charset val="204"/>
      </rPr>
      <t>(Р)</t>
    </r>
  </si>
  <si>
    <t>Расчёт косвенного измерения</t>
  </si>
  <si>
    <t>Р</t>
  </si>
  <si>
    <t>V</t>
  </si>
  <si>
    <t>Vт</t>
  </si>
  <si>
    <t>S(P)</t>
  </si>
  <si>
    <t>f выбирается по таблице "Значения коэффициентов Стьюдента" выбираем наибольшее близжайшее</t>
  </si>
  <si>
    <t>tq(0,95)</t>
  </si>
  <si>
    <t>Xисп</t>
  </si>
  <si>
    <t>Е(Р)</t>
  </si>
  <si>
    <t>S</t>
  </si>
  <si>
    <t>S*</t>
  </si>
  <si>
    <t>Sx</t>
  </si>
  <si>
    <r>
      <rPr>
        <sz val="14"/>
        <color rgb="FF000000"/>
        <rFont val="Times New Roman"/>
        <family val="1"/>
        <charset val="204"/>
      </rPr>
      <t>0,8</t>
    </r>
    <r>
      <rPr>
        <sz val="14"/>
        <color rgb="FF000000"/>
        <rFont val="Symbol"/>
        <family val="1"/>
        <charset val="2"/>
      </rPr>
      <t>£</t>
    </r>
  </si>
  <si>
    <r>
      <rPr>
        <sz val="14"/>
        <color rgb="FF000000"/>
        <rFont val="Symbol"/>
        <family val="1"/>
        <charset val="2"/>
      </rPr>
      <t>£</t>
    </r>
    <r>
      <rPr>
        <sz val="11"/>
        <color rgb="FF000000"/>
        <rFont val="Times New Roman"/>
        <family val="1"/>
        <charset val="204"/>
      </rPr>
      <t>8</t>
    </r>
  </si>
  <si>
    <t>t(4,0,95)</t>
  </si>
  <si>
    <t>Фмп</t>
  </si>
  <si>
    <t>»</t>
  </si>
  <si>
    <r>
      <rPr>
        <sz val="16"/>
        <color rgb="FF000000"/>
        <rFont val="Symbol"/>
        <family val="1"/>
        <charset val="2"/>
      </rPr>
      <t>D</t>
    </r>
    <r>
      <rPr>
        <sz val="16"/>
        <color rgb="FF000000"/>
        <rFont val="Times New Roman"/>
        <family val="1"/>
        <charset val="204"/>
      </rPr>
      <t>u</t>
    </r>
  </si>
  <si>
    <t>К=</t>
  </si>
  <si>
    <t>Фт</t>
  </si>
  <si>
    <r>
      <rPr>
        <sz val="14"/>
        <color rgb="FF000000"/>
        <rFont val="Symbol"/>
        <family val="1"/>
        <charset val="2"/>
      </rPr>
      <t>D</t>
    </r>
    <r>
      <rPr>
        <sz val="11"/>
        <color rgb="FF000000"/>
        <rFont val="Times New Roman"/>
        <family val="1"/>
        <charset val="204"/>
      </rPr>
      <t>(Р)</t>
    </r>
  </si>
  <si>
    <t>Sсум</t>
  </si>
  <si>
    <r>
      <rPr>
        <sz val="16"/>
        <color rgb="FF000000"/>
        <rFont val="Symbol"/>
        <family val="1"/>
        <charset val="2"/>
      </rPr>
      <t>D</t>
    </r>
    <r>
      <rPr>
        <sz val="16"/>
        <color rgb="FF000000"/>
        <rFont val="Times New Roman"/>
        <family val="1"/>
        <charset val="204"/>
      </rPr>
      <t>u</t>
    </r>
  </si>
  <si>
    <t>22RG</t>
  </si>
  <si>
    <t>56RG</t>
  </si>
  <si>
    <t>27RK</t>
  </si>
  <si>
    <t>12RG</t>
  </si>
  <si>
    <t>мой вариант</t>
  </si>
  <si>
    <t>1R2F</t>
  </si>
  <si>
    <t>К(0,95)</t>
  </si>
  <si>
    <t xml:space="preserve">Выбираем К по таблице "Значения коэффициента К" </t>
  </si>
  <si>
    <t>12RF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</si>
</sst>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.00000E+00"/>
    <numFmt numFmtId="166" formatCode="0.000"/>
    <numFmt numFmtId="167" formatCode="0.0000"/>
    <numFmt numFmtId="168" formatCode="0.0"/>
    <numFmt numFmtId="169" formatCode="0.000E+00"/>
    <numFmt numFmtId="170" formatCode="0.0000000000"/>
  </numFmts>
  <fonts count="10">
    <font>
      <sz val="10"/>
      <color rgb="FF000000"/>
      <name val="Arial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0"/>
      <name val="Arial"/>
      <family val="2"/>
      <charset val="204"/>
    </font>
    <font>
      <sz val="14"/>
      <color rgb="FF000000"/>
      <name val="Noto Sans Symbols"/>
    </font>
    <font>
      <sz val="16"/>
      <color rgb="FF000000"/>
      <name val="Times New Roman"/>
      <family val="1"/>
      <charset val="204"/>
    </font>
    <font>
      <sz val="14"/>
      <color rgb="FF000000"/>
      <name val="Symbol"/>
      <family val="1"/>
      <charset val="2"/>
    </font>
    <font>
      <sz val="11"/>
      <color rgb="FF000000"/>
      <name val="Times New Roman"/>
      <family val="1"/>
      <charset val="204"/>
    </font>
    <font>
      <sz val="16"/>
      <color rgb="FF000000"/>
      <name val="Symbol"/>
      <family val="1"/>
      <charset val="2"/>
    </font>
    <font>
      <sz val="14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rgb="FFFAD9D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EF1CC"/>
      </patternFill>
    </fill>
    <fill>
      <patternFill patternType="solid">
        <fgColor theme="7" tint="0.59999389629810485"/>
        <bgColor rgb="FFD9E6FC"/>
      </patternFill>
    </fill>
  </fills>
  <borders count="2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169" fontId="2" fillId="0" borderId="18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166" fontId="2" fillId="0" borderId="21" xfId="0" applyNumberFormat="1" applyFont="1" applyBorder="1" applyAlignment="1">
      <alignment horizontal="center" vertical="center" wrapText="1"/>
    </xf>
    <xf numFmtId="0" fontId="3" fillId="0" borderId="12" xfId="0" applyFont="1" applyBorder="1"/>
    <xf numFmtId="0" fontId="2" fillId="3" borderId="21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10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1" xfId="0" applyFont="1" applyBorder="1"/>
    <xf numFmtId="0" fontId="3" fillId="0" borderId="5" xfId="0" applyFont="1" applyBorder="1"/>
    <xf numFmtId="164" fontId="1" fillId="4" borderId="21" xfId="0" applyNumberFormat="1" applyFont="1" applyFill="1" applyBorder="1" applyAlignment="1">
      <alignment horizontal="center" vertical="center" wrapText="1"/>
    </xf>
    <xf numFmtId="164" fontId="1" fillId="2" borderId="21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7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3" borderId="19" xfId="0" applyNumberFormat="1" applyFont="1" applyFill="1" applyBorder="1"/>
    <xf numFmtId="164" fontId="2" fillId="0" borderId="19" xfId="0" applyNumberFormat="1" applyFont="1" applyFill="1" applyBorder="1"/>
    <xf numFmtId="164" fontId="2" fillId="3" borderId="20" xfId="0" applyNumberFormat="1" applyFont="1" applyFill="1" applyBorder="1"/>
    <xf numFmtId="0" fontId="2" fillId="0" borderId="6" xfId="0" applyFont="1" applyFill="1" applyBorder="1" applyAlignment="1">
      <alignment horizontal="center" vertical="center" wrapText="1"/>
    </xf>
    <xf numFmtId="167" fontId="2" fillId="0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166" fontId="2" fillId="3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3" fillId="0" borderId="7" xfId="0" applyFont="1" applyFill="1" applyBorder="1"/>
    <xf numFmtId="0" fontId="3" fillId="0" borderId="8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2" fillId="0" borderId="21" xfId="0" applyFont="1" applyBorder="1" applyAlignment="1">
      <alignment horizontal="center" vertical="center" wrapText="1"/>
    </xf>
    <xf numFmtId="0" fontId="3" fillId="0" borderId="21" xfId="0" applyFont="1" applyBorder="1"/>
    <xf numFmtId="0" fontId="2" fillId="5" borderId="21" xfId="0" applyFont="1" applyFill="1" applyBorder="1" applyAlignment="1">
      <alignment horizontal="center" vertical="center" wrapText="1"/>
    </xf>
    <xf numFmtId="0" fontId="3" fillId="3" borderId="21" xfId="0" applyFont="1" applyFill="1" applyBorder="1"/>
    <xf numFmtId="0" fontId="2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topLeftCell="A16" zoomScale="50" zoomScaleNormal="50" workbookViewId="0">
      <selection activeCell="T29" sqref="T29"/>
    </sheetView>
  </sheetViews>
  <sheetFormatPr defaultColWidth="14.44140625" defaultRowHeight="15" customHeight="1"/>
  <cols>
    <col min="1" max="1" width="20.44140625" customWidth="1"/>
    <col min="2" max="5" width="15" customWidth="1"/>
    <col min="6" max="6" width="12.6640625" customWidth="1"/>
    <col min="7" max="7" width="30.5546875" customWidth="1"/>
    <col min="8" max="8" width="8.88671875" customWidth="1"/>
    <col min="9" max="9" width="2.33203125" customWidth="1"/>
    <col min="10" max="10" width="25.109375" customWidth="1"/>
    <col min="11" max="11" width="22.44140625" customWidth="1"/>
    <col min="12" max="12" width="17.6640625" customWidth="1"/>
    <col min="13" max="13" width="22" customWidth="1"/>
    <col min="14" max="15" width="8.88671875" customWidth="1"/>
    <col min="16" max="16" width="9" customWidth="1"/>
    <col min="17" max="17" width="17" customWidth="1"/>
    <col min="18" max="18" width="8.88671875" customWidth="1"/>
    <col min="19" max="19" width="23.6640625" customWidth="1"/>
    <col min="20" max="20" width="23.44140625" customWidth="1"/>
    <col min="21" max="21" width="20.6640625" customWidth="1"/>
    <col min="22" max="26" width="8.88671875" customWidth="1"/>
  </cols>
  <sheetData>
    <row r="1" spans="1:26" ht="57.75" customHeight="1">
      <c r="A1" s="54" t="s">
        <v>27</v>
      </c>
      <c r="B1" s="55"/>
      <c r="C1" s="55"/>
      <c r="D1" s="55"/>
      <c r="E1" s="55"/>
      <c r="F1" s="56"/>
      <c r="G1" s="17" t="s">
        <v>108</v>
      </c>
      <c r="H1" s="5"/>
      <c r="I1" s="5"/>
      <c r="J1" s="15" t="s">
        <v>28</v>
      </c>
      <c r="K1" s="15" t="s">
        <v>29</v>
      </c>
      <c r="L1" s="15" t="s">
        <v>30</v>
      </c>
      <c r="M1" s="15" t="s">
        <v>31</v>
      </c>
      <c r="N1" s="15" t="s">
        <v>32</v>
      </c>
      <c r="O1" s="15" t="s">
        <v>33</v>
      </c>
      <c r="P1" s="15" t="s">
        <v>17</v>
      </c>
      <c r="Q1" s="15" t="s">
        <v>34</v>
      </c>
      <c r="R1" s="5"/>
      <c r="S1" s="57" t="s">
        <v>35</v>
      </c>
      <c r="T1" s="58"/>
      <c r="U1" s="58"/>
      <c r="V1" s="7"/>
      <c r="W1" s="7"/>
      <c r="X1" s="7"/>
      <c r="Y1" s="7"/>
      <c r="Z1" s="5"/>
    </row>
    <row r="2" spans="1:26" ht="18.75" customHeight="1">
      <c r="A2" s="15"/>
      <c r="B2" s="15" t="s">
        <v>36</v>
      </c>
      <c r="C2" s="15" t="s">
        <v>37</v>
      </c>
      <c r="D2" s="15" t="s">
        <v>38</v>
      </c>
      <c r="E2" s="15" t="s">
        <v>39</v>
      </c>
      <c r="F2" s="15" t="s">
        <v>40</v>
      </c>
      <c r="G2" s="17">
        <v>1</v>
      </c>
      <c r="H2" s="5"/>
      <c r="I2" s="5"/>
      <c r="J2" s="15">
        <v>1</v>
      </c>
      <c r="K2" s="16">
        <v>1.6040000000000001</v>
      </c>
      <c r="L2" s="16">
        <v>1.577</v>
      </c>
      <c r="M2" s="16">
        <v>1.5940000000000001</v>
      </c>
      <c r="N2" s="16">
        <v>1.617</v>
      </c>
      <c r="O2" s="16">
        <v>1.593</v>
      </c>
      <c r="P2" s="16" t="s">
        <v>109</v>
      </c>
      <c r="Q2" s="15">
        <v>5</v>
      </c>
      <c r="R2" s="5"/>
      <c r="S2" s="5" t="s">
        <v>41</v>
      </c>
      <c r="T2" s="5">
        <f>2*K31/P4</f>
        <v>2.6648568384605138</v>
      </c>
      <c r="U2" s="5" t="s">
        <v>42</v>
      </c>
      <c r="V2" s="5"/>
      <c r="W2" s="5"/>
      <c r="X2" s="5"/>
      <c r="Y2" s="5"/>
      <c r="Z2" s="5"/>
    </row>
    <row r="3" spans="1:26" ht="18.75" customHeight="1">
      <c r="A3" s="15" t="s">
        <v>43</v>
      </c>
      <c r="B3" s="16" t="s">
        <v>112</v>
      </c>
      <c r="C3" s="16" t="s">
        <v>104</v>
      </c>
      <c r="D3" s="16" t="s">
        <v>105</v>
      </c>
      <c r="E3" s="16" t="s">
        <v>106</v>
      </c>
      <c r="F3" s="16" t="s">
        <v>107</v>
      </c>
      <c r="G3" s="17" t="s">
        <v>44</v>
      </c>
      <c r="H3" s="5"/>
      <c r="I3" s="5"/>
      <c r="J3" s="59" t="s">
        <v>45</v>
      </c>
      <c r="K3" s="60"/>
      <c r="L3" s="60"/>
      <c r="M3" s="60"/>
      <c r="N3" s="60"/>
      <c r="O3" s="60"/>
      <c r="P3" s="60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.75" customHeight="1">
      <c r="A4" s="15" t="s">
        <v>46</v>
      </c>
      <c r="B4" s="16">
        <v>3</v>
      </c>
      <c r="C4" s="16">
        <v>6</v>
      </c>
      <c r="D4" s="16">
        <v>1</v>
      </c>
      <c r="E4" s="16">
        <v>1</v>
      </c>
      <c r="F4" s="16">
        <v>9</v>
      </c>
      <c r="G4" s="17">
        <v>20</v>
      </c>
      <c r="H4" s="5"/>
      <c r="I4" s="5"/>
      <c r="J4" s="15" t="s">
        <v>47</v>
      </c>
      <c r="K4" s="15" t="s">
        <v>20</v>
      </c>
      <c r="L4" s="15" t="s">
        <v>48</v>
      </c>
      <c r="M4" s="15" t="s">
        <v>22</v>
      </c>
      <c r="N4" s="15" t="s">
        <v>19</v>
      </c>
      <c r="O4" s="15"/>
      <c r="P4" s="20">
        <v>1.2</v>
      </c>
      <c r="Q4" s="15" t="s">
        <v>49</v>
      </c>
      <c r="R4" s="5"/>
      <c r="S4" s="5" t="s">
        <v>50</v>
      </c>
      <c r="T4" s="5">
        <f>2/P4</f>
        <v>1.6666666666666667</v>
      </c>
      <c r="U4" s="5" t="s">
        <v>51</v>
      </c>
      <c r="V4" s="5"/>
      <c r="W4" s="5"/>
      <c r="X4" s="5"/>
      <c r="Y4" s="5"/>
      <c r="Z4" s="5"/>
    </row>
    <row r="5" spans="1:26" ht="18.75" customHeight="1">
      <c r="A5" s="15" t="s">
        <v>52</v>
      </c>
      <c r="B5" s="16">
        <v>12</v>
      </c>
      <c r="C5" s="16">
        <v>22</v>
      </c>
      <c r="D5" s="16">
        <v>56</v>
      </c>
      <c r="E5" s="16">
        <v>27</v>
      </c>
      <c r="F5" s="16">
        <v>12</v>
      </c>
      <c r="G5" s="5"/>
      <c r="H5" s="5"/>
      <c r="I5" s="5"/>
      <c r="J5" s="15">
        <v>10</v>
      </c>
      <c r="K5" s="15">
        <v>0.1</v>
      </c>
      <c r="L5" s="15">
        <v>0.1</v>
      </c>
      <c r="M5" s="15">
        <f>1.5*L5</f>
        <v>0.15000000000000002</v>
      </c>
      <c r="N5" s="15">
        <v>1000</v>
      </c>
      <c r="O5" s="15"/>
      <c r="P5" s="20">
        <v>1</v>
      </c>
      <c r="Q5" s="15" t="s">
        <v>53</v>
      </c>
      <c r="R5" s="5"/>
      <c r="S5" s="5"/>
      <c r="T5" s="5"/>
      <c r="U5" s="5"/>
      <c r="V5" s="5"/>
      <c r="W5" s="5"/>
      <c r="X5" s="5"/>
      <c r="Y5" s="5"/>
      <c r="Z5" s="5"/>
    </row>
    <row r="6" spans="1:26" ht="18.75" customHeight="1">
      <c r="A6" s="15" t="s">
        <v>54</v>
      </c>
      <c r="B6" s="16">
        <v>1</v>
      </c>
      <c r="C6" s="16">
        <v>2</v>
      </c>
      <c r="D6" s="16">
        <v>2</v>
      </c>
      <c r="E6" s="16">
        <v>10</v>
      </c>
      <c r="F6" s="16">
        <v>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 t="s">
        <v>55</v>
      </c>
      <c r="T6" s="5">
        <f>-K31^2/P4^2</f>
        <v>1.7753654923724413</v>
      </c>
      <c r="U6" s="5" t="s">
        <v>56</v>
      </c>
      <c r="V6" s="5"/>
      <c r="W6" s="5"/>
      <c r="X6" s="5"/>
      <c r="Y6" s="5"/>
      <c r="Z6" s="5"/>
    </row>
    <row r="7" spans="1:26" ht="18.75" customHeight="1">
      <c r="A7" s="15" t="s">
        <v>20</v>
      </c>
      <c r="B7" s="15">
        <f>(B4*B5)+(C4*C5)+(D4*D5)+(E4*E5)+(F4*F5)</f>
        <v>359</v>
      </c>
      <c r="C7" s="15" t="s">
        <v>18</v>
      </c>
      <c r="D7" s="15">
        <f>B7/1000</f>
        <v>0.35899999999999999</v>
      </c>
      <c r="E7" s="15" t="s">
        <v>57</v>
      </c>
      <c r="F7" s="15"/>
      <c r="G7" s="5"/>
      <c r="H7" s="5"/>
      <c r="I7" s="5"/>
      <c r="J7" s="15" t="s">
        <v>58</v>
      </c>
      <c r="K7" s="15">
        <f>P4*P5/100</f>
        <v>1.2E-2</v>
      </c>
      <c r="L7" s="15" t="s">
        <v>18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9.75" customHeight="1">
      <c r="A8" s="57" t="s">
        <v>59</v>
      </c>
      <c r="B8" s="58"/>
      <c r="C8" s="58"/>
      <c r="D8" s="58"/>
      <c r="E8" s="58"/>
      <c r="F8" s="58"/>
      <c r="G8" s="5"/>
      <c r="H8" s="5"/>
      <c r="I8" s="5"/>
      <c r="J8" s="15" t="s">
        <v>4</v>
      </c>
      <c r="K8" s="18">
        <f>MAX(K2:O2)</f>
        <v>1.617</v>
      </c>
      <c r="L8" s="15" t="s">
        <v>8</v>
      </c>
      <c r="M8" s="22"/>
      <c r="N8" s="23"/>
      <c r="O8" s="23"/>
      <c r="P8" s="23"/>
      <c r="Q8" s="24"/>
      <c r="R8" s="5"/>
      <c r="S8" s="5" t="s">
        <v>60</v>
      </c>
      <c r="T8" s="5">
        <f>2*K31^2/P4^3</f>
        <v>2.9589424872874024</v>
      </c>
      <c r="U8" s="5" t="s">
        <v>61</v>
      </c>
      <c r="V8" s="5"/>
      <c r="W8" s="5"/>
      <c r="X8" s="5"/>
      <c r="Y8" s="5"/>
      <c r="Z8" s="5"/>
    </row>
    <row r="9" spans="1:26" ht="18.75" customHeight="1">
      <c r="A9" s="15"/>
      <c r="B9" s="15" t="s">
        <v>36</v>
      </c>
      <c r="C9" s="15" t="s">
        <v>37</v>
      </c>
      <c r="D9" s="15" t="s">
        <v>38</v>
      </c>
      <c r="E9" s="15" t="s">
        <v>39</v>
      </c>
      <c r="F9" s="15" t="s">
        <v>40</v>
      </c>
      <c r="G9" s="5"/>
      <c r="H9" s="5"/>
      <c r="I9" s="5"/>
      <c r="J9" s="15" t="s">
        <v>5</v>
      </c>
      <c r="K9" s="18">
        <f>MIN(K2:O2)</f>
        <v>1.577</v>
      </c>
      <c r="L9" s="21" t="s">
        <v>8</v>
      </c>
      <c r="M9" s="25"/>
      <c r="N9" s="26"/>
      <c r="O9" s="26"/>
      <c r="P9" s="26"/>
      <c r="Q9" s="27"/>
      <c r="R9" s="5"/>
      <c r="S9" s="5"/>
      <c r="T9" s="5"/>
      <c r="U9" s="5"/>
      <c r="V9" s="5"/>
      <c r="W9" s="5"/>
      <c r="X9" s="5"/>
      <c r="Y9" s="5"/>
      <c r="Z9" s="5"/>
    </row>
    <row r="10" spans="1:26" ht="59.25" customHeight="1">
      <c r="A10" s="15" t="s">
        <v>62</v>
      </c>
      <c r="B10" s="18">
        <f>ROUND(B5*(B6/100),2)</f>
        <v>0.12</v>
      </c>
      <c r="C10" s="18">
        <f t="shared" ref="C10:F10" si="0">ROUND(C5*(C6/100),2)</f>
        <v>0.44</v>
      </c>
      <c r="D10" s="18">
        <f t="shared" si="0"/>
        <v>1.1200000000000001</v>
      </c>
      <c r="E10" s="18">
        <f t="shared" si="0"/>
        <v>2.7</v>
      </c>
      <c r="F10" s="18">
        <f t="shared" si="0"/>
        <v>0.24</v>
      </c>
      <c r="G10" s="5"/>
      <c r="H10" s="5"/>
      <c r="I10" s="5"/>
      <c r="J10" s="28" t="s">
        <v>6</v>
      </c>
      <c r="K10" s="18">
        <f>SUM(K2:O2)/Q2</f>
        <v>1.597</v>
      </c>
      <c r="L10" s="15" t="s">
        <v>8</v>
      </c>
      <c r="M10" s="5"/>
      <c r="N10" s="5"/>
      <c r="O10" s="5"/>
      <c r="P10" s="5"/>
      <c r="Q10" s="5"/>
      <c r="R10" s="5"/>
      <c r="S10" s="5" t="s">
        <v>63</v>
      </c>
      <c r="T10" s="5">
        <f>-2*K31/P4^2</f>
        <v>-2.2207140320504282</v>
      </c>
      <c r="U10" s="5" t="s">
        <v>64</v>
      </c>
      <c r="V10" s="5"/>
      <c r="W10" s="5"/>
      <c r="X10" s="5"/>
      <c r="Y10" s="5"/>
      <c r="Z10" s="5"/>
    </row>
    <row r="11" spans="1:26" ht="56.4" customHeight="1">
      <c r="A11" s="15" t="s">
        <v>65</v>
      </c>
      <c r="B11" s="18">
        <f>ROUND(B10/SQRT(3),3)</f>
        <v>6.9000000000000006E-2</v>
      </c>
      <c r="C11" s="18">
        <f t="shared" ref="C11:F11" si="1">ROUND(C10/SQRT(3),3)</f>
        <v>0.254</v>
      </c>
      <c r="D11" s="18">
        <f t="shared" si="1"/>
        <v>0.64700000000000002</v>
      </c>
      <c r="E11" s="18">
        <f t="shared" si="1"/>
        <v>1.5589999999999999</v>
      </c>
      <c r="F11" s="18">
        <f t="shared" si="1"/>
        <v>0.13900000000000001</v>
      </c>
      <c r="G11" s="5"/>
      <c r="H11" s="5"/>
      <c r="I11" s="5"/>
      <c r="J11" s="29" t="s">
        <v>7</v>
      </c>
      <c r="K11" s="15">
        <f>(((K2-K10)^2+(L2-K10)^2+(M2-K10)^2+(N2-K10)^2+(O2-K10)^2)/(Q2-1))^(1/2)</f>
        <v>1.4781745499094504E-2</v>
      </c>
      <c r="L11" s="15" t="s">
        <v>8</v>
      </c>
      <c r="M11" s="5"/>
      <c r="N11" s="5"/>
      <c r="O11" s="5"/>
      <c r="P11" s="5"/>
      <c r="Q11" s="5"/>
      <c r="R11" s="5"/>
      <c r="S11" s="57" t="s">
        <v>66</v>
      </c>
      <c r="T11" s="58"/>
      <c r="U11" s="58"/>
      <c r="V11" s="5"/>
      <c r="W11" s="5"/>
      <c r="X11" s="5"/>
      <c r="Y11" s="5"/>
      <c r="Z11" s="5"/>
    </row>
    <row r="12" spans="1:26" ht="18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N12" s="5"/>
      <c r="O12" s="5"/>
      <c r="P12" s="5"/>
      <c r="Q12" s="5"/>
      <c r="R12" s="5"/>
      <c r="S12" s="5" t="s">
        <v>68</v>
      </c>
      <c r="T12" s="8" t="s">
        <v>69</v>
      </c>
      <c r="U12" s="5" t="s">
        <v>70</v>
      </c>
      <c r="V12" s="5"/>
      <c r="W12" s="5"/>
      <c r="X12" s="5"/>
      <c r="Y12" s="5"/>
      <c r="Z12" s="5"/>
    </row>
    <row r="13" spans="1:26" ht="46.2" customHeight="1">
      <c r="A13" s="15" t="s">
        <v>71</v>
      </c>
      <c r="B13" s="15">
        <f>SQRT((B4^2*B11^2)+(C4^2*C11^2)+(D4^2*D11^2)+(E4^2*E11^2)+(F4^2*F11^2))</f>
        <v>2.603750372059503</v>
      </c>
      <c r="C13" s="15" t="s">
        <v>18</v>
      </c>
      <c r="D13" s="5"/>
      <c r="E13" s="5"/>
      <c r="F13" s="5"/>
      <c r="G13" s="5"/>
      <c r="H13" s="5"/>
      <c r="I13" s="5"/>
      <c r="J13" s="15" t="s">
        <v>9</v>
      </c>
      <c r="K13" s="15">
        <f>ABS(K8-K10)/K11</f>
        <v>1.3530201829834758</v>
      </c>
      <c r="L13" s="15" t="s">
        <v>10</v>
      </c>
      <c r="M13" s="61">
        <v>1.7150000000000001</v>
      </c>
      <c r="N13" s="61" t="s">
        <v>67</v>
      </c>
      <c r="O13" s="5"/>
      <c r="P13" s="5"/>
      <c r="Q13" s="5"/>
      <c r="R13" s="5"/>
      <c r="S13" s="5">
        <f>K7</f>
        <v>1.2E-2</v>
      </c>
      <c r="T13" s="5">
        <f>K43</f>
        <v>2.4148932511522957E-2</v>
      </c>
      <c r="U13" s="5">
        <v>2</v>
      </c>
      <c r="V13" s="5"/>
      <c r="W13" s="5"/>
      <c r="X13" s="5"/>
      <c r="Y13" s="5"/>
      <c r="Z13" s="5"/>
    </row>
    <row r="14" spans="1:26" ht="18.75" customHeight="1">
      <c r="A14" s="15" t="s">
        <v>72</v>
      </c>
      <c r="B14" s="15">
        <f>2*((B13^4)/((B4^4*B11^4)+(C4^4*C11^4)+(D4^4*D11^4)+(E4^4*E11^4)+(F4^4*F11^4)))-2</f>
        <v>4.5999690203217849</v>
      </c>
      <c r="C14" s="30"/>
      <c r="D14" s="5"/>
      <c r="E14" s="5"/>
      <c r="F14" s="5"/>
      <c r="G14" s="5"/>
      <c r="H14" s="5"/>
      <c r="I14" s="5"/>
      <c r="J14" s="15" t="s">
        <v>11</v>
      </c>
      <c r="K14" s="15">
        <f>ABS(K10-K9)/K11</f>
        <v>1.3530201829834758</v>
      </c>
      <c r="L14" s="15" t="s">
        <v>10</v>
      </c>
      <c r="M14" s="62"/>
      <c r="N14" s="61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5.25" customHeight="1" thickBot="1">
      <c r="A15" s="59" t="s">
        <v>73</v>
      </c>
      <c r="B15" s="60"/>
      <c r="C15" s="19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 t="s">
        <v>17</v>
      </c>
      <c r="T15" s="47">
        <f>1/2*(T4*T13*T13+T8*S13*S13+T10*S13*T13+T10*T13*S13)</f>
        <v>5.5485164174567958E-5</v>
      </c>
      <c r="U15" s="5" t="s">
        <v>74</v>
      </c>
      <c r="V15" s="5"/>
      <c r="W15" s="5"/>
      <c r="X15" s="5"/>
      <c r="Y15" s="5"/>
      <c r="Z15" s="5"/>
    </row>
    <row r="16" spans="1:26" ht="18.75" customHeight="1">
      <c r="A16" s="15" t="s">
        <v>75</v>
      </c>
      <c r="B16" s="15">
        <v>2.5710000000000002</v>
      </c>
      <c r="C16" s="19"/>
      <c r="D16" s="5"/>
      <c r="E16" s="5"/>
      <c r="F16" s="5"/>
      <c r="G16" s="5"/>
      <c r="H16" s="5"/>
      <c r="I16" s="5"/>
      <c r="J16" s="63" t="s">
        <v>12</v>
      </c>
      <c r="K16" s="64"/>
      <c r="L16" s="64"/>
      <c r="M16" s="6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8.75" customHeight="1">
      <c r="A17" s="15"/>
      <c r="B17" s="15"/>
      <c r="C17" s="31"/>
      <c r="D17" s="5"/>
      <c r="E17" s="5"/>
      <c r="F17" s="5"/>
      <c r="G17" s="5"/>
      <c r="H17" s="5"/>
      <c r="I17" s="5"/>
      <c r="J17" s="9" t="s">
        <v>13</v>
      </c>
      <c r="K17" s="36" t="s">
        <v>14</v>
      </c>
      <c r="L17" s="34" t="s">
        <v>15</v>
      </c>
      <c r="M17" s="37" t="s">
        <v>16</v>
      </c>
      <c r="N17" s="5"/>
      <c r="O17" s="5"/>
      <c r="P17" s="5"/>
      <c r="Q17" s="5"/>
      <c r="R17" s="5"/>
      <c r="S17" s="5" t="s">
        <v>76</v>
      </c>
      <c r="T17" s="1">
        <f>K34</f>
        <v>6.6332495807107997E-3</v>
      </c>
      <c r="U17" s="5" t="s">
        <v>2</v>
      </c>
      <c r="V17" s="5"/>
      <c r="W17" s="5"/>
      <c r="X17" s="5"/>
      <c r="Y17" s="5"/>
      <c r="Z17" s="5"/>
    </row>
    <row r="18" spans="1:26" ht="18.75" customHeight="1">
      <c r="A18" s="15" t="s">
        <v>25</v>
      </c>
      <c r="B18" s="15">
        <f>B16*B13</f>
        <v>6.6942422065649829</v>
      </c>
      <c r="C18" s="15" t="s">
        <v>18</v>
      </c>
      <c r="D18" s="5"/>
      <c r="E18" s="5"/>
      <c r="F18" s="5"/>
      <c r="G18" s="5"/>
      <c r="H18" s="5"/>
      <c r="I18" s="5"/>
      <c r="J18" s="33">
        <f>ROUND(L2-K2,5)</f>
        <v>-2.7E-2</v>
      </c>
      <c r="K18" s="38">
        <f>ROUND(J18^2,5)</f>
        <v>7.2999999999999996E-4</v>
      </c>
      <c r="L18" s="38">
        <f>ROUND(K2-$K$10,5)</f>
        <v>7.0000000000000001E-3</v>
      </c>
      <c r="M18" s="35">
        <f>ROUND(L18^2,5)</f>
        <v>5.0000000000000002E-5</v>
      </c>
      <c r="N18" s="5"/>
      <c r="O18" s="5"/>
      <c r="P18" s="5"/>
      <c r="Q18" s="5"/>
      <c r="R18" s="5"/>
      <c r="S18" s="5" t="s">
        <v>77</v>
      </c>
      <c r="T18" s="5">
        <f>S13/SQRT(3)</f>
        <v>6.9282032302755096E-3</v>
      </c>
      <c r="U18" s="5" t="s">
        <v>18</v>
      </c>
      <c r="V18" s="5"/>
      <c r="W18" s="5"/>
      <c r="X18" s="5"/>
      <c r="Y18" s="5"/>
      <c r="Z18" s="5"/>
    </row>
    <row r="19" spans="1:26" ht="18.75" customHeight="1">
      <c r="A19" s="15" t="s">
        <v>78</v>
      </c>
      <c r="B19" s="15">
        <f>1.1*SQRT((B4^2*B10^2)+(C4^2*C10^2)+(D4^2*D10^2)+(E4^2*E10^2)+(F4^2*F10^2))</f>
        <v>4.9572302750628809</v>
      </c>
      <c r="C19" s="15" t="s">
        <v>18</v>
      </c>
      <c r="D19" s="5"/>
      <c r="E19" s="5"/>
      <c r="F19" s="5"/>
      <c r="G19" s="5"/>
      <c r="H19" s="5"/>
      <c r="I19" s="5"/>
      <c r="J19" s="33">
        <f>ROUND(M2-L2,5)</f>
        <v>1.7000000000000001E-2</v>
      </c>
      <c r="K19" s="38">
        <f>ROUND(J19^2,5)</f>
        <v>2.9E-4</v>
      </c>
      <c r="L19" s="38">
        <f>L2-$K$10</f>
        <v>-2.0000000000000018E-2</v>
      </c>
      <c r="M19" s="35">
        <f>ROUND(L19^2,5)</f>
        <v>4.0000000000000002E-4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8.75" customHeight="1">
      <c r="A20" s="15">
        <v>0.8</v>
      </c>
      <c r="B20" s="15" t="s">
        <v>10</v>
      </c>
      <c r="C20" s="15" t="s">
        <v>21</v>
      </c>
      <c r="D20" s="32">
        <f>B19/B13</f>
        <v>1.9038807745390096</v>
      </c>
      <c r="E20" s="15" t="s">
        <v>10</v>
      </c>
      <c r="F20" s="15">
        <v>8</v>
      </c>
      <c r="G20" s="5"/>
      <c r="H20" s="5"/>
      <c r="I20" s="5"/>
      <c r="J20" s="33">
        <f>ROUND(N2-M2,5)</f>
        <v>2.3E-2</v>
      </c>
      <c r="K20" s="38">
        <f>ROUND(J20^2,5)</f>
        <v>5.2999999999999998E-4</v>
      </c>
      <c r="L20" s="38">
        <f>ROUND(M2-$K$10,5)</f>
        <v>-3.0000000000000001E-3</v>
      </c>
      <c r="M20" s="35">
        <f>ROUND(L20^2,5)</f>
        <v>1.0000000000000001E-5</v>
      </c>
      <c r="N20" s="5"/>
      <c r="O20" s="5"/>
      <c r="P20" s="5"/>
      <c r="Q20" s="5"/>
      <c r="R20" s="5"/>
      <c r="S20" s="47">
        <v>4852</v>
      </c>
      <c r="T20" s="5" t="s">
        <v>10</v>
      </c>
      <c r="U20" s="5">
        <f>0.8*SQRT(T2^2*T17^2+T6^2*T18^2)</f>
        <v>1.7228007206311527E-2</v>
      </c>
      <c r="V20" s="5"/>
      <c r="W20" s="5"/>
      <c r="X20" s="5"/>
      <c r="Y20" s="5"/>
      <c r="Z20" s="5"/>
    </row>
    <row r="21" spans="1:26" ht="18.75" customHeight="1">
      <c r="A21" s="15" t="s">
        <v>79</v>
      </c>
      <c r="B21" s="15">
        <v>0.71</v>
      </c>
      <c r="C21" s="15"/>
      <c r="D21" s="5"/>
      <c r="E21" s="5"/>
      <c r="F21" s="5"/>
      <c r="G21" s="5"/>
      <c r="H21" s="5"/>
      <c r="I21" s="5"/>
      <c r="J21" s="33">
        <f>ROUND(O2-N2,5)</f>
        <v>-2.4E-2</v>
      </c>
      <c r="K21" s="38">
        <f>ROUND(J21^2,5)</f>
        <v>5.8E-4</v>
      </c>
      <c r="L21" s="38">
        <f>ROUND(N2-$K$10,5)</f>
        <v>0.02</v>
      </c>
      <c r="M21" s="35">
        <f>ROUND(L21^2,5)</f>
        <v>4.0000000000000002E-4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8.75" customHeight="1">
      <c r="A22" s="15" t="s">
        <v>80</v>
      </c>
      <c r="B22" s="15">
        <f>B21*(B19+B18)</f>
        <v>8.272545461955783</v>
      </c>
      <c r="C22" s="15" t="s">
        <v>18</v>
      </c>
      <c r="D22" s="15">
        <f>B22/1000</f>
        <v>8.2725454619557836E-3</v>
      </c>
      <c r="E22" s="15" t="s">
        <v>57</v>
      </c>
      <c r="F22" s="5"/>
      <c r="G22" s="5"/>
      <c r="H22" s="5"/>
      <c r="I22" s="5"/>
      <c r="J22" s="33"/>
      <c r="K22" s="38"/>
      <c r="L22" s="38">
        <f>ROUND(O2-$K$10,5)</f>
        <v>-4.0000000000000001E-3</v>
      </c>
      <c r="M22" s="35">
        <f>ROUND(L22^2,5)</f>
        <v>2.0000000000000002E-5</v>
      </c>
      <c r="N22" s="5"/>
      <c r="O22" s="5"/>
      <c r="P22" s="5"/>
      <c r="Q22" s="5"/>
      <c r="R22" s="5"/>
      <c r="S22" s="57" t="s">
        <v>81</v>
      </c>
      <c r="T22" s="58"/>
      <c r="U22" s="58"/>
      <c r="V22" s="5"/>
      <c r="W22" s="5"/>
      <c r="X22" s="5"/>
      <c r="Y22" s="5"/>
      <c r="Z22" s="5"/>
    </row>
    <row r="23" spans="1:26" ht="18.75" customHeight="1">
      <c r="A23" s="5"/>
      <c r="B23" s="5"/>
      <c r="C23" s="5"/>
      <c r="D23" s="5"/>
      <c r="E23" s="5"/>
      <c r="F23" s="5"/>
      <c r="G23" s="5"/>
      <c r="H23" s="5"/>
      <c r="I23" s="5"/>
      <c r="J23" s="13"/>
      <c r="K23" s="39">
        <f>ROUND(SUM(K18:K21),8)</f>
        <v>2.1299999999999999E-3</v>
      </c>
      <c r="L23" s="40"/>
      <c r="M23" s="41">
        <f>ROUND(SUM(M18:M22),8)</f>
        <v>8.8000000000000003E-4</v>
      </c>
      <c r="N23" s="5"/>
      <c r="O23" s="5"/>
      <c r="P23" s="5"/>
      <c r="Q23" s="5"/>
      <c r="R23" s="5"/>
      <c r="S23" s="5" t="s">
        <v>82</v>
      </c>
      <c r="T23" s="5">
        <f>K31^2/P4</f>
        <v>2.1304385908469299</v>
      </c>
      <c r="U23" s="5" t="s">
        <v>74</v>
      </c>
      <c r="V23" s="5"/>
      <c r="W23" s="5"/>
      <c r="X23" s="5"/>
      <c r="Y23" s="5"/>
      <c r="Z23" s="5"/>
    </row>
    <row r="24" spans="1:26" ht="18.75" customHeight="1">
      <c r="A24" s="5"/>
      <c r="B24" s="5"/>
      <c r="C24" s="5"/>
      <c r="D24" s="5"/>
      <c r="E24" s="5"/>
      <c r="F24" s="5"/>
      <c r="G24" s="5"/>
      <c r="H24" s="5"/>
      <c r="I24" s="5"/>
      <c r="J24" s="4"/>
      <c r="K24" s="4"/>
      <c r="L24" s="4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8.75" customHeight="1">
      <c r="A25" s="5"/>
      <c r="B25" s="5"/>
      <c r="C25" s="5"/>
      <c r="D25" s="5"/>
      <c r="E25" s="5"/>
      <c r="F25" s="5"/>
      <c r="G25" s="5"/>
      <c r="H25" s="5"/>
      <c r="I25" s="5"/>
      <c r="J25" s="4" t="s">
        <v>83</v>
      </c>
      <c r="K25" s="42" t="s">
        <v>84</v>
      </c>
      <c r="L25" s="4"/>
      <c r="M25" s="4"/>
      <c r="N25" s="5"/>
      <c r="O25" s="5"/>
      <c r="P25" s="5"/>
      <c r="Q25" s="5"/>
      <c r="R25" s="5"/>
      <c r="S25" s="5" t="s">
        <v>85</v>
      </c>
      <c r="T25" s="5">
        <f>SQRT(T2^2*T17^2+T6^2*T18^2)</f>
        <v>2.1535009007889409E-2</v>
      </c>
      <c r="U25" s="5" t="s">
        <v>74</v>
      </c>
      <c r="V25" s="5"/>
      <c r="W25" s="5"/>
      <c r="X25" s="5"/>
      <c r="Y25" s="5"/>
      <c r="Z25" s="5"/>
    </row>
    <row r="26" spans="1:26" ht="18.75" customHeight="1">
      <c r="A26" s="5"/>
      <c r="B26" s="5"/>
      <c r="C26" s="5"/>
      <c r="D26" s="5"/>
      <c r="E26" s="5"/>
      <c r="F26" s="5"/>
      <c r="G26" s="5"/>
      <c r="H26" s="5"/>
      <c r="I26" s="5"/>
      <c r="J26" s="10">
        <f>ROUND((1/2)*(K23/M23),5)</f>
        <v>1.2102299999999999</v>
      </c>
      <c r="K26" s="43">
        <v>0.41020000000000001</v>
      </c>
      <c r="L26" s="4"/>
      <c r="M26" s="4"/>
      <c r="N26" s="5"/>
      <c r="O26" s="5"/>
      <c r="P26" s="5"/>
      <c r="Q26" s="5"/>
      <c r="R26" s="5"/>
      <c r="S26" s="5" t="s">
        <v>72</v>
      </c>
      <c r="T26" s="5">
        <f>(T2^2*T17^2+T6^2*T18^2)^2/((T2^4*T17^4/6)+(T6^4*T18^4/2))-2</f>
        <v>5.7595037762050056</v>
      </c>
      <c r="U26" s="5"/>
      <c r="V26" s="5"/>
      <c r="W26" s="5"/>
      <c r="X26" s="5"/>
      <c r="Y26" s="5"/>
      <c r="Z26" s="5"/>
    </row>
    <row r="27" spans="1:26" ht="73.5" customHeight="1">
      <c r="A27" s="5"/>
      <c r="B27" s="5"/>
      <c r="C27" s="5"/>
      <c r="D27" s="5"/>
      <c r="E27" s="5"/>
      <c r="F27" s="5"/>
      <c r="G27" s="5"/>
      <c r="H27" s="5"/>
      <c r="I27" s="5"/>
      <c r="J27" s="4" t="s">
        <v>3</v>
      </c>
      <c r="K27" s="6">
        <v>1.1000000000000001</v>
      </c>
      <c r="L27" s="4"/>
      <c r="M27" s="4"/>
      <c r="N27" s="5"/>
      <c r="O27" s="5"/>
      <c r="P27" s="5"/>
      <c r="Q27" s="5"/>
      <c r="R27" s="5"/>
      <c r="S27" s="51" t="s">
        <v>86</v>
      </c>
      <c r="T27" s="52"/>
      <c r="U27" s="53"/>
      <c r="V27" s="5"/>
      <c r="W27" s="5"/>
      <c r="X27" s="5"/>
      <c r="Y27" s="5"/>
      <c r="Z27" s="5"/>
    </row>
    <row r="28" spans="1:26" ht="18.75" customHeight="1">
      <c r="A28" s="5"/>
      <c r="B28" s="5"/>
      <c r="C28" s="5"/>
      <c r="D28" s="5"/>
      <c r="E28" s="5"/>
      <c r="F28" s="5"/>
      <c r="G28" s="5"/>
      <c r="H28" s="5"/>
      <c r="I28" s="5"/>
      <c r="J28" s="4" t="s">
        <v>26</v>
      </c>
      <c r="K28" s="2">
        <f>-(P4/(P4+N5))*100</f>
        <v>-0.11985617259288853</v>
      </c>
      <c r="L28" s="4" t="s">
        <v>1</v>
      </c>
      <c r="M28" s="4"/>
      <c r="N28" s="5"/>
      <c r="O28" s="5"/>
      <c r="P28" s="5"/>
      <c r="Q28" s="5"/>
      <c r="R28" s="5"/>
      <c r="S28" s="42" t="s">
        <v>0</v>
      </c>
      <c r="T28" s="42">
        <v>5</v>
      </c>
      <c r="U28" s="48"/>
      <c r="V28" s="5"/>
      <c r="W28" s="5"/>
      <c r="X28" s="5"/>
      <c r="Y28" s="5"/>
      <c r="Z28" s="5"/>
    </row>
    <row r="29" spans="1:26" ht="18.75" customHeight="1">
      <c r="A29" s="5"/>
      <c r="B29" s="5"/>
      <c r="C29" s="5"/>
      <c r="D29" s="5"/>
      <c r="E29" s="5"/>
      <c r="F29" s="5"/>
      <c r="G29" s="5"/>
      <c r="H29" s="5"/>
      <c r="I29" s="5"/>
      <c r="J29" s="5" t="s">
        <v>23</v>
      </c>
      <c r="K29" s="5">
        <f>ABS(K28)</f>
        <v>0.11985617259288853</v>
      </c>
      <c r="L29" s="4" t="s">
        <v>1</v>
      </c>
      <c r="M29" s="4"/>
      <c r="N29" s="5"/>
      <c r="O29" s="5"/>
      <c r="P29" s="5"/>
      <c r="Q29" s="5"/>
      <c r="R29" s="5"/>
      <c r="S29" s="42" t="s">
        <v>87</v>
      </c>
      <c r="T29" s="49">
        <v>2.4470000000000001</v>
      </c>
      <c r="U29" s="48"/>
      <c r="V29" s="5"/>
      <c r="W29" s="5"/>
      <c r="X29" s="5"/>
      <c r="Y29" s="5"/>
      <c r="Z29" s="5"/>
    </row>
    <row r="30" spans="1:26" ht="18.75" customHeight="1">
      <c r="A30" s="5"/>
      <c r="B30" s="5"/>
      <c r="C30" s="5"/>
      <c r="D30" s="5"/>
      <c r="E30" s="5"/>
      <c r="F30" s="5"/>
      <c r="G30" s="5"/>
      <c r="H30" s="5"/>
      <c r="I30" s="5"/>
      <c r="J30" s="12" t="s">
        <v>24</v>
      </c>
      <c r="K30" s="2">
        <f>K10*K29/100</f>
        <v>1.9141030763084295E-3</v>
      </c>
      <c r="L30" s="4" t="s">
        <v>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8.75" customHeight="1">
      <c r="A31" s="5"/>
      <c r="B31" s="5"/>
      <c r="C31" s="5"/>
      <c r="D31" s="5"/>
      <c r="E31" s="5"/>
      <c r="F31" s="5"/>
      <c r="G31" s="5"/>
      <c r="H31" s="5"/>
      <c r="I31" s="5"/>
      <c r="J31" s="4" t="s">
        <v>88</v>
      </c>
      <c r="K31" s="2">
        <f>K10+K30</f>
        <v>1.5989141030763083</v>
      </c>
      <c r="L31" s="4" t="s">
        <v>2</v>
      </c>
      <c r="M31" s="4"/>
      <c r="N31" s="5"/>
      <c r="O31" s="5"/>
      <c r="P31" s="5"/>
      <c r="Q31" s="5"/>
      <c r="R31" s="5"/>
      <c r="S31" s="5" t="s">
        <v>89</v>
      </c>
      <c r="T31" s="5">
        <f>T29*T25</f>
        <v>5.2696167042305384E-2</v>
      </c>
      <c r="U31" s="5" t="s">
        <v>74</v>
      </c>
      <c r="V31" s="5"/>
      <c r="W31" s="5"/>
      <c r="X31" s="5"/>
      <c r="Y31" s="5"/>
      <c r="Z31" s="5"/>
    </row>
    <row r="32" spans="1:26" ht="18.75" customHeight="1">
      <c r="A32" s="5"/>
      <c r="B32" s="5"/>
      <c r="C32" s="5"/>
      <c r="D32" s="5"/>
      <c r="E32" s="5"/>
      <c r="F32" s="5"/>
      <c r="G32" s="5"/>
      <c r="H32" s="5"/>
      <c r="I32" s="5"/>
      <c r="J32" s="4" t="s">
        <v>90</v>
      </c>
      <c r="K32" s="2">
        <f>SQRT(M23/(Q2-1))</f>
        <v>1.4832396974191326E-2</v>
      </c>
      <c r="L32" s="4" t="s">
        <v>2</v>
      </c>
      <c r="M32" s="4"/>
      <c r="N32" s="5"/>
      <c r="O32" s="5"/>
      <c r="P32" s="5"/>
      <c r="Q32" s="5"/>
      <c r="R32" s="5"/>
      <c r="S32" s="5" t="s">
        <v>78</v>
      </c>
      <c r="T32" s="5">
        <f>K27*SQRT(T2^2*T13^2+T6^2*S13^2)</f>
        <v>7.4567044844266198E-2</v>
      </c>
      <c r="U32" s="5" t="s">
        <v>74</v>
      </c>
      <c r="V32" s="5"/>
      <c r="W32" s="5"/>
      <c r="X32" s="5"/>
      <c r="Y32" s="5"/>
      <c r="Z32" s="5"/>
    </row>
    <row r="33" spans="1:26" ht="18.75" customHeight="1">
      <c r="A33" s="5"/>
      <c r="B33" s="5"/>
      <c r="C33" s="5"/>
      <c r="D33" s="5"/>
      <c r="E33" s="5"/>
      <c r="F33" s="5"/>
      <c r="G33" s="5"/>
      <c r="H33" s="5"/>
      <c r="I33" s="5"/>
      <c r="J33" s="4" t="s">
        <v>91</v>
      </c>
      <c r="K33" s="2">
        <f>SQRT(M23/Q2)</f>
        <v>1.3266499161421599E-2</v>
      </c>
      <c r="L33" s="4" t="s">
        <v>2</v>
      </c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8.75" customHeight="1">
      <c r="A34" s="5"/>
      <c r="B34" s="5"/>
      <c r="C34" s="5"/>
      <c r="D34" s="5"/>
      <c r="E34" s="5"/>
      <c r="F34" s="5"/>
      <c r="G34" s="5"/>
      <c r="H34" s="5"/>
      <c r="I34" s="5"/>
      <c r="J34" s="4" t="s">
        <v>92</v>
      </c>
      <c r="K34" s="2">
        <f>K32/Q2^(1/2)</f>
        <v>6.6332495807107997E-3</v>
      </c>
      <c r="L34" s="4" t="s">
        <v>2</v>
      </c>
      <c r="M34" s="4"/>
      <c r="N34" s="5"/>
      <c r="O34" s="5"/>
      <c r="P34" s="5"/>
      <c r="Q34" s="5"/>
      <c r="R34" s="5"/>
      <c r="S34" s="5" t="s">
        <v>93</v>
      </c>
      <c r="T34" s="5">
        <f>T32/T25</f>
        <v>3.4625964083390151</v>
      </c>
      <c r="U34" s="5" t="s">
        <v>94</v>
      </c>
      <c r="V34" s="5"/>
      <c r="W34" s="5"/>
      <c r="X34" s="5"/>
      <c r="Y34" s="5"/>
      <c r="Z34" s="5"/>
    </row>
    <row r="35" spans="1:26" ht="18.75" customHeight="1">
      <c r="A35" s="5"/>
      <c r="B35" s="5"/>
      <c r="C35" s="5"/>
      <c r="D35" s="5"/>
      <c r="E35" s="5"/>
      <c r="F35" s="5"/>
      <c r="G35" s="5"/>
      <c r="H35" s="5"/>
      <c r="I35" s="5"/>
      <c r="J35" s="44" t="s">
        <v>95</v>
      </c>
      <c r="K35" s="45">
        <v>2.7759999999999998</v>
      </c>
      <c r="L35" s="4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8.25" customHeight="1">
      <c r="A36" s="5"/>
      <c r="B36" s="5"/>
      <c r="C36" s="5"/>
      <c r="D36" s="5"/>
      <c r="E36" s="5"/>
      <c r="F36" s="5"/>
      <c r="G36" s="5"/>
      <c r="H36" s="5"/>
      <c r="I36" s="5"/>
      <c r="J36" s="4" t="s">
        <v>25</v>
      </c>
      <c r="K36" s="2">
        <f>K35*K34</f>
        <v>1.8413900836053178E-2</v>
      </c>
      <c r="L36" s="4" t="s">
        <v>2</v>
      </c>
      <c r="M36" s="4"/>
      <c r="N36" s="5"/>
      <c r="O36" s="5"/>
      <c r="P36" s="5"/>
      <c r="Q36" s="5"/>
      <c r="R36" s="5"/>
      <c r="S36" s="51" t="s">
        <v>111</v>
      </c>
      <c r="T36" s="52"/>
      <c r="U36" s="53"/>
      <c r="V36" s="5"/>
      <c r="W36" s="5"/>
      <c r="X36" s="5"/>
      <c r="Y36" s="5"/>
      <c r="Z36" s="5"/>
    </row>
    <row r="37" spans="1:26" ht="18.75" customHeight="1">
      <c r="A37" s="5"/>
      <c r="B37" s="5"/>
      <c r="C37" s="5"/>
      <c r="D37" s="5"/>
      <c r="E37" s="5"/>
      <c r="F37" s="5"/>
      <c r="G37" s="5"/>
      <c r="H37" s="5"/>
      <c r="I37" s="5"/>
      <c r="J37" s="3" t="s">
        <v>96</v>
      </c>
      <c r="K37" s="46">
        <f>J5*L5/100</f>
        <v>0.01</v>
      </c>
      <c r="L37" s="4" t="s">
        <v>2</v>
      </c>
      <c r="M37" s="4"/>
      <c r="N37" s="5"/>
      <c r="O37" s="5"/>
      <c r="P37" s="5"/>
      <c r="Q37" s="5"/>
      <c r="R37" s="5"/>
      <c r="S37" s="42" t="s">
        <v>110</v>
      </c>
      <c r="T37" s="42">
        <f>T34</f>
        <v>3.4625964083390151</v>
      </c>
      <c r="U37" s="50" t="s">
        <v>97</v>
      </c>
      <c r="V37" s="42"/>
      <c r="W37" s="5"/>
      <c r="X37" s="5"/>
      <c r="Y37" s="5"/>
      <c r="Z37" s="5"/>
    </row>
    <row r="38" spans="1:26" ht="18.75" customHeight="1">
      <c r="A38" s="5"/>
      <c r="B38" s="5"/>
      <c r="C38" s="5"/>
      <c r="D38" s="5"/>
      <c r="E38" s="5"/>
      <c r="F38" s="5"/>
      <c r="G38" s="5"/>
      <c r="H38" s="5"/>
      <c r="I38" s="5"/>
      <c r="J38" s="11" t="s">
        <v>98</v>
      </c>
      <c r="K38" s="14">
        <f>J5*K5/100</f>
        <v>0.01</v>
      </c>
      <c r="L38" s="5" t="s">
        <v>8</v>
      </c>
      <c r="M38" s="5"/>
      <c r="N38" s="5"/>
      <c r="O38" s="5"/>
      <c r="P38" s="5"/>
      <c r="Q38" s="5"/>
      <c r="R38" s="5"/>
      <c r="S38" s="42" t="s">
        <v>99</v>
      </c>
      <c r="T38" s="42">
        <v>0.76</v>
      </c>
      <c r="U38" s="48"/>
      <c r="V38" s="5"/>
      <c r="W38" s="5"/>
      <c r="X38" s="5"/>
      <c r="Y38" s="5"/>
      <c r="Z38" s="5"/>
    </row>
    <row r="39" spans="1:26" ht="18.75" customHeight="1">
      <c r="A39" s="5"/>
      <c r="B39" s="5"/>
      <c r="C39" s="5"/>
      <c r="D39" s="5"/>
      <c r="E39" s="5"/>
      <c r="F39" s="5"/>
      <c r="G39" s="5"/>
      <c r="H39" s="5"/>
      <c r="I39" s="5"/>
      <c r="J39" s="3" t="s">
        <v>100</v>
      </c>
      <c r="K39" s="5">
        <f>K38*M5/100</f>
        <v>1.5000000000000002E-5</v>
      </c>
      <c r="L39" s="5" t="s">
        <v>8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8.75" customHeight="1">
      <c r="A40" s="5"/>
      <c r="B40" s="5"/>
      <c r="C40" s="5"/>
      <c r="D40" s="5"/>
      <c r="E40" s="5"/>
      <c r="F40" s="5"/>
      <c r="G40" s="5"/>
      <c r="H40" s="5"/>
      <c r="I40" s="5"/>
      <c r="J40" s="5" t="s">
        <v>78</v>
      </c>
      <c r="K40" s="5">
        <f>K27*SQRT(K37^2+K38^2+K39^2)</f>
        <v>1.5556357936548002E-2</v>
      </c>
      <c r="L40" s="5" t="s">
        <v>2</v>
      </c>
      <c r="M40" s="5"/>
      <c r="N40" s="5"/>
      <c r="O40" s="5"/>
      <c r="P40" s="5"/>
      <c r="Q40" s="5"/>
      <c r="R40" s="5"/>
      <c r="S40" s="5" t="s">
        <v>101</v>
      </c>
      <c r="T40" s="5">
        <f>T38*ABS(T32+T31)</f>
        <v>9.6720041033794404E-2</v>
      </c>
      <c r="U40" s="5"/>
      <c r="V40" s="5"/>
      <c r="W40" s="5"/>
      <c r="X40" s="5"/>
      <c r="Y40" s="5"/>
      <c r="Z40" s="5"/>
    </row>
    <row r="41" spans="1:26" ht="18.75" customHeight="1">
      <c r="A41" s="5"/>
      <c r="B41" s="5"/>
      <c r="C41" s="5"/>
      <c r="D41" s="5"/>
      <c r="E41" s="5"/>
      <c r="F41" s="5"/>
      <c r="G41" s="5"/>
      <c r="H41" s="5"/>
      <c r="I41" s="5"/>
      <c r="J41" s="5" t="s">
        <v>102</v>
      </c>
      <c r="K41" s="5">
        <f>SQRT((K37^2+K38^2+K39^2)/3+K34^2)</f>
        <v>1.0519826123404638E-2</v>
      </c>
      <c r="L41" s="5" t="s">
        <v>2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8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8.75" customHeight="1">
      <c r="A43" s="5"/>
      <c r="B43" s="5"/>
      <c r="C43" s="5"/>
      <c r="D43" s="5"/>
      <c r="E43" s="5"/>
      <c r="F43" s="5"/>
      <c r="G43" s="5"/>
      <c r="H43" s="5"/>
      <c r="I43" s="5"/>
      <c r="J43" s="11" t="s">
        <v>103</v>
      </c>
      <c r="K43" s="5">
        <f>(K36+K40)/(K34+SQRT((K37^2+K38^2+K39^2)/3))*K41</f>
        <v>2.4148932511522957E-2</v>
      </c>
      <c r="L43" s="5" t="s">
        <v>2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8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8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8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8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8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8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8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8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8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8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8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8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8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8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8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8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8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8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8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8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8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8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8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8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8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8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8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8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8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8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8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8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8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8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8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8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8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8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8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8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8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8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8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8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8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8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8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8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8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8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8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8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8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8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8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8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8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8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8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8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8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8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8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8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8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8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8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8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8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8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8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8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8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8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8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8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8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8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8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8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8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8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8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8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8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8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8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8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8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8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8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8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8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8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8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8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8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8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8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8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8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8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8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8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8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8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8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8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8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8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8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8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8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8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8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8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8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8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8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8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8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8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8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8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8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8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8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8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8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8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8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8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8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8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8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8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8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8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8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8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8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8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8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8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8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8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8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8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8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8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8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8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8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8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8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8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8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8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8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8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8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8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8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8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8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8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8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8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8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8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8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8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8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8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8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8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8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8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8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8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8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8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8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8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8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8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8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8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8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8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8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8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8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8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8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8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8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8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8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8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8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8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8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8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8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8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8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8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8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8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8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8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8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8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8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8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8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8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8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8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8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8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8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8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8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8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8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8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8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8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8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8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8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8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8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8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8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8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8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8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8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8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8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8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8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8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8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8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8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8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8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8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8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8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8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8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8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8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8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8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8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8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8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8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8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8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8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8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8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8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8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8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8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8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8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8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8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8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8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8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8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8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8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8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8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8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8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8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8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8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8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8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8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8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8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8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8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8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8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8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8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8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8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8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8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8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8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8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8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8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8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8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8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8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8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8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8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8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8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8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8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8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8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8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8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8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8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8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8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8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8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8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8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8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8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8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8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8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8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8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8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8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8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8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8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8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8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8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8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8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8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8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8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8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8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8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8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8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8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8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8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8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8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8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8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8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8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8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8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8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8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8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8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8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8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8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8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8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8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8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8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8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8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8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8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8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8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8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8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8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8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8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8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8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8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8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8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8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8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8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8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8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8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8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8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8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8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8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8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8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8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8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8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8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8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8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8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8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8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8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8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8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8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8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8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8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8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8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8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8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8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8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8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8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8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8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8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8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8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8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8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8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8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8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8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8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8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8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8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8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8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8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8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8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8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8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8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8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8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8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8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8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8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8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8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8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8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8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8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8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8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8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8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8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8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8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8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8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8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8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8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8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8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8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8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8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8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8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8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8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8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8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8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8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8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8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8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8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8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8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8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8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8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8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8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8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8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8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8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8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8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8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8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8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8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8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8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8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8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8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8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8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8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8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8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8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8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8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8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8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8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8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8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8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8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8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8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8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8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8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8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8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8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8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8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8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8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8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8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8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8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8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8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8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8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8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8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8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8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8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8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8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8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8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8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8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8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8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8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8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8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8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8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8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8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8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8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8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8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8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8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8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8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8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8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8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8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8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8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8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8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8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8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8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8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8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8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8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8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8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8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8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8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8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8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8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8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8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8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8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8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8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8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8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8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8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8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8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8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8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8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8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8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8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8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8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8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8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8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8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8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8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8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8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8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8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8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8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8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8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8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8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8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8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8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8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8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8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8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8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8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8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8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8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8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8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8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8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8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8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8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8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8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8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8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8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8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8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8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8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8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8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8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8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8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8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8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8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8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8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8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8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8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8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8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8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8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8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8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8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8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8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8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8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8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8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8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8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8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8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8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8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8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8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8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8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8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8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8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8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8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8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8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8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8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8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8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8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8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8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8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8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8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8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8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8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8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8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8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8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8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8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8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8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8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8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8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8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8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8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8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8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8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8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8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8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8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8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8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8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8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8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8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8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8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8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8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8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8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8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8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8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8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8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8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8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8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8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8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8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8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8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8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8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8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8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8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8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8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8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8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8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8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8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8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8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8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8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8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8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8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8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8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8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8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8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8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8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8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8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8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8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8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8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8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8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8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8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8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8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8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8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8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8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8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8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8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8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8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8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8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8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8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8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8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8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8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8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8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8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8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8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8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8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8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8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8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8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8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8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8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8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8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8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8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8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8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8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8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8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8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8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8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8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8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8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8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8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8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8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8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8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8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8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8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8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8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8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8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8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8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8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8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8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8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8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8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8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8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8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8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8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8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8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8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8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8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8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8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8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8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8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8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8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8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8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8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8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8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8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8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8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8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8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8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8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8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8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8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8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8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8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8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8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8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8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8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8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8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8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8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8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8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8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8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8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8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8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8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8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8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8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8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8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8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8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8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8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8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8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8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8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8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8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8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8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8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8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8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8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8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8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8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8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8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8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2">
    <mergeCell ref="S36:U36"/>
    <mergeCell ref="A1:F1"/>
    <mergeCell ref="S1:U1"/>
    <mergeCell ref="J3:P3"/>
    <mergeCell ref="A8:F8"/>
    <mergeCell ref="S11:U11"/>
    <mergeCell ref="M13:M14"/>
    <mergeCell ref="A15:B15"/>
    <mergeCell ref="J16:M16"/>
    <mergeCell ref="S22:U22"/>
    <mergeCell ref="S27:U27"/>
    <mergeCell ref="N13:N14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ПрактическаяРабота3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ARTY</cp:lastModifiedBy>
  <dcterms:modified xsi:type="dcterms:W3CDTF">2023-12-28T06:04:37Z</dcterms:modified>
</cp:coreProperties>
</file>