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B7EAEE8-15CD-4FC7-BB6D-7CFDFCE6E024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ПР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N28" i="2" l="1"/>
  <c r="E4" i="2"/>
  <c r="D2" i="2"/>
  <c r="E2" i="2"/>
  <c r="F2" i="2" l="1"/>
  <c r="N26" i="2" l="1"/>
  <c r="J2" i="2"/>
  <c r="K2" i="2" s="1"/>
  <c r="J3" i="2" l="1"/>
  <c r="K3" i="2" s="1"/>
  <c r="J20" i="2"/>
  <c r="K20" i="2" s="1"/>
  <c r="E5" i="2"/>
  <c r="J19" i="2"/>
  <c r="K19" i="2" s="1"/>
  <c r="J12" i="2"/>
  <c r="K12" i="2" s="1"/>
  <c r="J10" i="2"/>
  <c r="K10" i="2" s="1"/>
  <c r="J11" i="2"/>
  <c r="K11" i="2" s="1"/>
  <c r="J9" i="2"/>
  <c r="K9" i="2" s="1"/>
  <c r="J18" i="2"/>
  <c r="K18" i="2" s="1"/>
  <c r="J16" i="2"/>
  <c r="K16" i="2" s="1"/>
  <c r="J8" i="2"/>
  <c r="K8" i="2" s="1"/>
  <c r="J4" i="2"/>
  <c r="K4" i="2" s="1"/>
  <c r="J15" i="2"/>
  <c r="K15" i="2" s="1"/>
  <c r="J7" i="2"/>
  <c r="K7" i="2" s="1"/>
  <c r="J14" i="2"/>
  <c r="K14" i="2" s="1"/>
  <c r="J13" i="2"/>
  <c r="K13" i="2" s="1"/>
  <c r="J5" i="2"/>
  <c r="K5" i="2" s="1"/>
  <c r="J6" i="2"/>
  <c r="K6" i="2" s="1"/>
  <c r="J17" i="2"/>
  <c r="K17" i="2" s="1"/>
  <c r="M2" i="2" l="1"/>
  <c r="C31" i="2"/>
  <c r="L4" i="2"/>
  <c r="L2" i="2"/>
  <c r="M21" i="2"/>
  <c r="L7" i="2"/>
  <c r="L9" i="2"/>
  <c r="L19" i="2"/>
  <c r="L18" i="2"/>
  <c r="L13" i="2"/>
  <c r="C47" i="2"/>
  <c r="D47" i="2" s="1"/>
  <c r="G47" i="2" s="1"/>
  <c r="C35" i="2"/>
  <c r="D35" i="2" s="1"/>
  <c r="G35" i="2" s="1"/>
  <c r="M16" i="2"/>
  <c r="D31" i="2"/>
  <c r="C41" i="2"/>
  <c r="D41" i="2" s="1"/>
  <c r="G41" i="2" s="1"/>
  <c r="L3" i="2"/>
  <c r="C33" i="2"/>
  <c r="D33" i="2" s="1"/>
  <c r="G33" i="2" s="1"/>
  <c r="C34" i="2"/>
  <c r="D34" i="2" s="1"/>
  <c r="G34" i="2" s="1"/>
  <c r="M10" i="2"/>
  <c r="L11" i="2"/>
  <c r="M7" i="2"/>
  <c r="L6" i="2"/>
  <c r="L15" i="2"/>
  <c r="C45" i="2"/>
  <c r="D45" i="2" s="1"/>
  <c r="G45" i="2" s="1"/>
  <c r="L17" i="2"/>
  <c r="L12" i="2"/>
  <c r="K22" i="2"/>
  <c r="M4" i="2"/>
  <c r="C43" i="2"/>
  <c r="D43" i="2" s="1"/>
  <c r="G43" i="2" s="1"/>
  <c r="L16" i="2"/>
  <c r="C38" i="2"/>
  <c r="D38" i="2" s="1"/>
  <c r="G38" i="2" s="1"/>
  <c r="C32" i="2"/>
  <c r="C36" i="2"/>
  <c r="D36" i="2" s="1"/>
  <c r="G36" i="2" s="1"/>
  <c r="C44" i="2"/>
  <c r="D44" i="2" s="1"/>
  <c r="G44" i="2" s="1"/>
  <c r="C46" i="2"/>
  <c r="D46" i="2" s="1"/>
  <c r="G46" i="2" s="1"/>
  <c r="L10" i="2"/>
  <c r="C40" i="2"/>
  <c r="D40" i="2" s="1"/>
  <c r="G40" i="2" s="1"/>
  <c r="L43" i="2"/>
  <c r="L14" i="2"/>
  <c r="L8" i="2"/>
  <c r="L5" i="2"/>
  <c r="M19" i="2"/>
  <c r="C39" i="2"/>
  <c r="D39" i="2" s="1"/>
  <c r="G39" i="2" s="1"/>
  <c r="C50" i="2"/>
  <c r="D50" i="2" s="1"/>
  <c r="G50" i="2" s="1"/>
  <c r="C49" i="2"/>
  <c r="D49" i="2" s="1"/>
  <c r="G49" i="2" s="1"/>
  <c r="C37" i="2"/>
  <c r="D37" i="2" s="1"/>
  <c r="G37" i="2" s="1"/>
  <c r="C48" i="2"/>
  <c r="D48" i="2" s="1"/>
  <c r="G48" i="2" s="1"/>
  <c r="L21" i="2"/>
  <c r="C42" i="2"/>
  <c r="D42" i="2" s="1"/>
  <c r="G42" i="2" s="1"/>
  <c r="L20" i="2"/>
  <c r="M3" i="2"/>
  <c r="M20" i="2"/>
  <c r="M5" i="2"/>
  <c r="M6" i="2"/>
  <c r="M8" i="2"/>
  <c r="M11" i="2"/>
  <c r="M13" i="2"/>
  <c r="M14" i="2"/>
  <c r="M17" i="2"/>
  <c r="M18" i="2"/>
  <c r="M9" i="2"/>
  <c r="M12" i="2"/>
  <c r="M15" i="2"/>
  <c r="D32" i="2" l="1"/>
  <c r="G32" i="2" s="1"/>
  <c r="M22" i="2"/>
  <c r="E9" i="2" s="1"/>
  <c r="G31" i="2"/>
  <c r="D51" i="2" l="1"/>
  <c r="B25" i="2"/>
  <c r="I31" i="2"/>
  <c r="E13" i="2"/>
  <c r="B24" i="2"/>
  <c r="I2" i="2"/>
  <c r="E11" i="2"/>
  <c r="B30" i="2" l="1"/>
  <c r="L38" i="2"/>
  <c r="L28" i="2"/>
  <c r="L39" i="2" s="1"/>
  <c r="L40" i="2" l="1"/>
  <c r="L41" i="2" s="1"/>
  <c r="N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тут округлять не надо, так как обе x уже были округлены
</t>
        </r>
      </text>
    </comment>
    <comment ref="M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делала до 6 значащих
</t>
        </r>
      </text>
    </comment>
    <comment ref="K2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так как 19 нет, берем меньшее ближайшее</t>
        </r>
      </text>
    </comment>
  </commentList>
</comments>
</file>

<file path=xl/sharedStrings.xml><?xml version="1.0" encoding="utf-8"?>
<sst xmlns="http://schemas.openxmlformats.org/spreadsheetml/2006/main" count="84" uniqueCount="60">
  <si>
    <t>НСП</t>
  </si>
  <si>
    <t>Уровень значимости (q)</t>
  </si>
  <si>
    <t>l</t>
  </si>
  <si>
    <t>k</t>
  </si>
  <si>
    <t>K</t>
  </si>
  <si>
    <t>G1</t>
  </si>
  <si>
    <t>&lt;</t>
  </si>
  <si>
    <t>±</t>
  </si>
  <si>
    <t>G2</t>
  </si>
  <si>
    <t>Критерий А</t>
  </si>
  <si>
    <t>d(1-q1/2)</t>
  </si>
  <si>
    <t>d</t>
  </si>
  <si>
    <t>d(q1/2)</t>
  </si>
  <si>
    <t>Критерий Б</t>
  </si>
  <si>
    <t>P</t>
  </si>
  <si>
    <t>m</t>
  </si>
  <si>
    <t>Zp/2(P=0,99)</t>
  </si>
  <si>
    <t>Результат</t>
  </si>
  <si>
    <t>Мой №</t>
  </si>
  <si>
    <t>ДАНО Показания потенциометра, В</t>
  </si>
  <si>
    <t>МОИ Показания потенциометра, В</t>
  </si>
  <si>
    <t>Ө1</t>
  </si>
  <si>
    <t>Ө2</t>
  </si>
  <si>
    <t>Ө3</t>
  </si>
  <si>
    <t>Макс.</t>
  </si>
  <si>
    <t>Мин.</t>
  </si>
  <si>
    <t>Ср.ариф.</t>
  </si>
  <si>
    <t>Ср.кв.отк. (S)</t>
  </si>
  <si>
    <t>(Xi-Xср)^2</t>
  </si>
  <si>
    <t>Всего показаний</t>
  </si>
  <si>
    <t>Gт (q=0,01, n=20)</t>
  </si>
  <si>
    <t>G1&gt;Gт   нет</t>
  </si>
  <si>
    <t>G2&gt;Gт   нет</t>
  </si>
  <si>
    <t>груб погр нет</t>
  </si>
  <si>
    <t>Граббса</t>
  </si>
  <si>
    <t>Критерий Аббе</t>
  </si>
  <si>
    <t>X(i+1)-Xi</t>
  </si>
  <si>
    <t>(X(i+1)-Xi)^2</t>
  </si>
  <si>
    <t>Xi - Xср</t>
  </si>
  <si>
    <t>сумм</t>
  </si>
  <si>
    <t>Vт (q=0,01, n=20)</t>
  </si>
  <si>
    <t>V</t>
  </si>
  <si>
    <t>V&lt;Vт   нет</t>
  </si>
  <si>
    <t>S*</t>
  </si>
  <si>
    <t>Sx</t>
  </si>
  <si>
    <t>|Xi - Xср|</t>
  </si>
  <si>
    <t>d(1-q1/2)&lt;d&lt;=d(q1/2)</t>
  </si>
  <si>
    <t>0,695&lt;0,793901&lt;=0,9001</t>
  </si>
  <si>
    <t>ДА</t>
  </si>
  <si>
    <t>Zp/2 *S</t>
  </si>
  <si>
    <t>норм вид</t>
  </si>
  <si>
    <t>t(f,P)=t(n-1,P)</t>
  </si>
  <si>
    <t>E(P)</t>
  </si>
  <si>
    <t>Ө(P)</t>
  </si>
  <si>
    <t>Довер границы неиск сис погр (НСП)</t>
  </si>
  <si>
    <t>Сумм СКО</t>
  </si>
  <si>
    <t>Δ</t>
  </si>
  <si>
    <t>Итого</t>
  </si>
  <si>
    <t>t(18;0,99)</t>
  </si>
  <si>
    <r>
      <rPr>
        <b/>
        <sz val="14"/>
        <color rgb="FF000000"/>
        <rFont val="Symbol"/>
        <family val="1"/>
        <charset val="2"/>
      </rPr>
      <t>D</t>
    </r>
    <r>
      <rPr>
        <b/>
        <sz val="14"/>
        <color rgb="FF000000"/>
        <rFont val="Times New Roman"/>
        <family val="1"/>
        <charset val="204"/>
      </rPr>
      <t>=</t>
    </r>
    <r>
      <rPr>
        <b/>
        <sz val="14"/>
        <color rgb="FF000000"/>
        <rFont val="Symbol"/>
        <family val="1"/>
        <charset val="2"/>
      </rPr>
      <t>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</si>
</sst>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00"/>
    <numFmt numFmtId="166" formatCode="0.0000"/>
    <numFmt numFmtId="167" formatCode="0.0000000"/>
    <numFmt numFmtId="168" formatCode="0.00000000"/>
    <numFmt numFmtId="169" formatCode="0.000000000"/>
    <numFmt numFmtId="170" formatCode="0.00000000000"/>
    <numFmt numFmtId="171" formatCode="0.000000000000"/>
    <numFmt numFmtId="172" formatCode="0.0000000000000"/>
    <numFmt numFmtId="173" formatCode="0.0000000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71" fontId="1" fillId="0" borderId="0" xfId="0" applyNumberFormat="1" applyFont="1" applyBorder="1" applyAlignment="1">
      <alignment horizontal="center" vertical="center"/>
    </xf>
    <xf numFmtId="171" fontId="1" fillId="0" borderId="5" xfId="0" applyNumberFormat="1" applyFont="1" applyBorder="1" applyAlignment="1">
      <alignment horizontal="center" vertical="center"/>
    </xf>
    <xf numFmtId="170" fontId="1" fillId="0" borderId="5" xfId="0" applyNumberFormat="1" applyFont="1" applyBorder="1" applyAlignment="1">
      <alignment horizontal="center" vertical="center"/>
    </xf>
    <xf numFmtId="17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73" fontId="1" fillId="0" borderId="7" xfId="0" applyNumberFormat="1" applyFont="1" applyBorder="1" applyAlignment="1">
      <alignment horizontal="center" vertical="center"/>
    </xf>
    <xf numFmtId="170" fontId="1" fillId="0" borderId="8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8" fontId="1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985088</xdr:colOff>
      <xdr:row>28</xdr:row>
      <xdr:rowOff>179492</xdr:rowOff>
    </xdr:from>
    <xdr:ext cx="3967912" cy="1771296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95441" y="7650080"/>
          <a:ext cx="3967912" cy="177129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19" zoomScale="70" zoomScaleNormal="70" workbookViewId="0">
      <selection activeCell="L40" sqref="L40"/>
    </sheetView>
  </sheetViews>
  <sheetFormatPr defaultRowHeight="18" x14ac:dyDescent="0.3"/>
  <cols>
    <col min="1" max="1" width="25.88671875" style="2" customWidth="1"/>
    <col min="2" max="2" width="15.77734375" style="2" customWidth="1"/>
    <col min="3" max="3" width="21" style="2" customWidth="1"/>
    <col min="4" max="4" width="16.77734375" style="2" customWidth="1"/>
    <col min="5" max="5" width="17.5546875" style="2" customWidth="1"/>
    <col min="6" max="6" width="14.5546875" style="2" customWidth="1"/>
    <col min="7" max="7" width="14.109375" style="2" customWidth="1"/>
    <col min="8" max="8" width="28.77734375" style="2" customWidth="1"/>
    <col min="9" max="9" width="14.77734375" style="2" customWidth="1"/>
    <col min="10" max="10" width="14.5546875" style="2" customWidth="1"/>
    <col min="11" max="11" width="22.6640625" style="2" customWidth="1"/>
    <col min="12" max="12" width="17.6640625" style="2" customWidth="1"/>
    <col min="13" max="13" width="25.21875" style="2" bestFit="1" customWidth="1"/>
    <col min="14" max="14" width="13.33203125" style="2" customWidth="1"/>
    <col min="15" max="16384" width="8.88671875" style="2"/>
  </cols>
  <sheetData>
    <row r="1" spans="1:13" ht="72" customHeight="1" x14ac:dyDescent="0.3">
      <c r="A1" s="33" t="s">
        <v>19</v>
      </c>
      <c r="B1" s="29" t="s">
        <v>18</v>
      </c>
      <c r="C1" s="34" t="s">
        <v>20</v>
      </c>
      <c r="D1" s="36" t="s">
        <v>21</v>
      </c>
      <c r="E1" s="37" t="s">
        <v>22</v>
      </c>
      <c r="F1" s="38" t="s">
        <v>23</v>
      </c>
      <c r="G1" s="45" t="s">
        <v>29</v>
      </c>
      <c r="H1" s="62" t="s">
        <v>35</v>
      </c>
      <c r="I1" s="63"/>
      <c r="J1" s="29" t="s">
        <v>36</v>
      </c>
      <c r="K1" s="29" t="s">
        <v>37</v>
      </c>
      <c r="L1" s="29" t="s">
        <v>38</v>
      </c>
      <c r="M1" s="49" t="s">
        <v>28</v>
      </c>
    </row>
    <row r="2" spans="1:13" x14ac:dyDescent="0.3">
      <c r="A2" s="10">
        <v>3.7309399999999999</v>
      </c>
      <c r="B2" s="11">
        <v>1</v>
      </c>
      <c r="C2" s="71">
        <f>ROUND((((A2/$B$2)*(($B$2+1)/43))+$B$2/43),5)</f>
        <v>0.19678999999999999</v>
      </c>
      <c r="D2" s="39">
        <f>5/B2*0.001</f>
        <v>5.0000000000000001E-3</v>
      </c>
      <c r="E2" s="26">
        <f>3.3/B2*0.001</f>
        <v>3.3E-3</v>
      </c>
      <c r="F2" s="40">
        <f>6.3/B2*0.001</f>
        <v>6.3E-3</v>
      </c>
      <c r="G2" s="2">
        <v>20</v>
      </c>
      <c r="H2" s="46" t="s">
        <v>41</v>
      </c>
      <c r="I2" s="11">
        <f>ROUND(((1/2)*K22)/M22,5)</f>
        <v>1.39469</v>
      </c>
      <c r="J2" s="17">
        <f>C3-C2</f>
        <v>1.1400000000000021E-3</v>
      </c>
      <c r="K2" s="18">
        <f>ROUND(J2^2,12)</f>
        <v>1.2996E-6</v>
      </c>
      <c r="L2" s="17">
        <f>((C2-$E$7))</f>
        <v>3.7499999999998646E-4</v>
      </c>
      <c r="M2" s="19">
        <f>ROUND(((C2-$E$7)^2),12)</f>
        <v>1.40625E-7</v>
      </c>
    </row>
    <row r="3" spans="1:13" ht="18.600000000000001" thickBot="1" x14ac:dyDescent="0.35">
      <c r="A3" s="10">
        <v>3.75549</v>
      </c>
      <c r="B3" s="11"/>
      <c r="C3" s="71">
        <f t="shared" ref="C3:C21" si="0">ROUND((((A3/$B$2)*(($B$2+1)/43))+$B$2/43),5)</f>
        <v>0.19792999999999999</v>
      </c>
      <c r="D3" s="65" t="s">
        <v>0</v>
      </c>
      <c r="E3" s="66"/>
      <c r="F3" s="67"/>
      <c r="H3" s="46" t="s">
        <v>40</v>
      </c>
      <c r="I3" s="11">
        <v>0.52029999999999998</v>
      </c>
      <c r="J3" s="17">
        <f>C4-C3</f>
        <v>-3.2599999999999851E-3</v>
      </c>
      <c r="K3" s="18">
        <f>ROUND(J3^2,12)</f>
        <v>1.06276E-5</v>
      </c>
      <c r="L3" s="17">
        <f t="shared" ref="L3:L15" si="1">((C3-$E$7))</f>
        <v>1.5149999999999886E-3</v>
      </c>
      <c r="M3" s="19">
        <f>ROUND(((C3-$E$7)^2),12)</f>
        <v>2.2952250000000001E-6</v>
      </c>
    </row>
    <row r="4" spans="1:13" x14ac:dyDescent="0.3">
      <c r="A4" s="10">
        <v>3.6853600000000002</v>
      </c>
      <c r="B4" s="11"/>
      <c r="C4" s="71">
        <f t="shared" si="0"/>
        <v>0.19467000000000001</v>
      </c>
      <c r="D4" s="27" t="s">
        <v>24</v>
      </c>
      <c r="E4" s="72">
        <f>MAX(C2:C21)</f>
        <v>0.19794999999999999</v>
      </c>
      <c r="H4" s="48" t="s">
        <v>42</v>
      </c>
      <c r="I4" s="11"/>
      <c r="J4" s="17">
        <f t="shared" ref="J4:J19" si="2">C5-C4</f>
        <v>1.8699999999999828E-3</v>
      </c>
      <c r="K4" s="18">
        <f t="shared" ref="K4:K20" si="3">ROUND(J4^2,12)</f>
        <v>3.4968999999999999E-6</v>
      </c>
      <c r="L4" s="17">
        <f t="shared" si="1"/>
        <v>-1.7449999999999966E-3</v>
      </c>
      <c r="M4" s="19">
        <f>ROUND(((C4-$E$7)^2),11)</f>
        <v>3.0450200000000002E-6</v>
      </c>
    </row>
    <row r="5" spans="1:13" x14ac:dyDescent="0.3">
      <c r="A5" s="10">
        <v>3.7256800000000001</v>
      </c>
      <c r="B5" s="11"/>
      <c r="C5" s="71">
        <f t="shared" si="0"/>
        <v>0.19653999999999999</v>
      </c>
      <c r="D5" s="27" t="s">
        <v>25</v>
      </c>
      <c r="E5" s="72">
        <f>MIN(C2:C21)</f>
        <v>0.19334000000000001</v>
      </c>
      <c r="H5" s="16"/>
      <c r="I5" s="11"/>
      <c r="J5" s="17">
        <f t="shared" si="2"/>
        <v>4.800000000000082E-4</v>
      </c>
      <c r="K5" s="18">
        <f t="shared" si="3"/>
        <v>2.304E-7</v>
      </c>
      <c r="L5" s="17">
        <f t="shared" si="1"/>
        <v>1.2499999999998623E-4</v>
      </c>
      <c r="M5" s="19">
        <f>ROUND(((C5-$E$7)^2),12)</f>
        <v>1.5624999999999999E-8</v>
      </c>
    </row>
    <row r="6" spans="1:13" x14ac:dyDescent="0.3">
      <c r="A6" s="10">
        <v>3.7358500000000001</v>
      </c>
      <c r="B6" s="11"/>
      <c r="C6" s="71">
        <f t="shared" si="0"/>
        <v>0.19702</v>
      </c>
      <c r="D6" s="27"/>
      <c r="E6" s="3"/>
      <c r="H6" s="16"/>
      <c r="I6" s="11"/>
      <c r="J6" s="17">
        <f t="shared" si="2"/>
        <v>-2.4399999999999977E-3</v>
      </c>
      <c r="K6" s="18">
        <f t="shared" si="3"/>
        <v>5.9536000000000001E-6</v>
      </c>
      <c r="L6" s="17">
        <f t="shared" si="1"/>
        <v>6.0499999999999443E-4</v>
      </c>
      <c r="M6" s="19">
        <f>ROUND(((C6-$E$7)^2),12)</f>
        <v>3.6602500000000002E-7</v>
      </c>
    </row>
    <row r="7" spans="1:13" x14ac:dyDescent="0.3">
      <c r="A7" s="10">
        <v>3.6835399999999998</v>
      </c>
      <c r="B7" s="11"/>
      <c r="C7" s="71">
        <f t="shared" si="0"/>
        <v>0.19458</v>
      </c>
      <c r="D7" s="27" t="s">
        <v>26</v>
      </c>
      <c r="E7" s="1">
        <f>ROUND((SUM(C2:C21)/20),6)</f>
        <v>0.19641500000000001</v>
      </c>
      <c r="G7" s="1"/>
      <c r="H7" s="16"/>
      <c r="I7" s="11"/>
      <c r="J7" s="17">
        <f t="shared" si="2"/>
        <v>2.8999999999999859E-3</v>
      </c>
      <c r="K7" s="18">
        <f t="shared" si="3"/>
        <v>8.4100000000000008E-6</v>
      </c>
      <c r="L7" s="17">
        <f t="shared" si="1"/>
        <v>-1.8350000000000033E-3</v>
      </c>
      <c r="M7" s="20">
        <f>ROUND(((C7-$E$7)^2),11)</f>
        <v>3.3672300000000001E-6</v>
      </c>
    </row>
    <row r="8" spans="1:13" x14ac:dyDescent="0.3">
      <c r="A8" s="10">
        <v>3.7457400000000001</v>
      </c>
      <c r="B8" s="11"/>
      <c r="C8" s="71">
        <f t="shared" si="0"/>
        <v>0.19747999999999999</v>
      </c>
      <c r="D8" s="27"/>
      <c r="H8" s="16"/>
      <c r="I8" s="11"/>
      <c r="J8" s="17">
        <f t="shared" si="2"/>
        <v>1.0000000000010001E-5</v>
      </c>
      <c r="K8" s="18">
        <f t="shared" si="3"/>
        <v>1E-10</v>
      </c>
      <c r="L8" s="17">
        <f t="shared" si="1"/>
        <v>1.0649999999999826E-3</v>
      </c>
      <c r="M8" s="19">
        <f>ROUND(((C8-$E$7)^2),12)</f>
        <v>1.1342249999999999E-6</v>
      </c>
    </row>
    <row r="9" spans="1:13" x14ac:dyDescent="0.3">
      <c r="A9" s="10">
        <v>3.7459699999999998</v>
      </c>
      <c r="B9" s="11"/>
      <c r="C9" s="71">
        <f t="shared" si="0"/>
        <v>0.19749</v>
      </c>
      <c r="D9" s="27" t="s">
        <v>27</v>
      </c>
      <c r="E9" s="4">
        <f>ROUND((SQRT(M22/(G2-1))),9)</f>
        <v>1.221438E-3</v>
      </c>
      <c r="H9" s="16"/>
      <c r="I9" s="11"/>
      <c r="J9" s="17">
        <f t="shared" si="2"/>
        <v>-4.149999999999987E-3</v>
      </c>
      <c r="K9" s="18">
        <f t="shared" si="3"/>
        <v>1.72225E-5</v>
      </c>
      <c r="L9" s="17">
        <f t="shared" si="1"/>
        <v>1.0749999999999926E-3</v>
      </c>
      <c r="M9" s="19">
        <f>ROUND(((C9-$E$7)^2),12)</f>
        <v>1.1556250000000001E-6</v>
      </c>
    </row>
    <row r="10" spans="1:13" x14ac:dyDescent="0.3">
      <c r="A10" s="10">
        <v>3.6568399999999999</v>
      </c>
      <c r="B10" s="11"/>
      <c r="C10" s="71">
        <f t="shared" si="0"/>
        <v>0.19334000000000001</v>
      </c>
      <c r="D10" s="27"/>
      <c r="H10" s="16"/>
      <c r="I10" s="11"/>
      <c r="J10" s="17">
        <f t="shared" si="2"/>
        <v>3.6799999999999888E-3</v>
      </c>
      <c r="K10" s="18">
        <f t="shared" si="3"/>
        <v>1.3542399999999999E-5</v>
      </c>
      <c r="L10" s="17">
        <f t="shared" si="1"/>
        <v>-3.0749999999999944E-3</v>
      </c>
      <c r="M10" s="20">
        <f>ROUND(((C10-$E$7)^2),11)</f>
        <v>9.4556199999999994E-6</v>
      </c>
    </row>
    <row r="11" spans="1:13" x14ac:dyDescent="0.3">
      <c r="A11" s="10">
        <v>3.73597</v>
      </c>
      <c r="B11" s="11"/>
      <c r="C11" s="71">
        <f t="shared" si="0"/>
        <v>0.19702</v>
      </c>
      <c r="D11" s="27" t="s">
        <v>43</v>
      </c>
      <c r="E11" s="4">
        <f>ROUND((SQRT(M22/(G2))),9)</f>
        <v>1.1905100000000001E-3</v>
      </c>
      <c r="H11" s="16"/>
      <c r="I11" s="11"/>
      <c r="J11" s="17">
        <f t="shared" si="2"/>
        <v>-1.8600000000000005E-3</v>
      </c>
      <c r="K11" s="18">
        <f t="shared" si="3"/>
        <v>3.4595999999999999E-6</v>
      </c>
      <c r="L11" s="17">
        <f t="shared" si="1"/>
        <v>6.0499999999999443E-4</v>
      </c>
      <c r="M11" s="19">
        <f t="shared" ref="M11:M21" si="4">ROUND(((C11-$E$7)^2),12)</f>
        <v>3.6602500000000002E-7</v>
      </c>
    </row>
    <row r="12" spans="1:13" x14ac:dyDescent="0.3">
      <c r="A12" s="10">
        <v>3.69597</v>
      </c>
      <c r="B12" s="11"/>
      <c r="C12" s="71">
        <f t="shared" si="0"/>
        <v>0.19516</v>
      </c>
      <c r="D12" s="27"/>
      <c r="H12" s="16"/>
      <c r="I12" s="11"/>
      <c r="J12" s="17">
        <f t="shared" si="2"/>
        <v>9.0999999999999415E-4</v>
      </c>
      <c r="K12" s="18">
        <f t="shared" si="3"/>
        <v>8.2809999999999996E-7</v>
      </c>
      <c r="L12" s="17">
        <f t="shared" si="1"/>
        <v>-1.2550000000000061E-3</v>
      </c>
      <c r="M12" s="19">
        <f t="shared" si="4"/>
        <v>1.575025E-6</v>
      </c>
    </row>
    <row r="13" spans="1:13" x14ac:dyDescent="0.3">
      <c r="A13" s="10">
        <v>3.7154199999999999</v>
      </c>
      <c r="B13" s="11"/>
      <c r="C13" s="71">
        <f t="shared" si="0"/>
        <v>0.19606999999999999</v>
      </c>
      <c r="D13" s="27" t="s">
        <v>44</v>
      </c>
      <c r="E13" s="4">
        <f>ROUND(E9/SQRT(G2),9)</f>
        <v>2.7312199999999999E-4</v>
      </c>
      <c r="H13" s="16"/>
      <c r="I13" s="11"/>
      <c r="J13" s="17">
        <f t="shared" si="2"/>
        <v>1.8799999999999928E-3</v>
      </c>
      <c r="K13" s="18">
        <f t="shared" si="3"/>
        <v>3.5344E-6</v>
      </c>
      <c r="L13" s="17">
        <f t="shared" si="1"/>
        <v>-3.4500000000001196E-4</v>
      </c>
      <c r="M13" s="19">
        <f t="shared" si="4"/>
        <v>1.19025E-7</v>
      </c>
    </row>
    <row r="14" spans="1:13" x14ac:dyDescent="0.3">
      <c r="A14" s="10">
        <v>3.7558600000000002</v>
      </c>
      <c r="B14" s="11"/>
      <c r="C14" s="71">
        <f t="shared" si="0"/>
        <v>0.19794999999999999</v>
      </c>
      <c r="D14" s="27"/>
      <c r="H14" s="16"/>
      <c r="I14" s="11"/>
      <c r="J14" s="17">
        <f t="shared" si="2"/>
        <v>-1.899999999999985E-3</v>
      </c>
      <c r="K14" s="18">
        <f t="shared" si="3"/>
        <v>3.6100000000000002E-6</v>
      </c>
      <c r="L14" s="17">
        <f t="shared" si="1"/>
        <v>1.5349999999999808E-3</v>
      </c>
      <c r="M14" s="19">
        <f t="shared" si="4"/>
        <v>2.356225E-6</v>
      </c>
    </row>
    <row r="15" spans="1:13" x14ac:dyDescent="0.3">
      <c r="A15" s="10">
        <v>3.71515</v>
      </c>
      <c r="B15" s="11"/>
      <c r="C15" s="71">
        <f t="shared" si="0"/>
        <v>0.19605</v>
      </c>
      <c r="D15" s="27"/>
      <c r="H15" s="16"/>
      <c r="I15" s="11"/>
      <c r="J15" s="17">
        <f t="shared" si="2"/>
        <v>4.800000000000082E-4</v>
      </c>
      <c r="K15" s="18">
        <f t="shared" si="3"/>
        <v>2.304E-7</v>
      </c>
      <c r="L15" s="17">
        <f t="shared" si="1"/>
        <v>-3.6500000000000421E-4</v>
      </c>
      <c r="M15" s="19">
        <f t="shared" si="4"/>
        <v>1.33225E-7</v>
      </c>
    </row>
    <row r="16" spans="1:13" ht="56.4" customHeight="1" x14ac:dyDescent="0.3">
      <c r="A16" s="10">
        <v>3.7254800000000001</v>
      </c>
      <c r="B16" s="11"/>
      <c r="C16" s="71">
        <f t="shared" si="0"/>
        <v>0.19653000000000001</v>
      </c>
      <c r="D16" s="35" t="s">
        <v>1</v>
      </c>
      <c r="E16" s="6">
        <v>0.01</v>
      </c>
      <c r="F16" s="8">
        <v>0.01</v>
      </c>
      <c r="G16" s="7"/>
      <c r="H16" s="16"/>
      <c r="I16" s="11"/>
      <c r="J16" s="17">
        <f t="shared" si="2"/>
        <v>1.0000000000000009E-3</v>
      </c>
      <c r="K16" s="18">
        <f t="shared" si="3"/>
        <v>9.9999999999999995E-7</v>
      </c>
      <c r="L16" s="17">
        <f>((C16-$E$7))</f>
        <v>1.1500000000000399E-4</v>
      </c>
      <c r="M16" s="19">
        <f t="shared" si="4"/>
        <v>1.3224999999999999E-8</v>
      </c>
    </row>
    <row r="17" spans="1:14" x14ac:dyDescent="0.3">
      <c r="A17" s="10">
        <v>3.7469399999999999</v>
      </c>
      <c r="B17" s="11"/>
      <c r="C17" s="71">
        <f t="shared" si="0"/>
        <v>0.19753000000000001</v>
      </c>
      <c r="H17" s="16"/>
      <c r="I17" s="11"/>
      <c r="J17" s="17">
        <f t="shared" si="2"/>
        <v>-1.4800000000000091E-3</v>
      </c>
      <c r="K17" s="18">
        <f t="shared" si="3"/>
        <v>2.1903999999999998E-6</v>
      </c>
      <c r="L17" s="17">
        <f t="shared" ref="L17:L21" si="5">((C17-$E$7))</f>
        <v>1.1150000000000049E-3</v>
      </c>
      <c r="M17" s="19">
        <f t="shared" si="4"/>
        <v>1.2432250000000001E-6</v>
      </c>
    </row>
    <row r="18" spans="1:14" x14ac:dyDescent="0.3">
      <c r="A18" s="10">
        <v>3.7151100000000001</v>
      </c>
      <c r="B18" s="11"/>
      <c r="C18" s="71">
        <f t="shared" si="0"/>
        <v>0.19605</v>
      </c>
      <c r="H18" s="16"/>
      <c r="I18" s="11"/>
      <c r="J18" s="17">
        <f t="shared" si="2"/>
        <v>6.0999999999999943E-4</v>
      </c>
      <c r="K18" s="18">
        <f t="shared" si="3"/>
        <v>3.721E-7</v>
      </c>
      <c r="L18" s="17">
        <f t="shared" si="5"/>
        <v>-3.6500000000000421E-4</v>
      </c>
      <c r="M18" s="19">
        <f t="shared" si="4"/>
        <v>1.33225E-7</v>
      </c>
    </row>
    <row r="19" spans="1:14" x14ac:dyDescent="0.3">
      <c r="A19" s="10">
        <v>3.7281399999999998</v>
      </c>
      <c r="B19" s="11"/>
      <c r="C19" s="71">
        <f t="shared" si="0"/>
        <v>0.19666</v>
      </c>
      <c r="H19" s="16"/>
      <c r="I19" s="11"/>
      <c r="J19" s="17">
        <f t="shared" si="2"/>
        <v>8.2999999999999741E-4</v>
      </c>
      <c r="K19" s="18">
        <f t="shared" si="3"/>
        <v>6.8889999999999998E-7</v>
      </c>
      <c r="L19" s="17">
        <f t="shared" si="5"/>
        <v>2.4499999999999522E-4</v>
      </c>
      <c r="M19" s="21">
        <f t="shared" si="4"/>
        <v>6.0024999999999997E-8</v>
      </c>
    </row>
    <row r="20" spans="1:14" x14ac:dyDescent="0.3">
      <c r="A20" s="10">
        <v>3.74593</v>
      </c>
      <c r="B20" s="11"/>
      <c r="C20" s="71">
        <f t="shared" si="0"/>
        <v>0.19749</v>
      </c>
      <c r="H20" s="16"/>
      <c r="I20" s="11"/>
      <c r="J20" s="17">
        <f>C21-C20</f>
        <v>-1.5399999999999858E-3</v>
      </c>
      <c r="K20" s="18">
        <f t="shared" si="3"/>
        <v>2.3715999999999999E-6</v>
      </c>
      <c r="L20" s="17">
        <f t="shared" si="5"/>
        <v>1.0749999999999926E-3</v>
      </c>
      <c r="M20" s="19">
        <f t="shared" si="4"/>
        <v>1.1556250000000001E-6</v>
      </c>
    </row>
    <row r="21" spans="1:14" ht="18.600000000000001" thickBot="1" x14ac:dyDescent="0.35">
      <c r="A21" s="13">
        <v>3.71299</v>
      </c>
      <c r="B21" s="14"/>
      <c r="C21" s="71">
        <f t="shared" si="0"/>
        <v>0.19595000000000001</v>
      </c>
      <c r="H21" s="16"/>
      <c r="I21" s="11"/>
      <c r="J21" s="17"/>
      <c r="K21" s="18"/>
      <c r="L21" s="17">
        <f t="shared" si="5"/>
        <v>-4.649999999999932E-4</v>
      </c>
      <c r="M21" s="19">
        <f t="shared" si="4"/>
        <v>2.1622499999999999E-7</v>
      </c>
    </row>
    <row r="22" spans="1:14" ht="18.600000000000001" thickBot="1" x14ac:dyDescent="0.35">
      <c r="H22" s="22"/>
      <c r="I22" s="14"/>
      <c r="J22" s="55" t="s">
        <v>39</v>
      </c>
      <c r="K22" s="57">
        <f>ROUND(SUM(K2:K20),10)</f>
        <v>7.9068599999999997E-5</v>
      </c>
      <c r="L22" s="55" t="s">
        <v>39</v>
      </c>
      <c r="M22" s="58">
        <f>ROUND(SUM(M2:M21),11)</f>
        <v>2.83463E-5</v>
      </c>
    </row>
    <row r="23" spans="1:14" x14ac:dyDescent="0.3">
      <c r="A23" s="28" t="s">
        <v>34</v>
      </c>
      <c r="B23" s="9"/>
      <c r="C23" s="15"/>
      <c r="M23" s="5"/>
    </row>
    <row r="24" spans="1:14" ht="18.600000000000001" thickBot="1" x14ac:dyDescent="0.35">
      <c r="A24" s="46" t="s">
        <v>5</v>
      </c>
      <c r="B24" s="23">
        <f>ROUND((ABS(E4-E7)/E9),5)</f>
        <v>1.2567200000000001</v>
      </c>
      <c r="C24" s="24" t="s">
        <v>31</v>
      </c>
    </row>
    <row r="25" spans="1:14" x14ac:dyDescent="0.3">
      <c r="A25" s="46" t="s">
        <v>8</v>
      </c>
      <c r="B25" s="11">
        <f>ROUND((ABS(E7-E5)/E9),5)</f>
        <v>2.5175200000000002</v>
      </c>
      <c r="C25" s="24" t="s">
        <v>32</v>
      </c>
      <c r="K25" s="68" t="s">
        <v>54</v>
      </c>
      <c r="L25" s="69"/>
      <c r="M25" s="69"/>
      <c r="N25" s="70"/>
    </row>
    <row r="26" spans="1:14" ht="18.600000000000001" thickBot="1" x14ac:dyDescent="0.35">
      <c r="A26" s="47" t="s">
        <v>30</v>
      </c>
      <c r="B26" s="14">
        <v>3.0009999999999999</v>
      </c>
      <c r="C26" s="25" t="s">
        <v>33</v>
      </c>
      <c r="K26" s="46" t="s">
        <v>51</v>
      </c>
      <c r="L26" s="11"/>
      <c r="M26" s="51" t="s">
        <v>2</v>
      </c>
      <c r="N26" s="41">
        <f>F2/D2</f>
        <v>1.26</v>
      </c>
    </row>
    <row r="27" spans="1:14" x14ac:dyDescent="0.3">
      <c r="K27" s="46" t="s">
        <v>58</v>
      </c>
      <c r="L27" s="11">
        <v>2.8780000000000001</v>
      </c>
      <c r="M27" s="51" t="s">
        <v>3</v>
      </c>
      <c r="N27" s="24">
        <v>1.36</v>
      </c>
    </row>
    <row r="28" spans="1:14" ht="18.600000000000001" thickBot="1" x14ac:dyDescent="0.35">
      <c r="K28" s="46" t="s">
        <v>52</v>
      </c>
      <c r="L28" s="42">
        <f>ROUND(L27*E13,9)</f>
        <v>7.8604499999999997E-4</v>
      </c>
      <c r="M28" s="51" t="s">
        <v>53</v>
      </c>
      <c r="N28" s="40">
        <f>ROUND(N27*SQRT((D2^2)+(E2^2)+(F2^2)),7)</f>
        <v>1.18234E-2</v>
      </c>
    </row>
    <row r="29" spans="1:14" x14ac:dyDescent="0.3">
      <c r="A29" s="28" t="s">
        <v>9</v>
      </c>
      <c r="B29" s="44" t="s">
        <v>50</v>
      </c>
      <c r="C29" s="9"/>
      <c r="D29" s="15"/>
      <c r="E29" s="28" t="s">
        <v>13</v>
      </c>
      <c r="F29" s="44" t="s">
        <v>50</v>
      </c>
      <c r="G29" s="9"/>
      <c r="H29" s="9"/>
      <c r="I29" s="15"/>
      <c r="K29" s="16"/>
      <c r="L29" s="11"/>
      <c r="M29" s="11"/>
      <c r="N29" s="24"/>
    </row>
    <row r="30" spans="1:14" x14ac:dyDescent="0.3">
      <c r="A30" s="46" t="s">
        <v>11</v>
      </c>
      <c r="B30" s="17">
        <f>ROUND(D51/(G2*E11),6)</f>
        <v>0.79377699999999995</v>
      </c>
      <c r="C30" s="51" t="s">
        <v>38</v>
      </c>
      <c r="D30" s="52" t="s">
        <v>45</v>
      </c>
      <c r="E30" s="46" t="s">
        <v>15</v>
      </c>
      <c r="F30" s="11">
        <v>1</v>
      </c>
      <c r="G30" s="52" t="s">
        <v>45</v>
      </c>
      <c r="H30" s="51" t="s">
        <v>17</v>
      </c>
      <c r="I30" s="52" t="s">
        <v>49</v>
      </c>
      <c r="K30" s="16"/>
      <c r="L30" s="11"/>
      <c r="M30" s="11"/>
      <c r="N30" s="24"/>
    </row>
    <row r="31" spans="1:14" x14ac:dyDescent="0.3">
      <c r="A31" s="46" t="s">
        <v>10</v>
      </c>
      <c r="B31" s="30">
        <v>0.69499999999999995</v>
      </c>
      <c r="C31" s="17">
        <f>((C2-$E$7))</f>
        <v>3.7499999999998646E-4</v>
      </c>
      <c r="D31" s="24">
        <f>ABS(C31)</f>
        <v>3.7499999999998646E-4</v>
      </c>
      <c r="E31" s="46" t="s">
        <v>14</v>
      </c>
      <c r="F31" s="11">
        <v>0.99</v>
      </c>
      <c r="G31" s="17">
        <f t="shared" ref="G31:G50" si="6">D31</f>
        <v>3.7499999999998646E-4</v>
      </c>
      <c r="H31" s="11" t="s">
        <v>6</v>
      </c>
      <c r="I31" s="64">
        <f>ROUND(F32*E9,8)</f>
        <v>3.15131E-3</v>
      </c>
      <c r="K31" s="16"/>
      <c r="L31" s="11"/>
      <c r="M31" s="11"/>
      <c r="N31" s="24"/>
    </row>
    <row r="32" spans="1:14" x14ac:dyDescent="0.3">
      <c r="A32" s="46" t="s">
        <v>12</v>
      </c>
      <c r="B32" s="11">
        <v>0.90010000000000001</v>
      </c>
      <c r="C32" s="17">
        <f t="shared" ref="C32:C50" si="7">((C3-$E$7))</f>
        <v>1.5149999999999886E-3</v>
      </c>
      <c r="D32" s="24">
        <f>ABS(C32)</f>
        <v>1.5149999999999886E-3</v>
      </c>
      <c r="E32" s="46" t="s">
        <v>16</v>
      </c>
      <c r="F32" s="11">
        <v>2.58</v>
      </c>
      <c r="G32" s="17">
        <f t="shared" si="6"/>
        <v>1.5149999999999886E-3</v>
      </c>
      <c r="H32" s="11" t="s">
        <v>6</v>
      </c>
      <c r="I32" s="64"/>
      <c r="K32" s="16"/>
      <c r="L32" s="11"/>
      <c r="M32" s="11"/>
      <c r="N32" s="24"/>
    </row>
    <row r="33" spans="1:14" x14ac:dyDescent="0.3">
      <c r="A33" s="46" t="s">
        <v>46</v>
      </c>
      <c r="B33" s="11"/>
      <c r="C33" s="17">
        <f t="shared" si="7"/>
        <v>-1.7449999999999966E-3</v>
      </c>
      <c r="D33" s="24">
        <f t="shared" ref="D33:D50" si="8">ABS(C33)</f>
        <v>1.7449999999999966E-3</v>
      </c>
      <c r="E33" s="16"/>
      <c r="F33" s="11"/>
      <c r="G33" s="17">
        <f t="shared" si="6"/>
        <v>1.7449999999999966E-3</v>
      </c>
      <c r="H33" s="11" t="s">
        <v>6</v>
      </c>
      <c r="I33" s="64"/>
      <c r="K33" s="16"/>
      <c r="L33" s="11"/>
      <c r="M33" s="11"/>
      <c r="N33" s="24"/>
    </row>
    <row r="34" spans="1:14" x14ac:dyDescent="0.3">
      <c r="A34" s="53" t="s">
        <v>47</v>
      </c>
      <c r="B34" s="11" t="s">
        <v>48</v>
      </c>
      <c r="C34" s="17">
        <f t="shared" si="7"/>
        <v>1.2499999999998623E-4</v>
      </c>
      <c r="D34" s="12">
        <f t="shared" si="8"/>
        <v>1.2499999999998623E-4</v>
      </c>
      <c r="E34" s="16"/>
      <c r="F34" s="11"/>
      <c r="G34" s="17">
        <f t="shared" si="6"/>
        <v>1.2499999999998623E-4</v>
      </c>
      <c r="H34" s="11" t="s">
        <v>6</v>
      </c>
      <c r="I34" s="64"/>
      <c r="K34" s="16"/>
      <c r="L34" s="11"/>
      <c r="M34" s="11"/>
      <c r="N34" s="24"/>
    </row>
    <row r="35" spans="1:14" x14ac:dyDescent="0.3">
      <c r="A35" s="16"/>
      <c r="B35" s="11"/>
      <c r="C35" s="17">
        <f t="shared" si="7"/>
        <v>6.0499999999999443E-4</v>
      </c>
      <c r="D35" s="24">
        <f t="shared" si="8"/>
        <v>6.0499999999999443E-4</v>
      </c>
      <c r="E35" s="16"/>
      <c r="F35" s="11"/>
      <c r="G35" s="17">
        <f t="shared" si="6"/>
        <v>6.0499999999999443E-4</v>
      </c>
      <c r="H35" s="11" t="s">
        <v>6</v>
      </c>
      <c r="I35" s="64"/>
      <c r="K35" s="16"/>
      <c r="L35" s="11"/>
      <c r="M35" s="11"/>
      <c r="N35" s="24"/>
    </row>
    <row r="36" spans="1:14" x14ac:dyDescent="0.3">
      <c r="A36" s="16"/>
      <c r="B36" s="11"/>
      <c r="C36" s="17">
        <f t="shared" si="7"/>
        <v>-1.8350000000000033E-3</v>
      </c>
      <c r="D36" s="24">
        <f t="shared" si="8"/>
        <v>1.8350000000000033E-3</v>
      </c>
      <c r="E36" s="16"/>
      <c r="F36" s="11"/>
      <c r="G36" s="17">
        <f t="shared" si="6"/>
        <v>1.8350000000000033E-3</v>
      </c>
      <c r="H36" s="11" t="s">
        <v>6</v>
      </c>
      <c r="I36" s="64"/>
      <c r="K36" s="16"/>
      <c r="L36" s="11"/>
      <c r="M36" s="11"/>
      <c r="N36" s="24"/>
    </row>
    <row r="37" spans="1:14" x14ac:dyDescent="0.3">
      <c r="A37" s="16"/>
      <c r="B37" s="11"/>
      <c r="C37" s="17">
        <f t="shared" si="7"/>
        <v>1.0649999999999826E-3</v>
      </c>
      <c r="D37" s="24">
        <f t="shared" si="8"/>
        <v>1.0649999999999826E-3</v>
      </c>
      <c r="E37" s="16"/>
      <c r="F37" s="11"/>
      <c r="G37" s="17">
        <f t="shared" si="6"/>
        <v>1.0649999999999826E-3</v>
      </c>
      <c r="H37" s="11" t="s">
        <v>6</v>
      </c>
      <c r="I37" s="64"/>
      <c r="K37" s="16"/>
      <c r="L37" s="11"/>
      <c r="M37" s="11"/>
      <c r="N37" s="24"/>
    </row>
    <row r="38" spans="1:14" x14ac:dyDescent="0.3">
      <c r="A38" s="16"/>
      <c r="B38" s="11"/>
      <c r="C38" s="17">
        <f t="shared" si="7"/>
        <v>1.0749999999999926E-3</v>
      </c>
      <c r="D38" s="24">
        <f t="shared" si="8"/>
        <v>1.0749999999999926E-3</v>
      </c>
      <c r="E38" s="16"/>
      <c r="F38" s="11"/>
      <c r="G38" s="17">
        <f t="shared" si="6"/>
        <v>1.0749999999999926E-3</v>
      </c>
      <c r="H38" s="11" t="s">
        <v>6</v>
      </c>
      <c r="I38" s="64"/>
      <c r="K38" s="46" t="s">
        <v>55</v>
      </c>
      <c r="L38" s="42">
        <f>ROUND(SQRT(((D2^2+E2^2+F2^2)/3)+E13^2),9)</f>
        <v>5.0267209999999996E-3</v>
      </c>
      <c r="M38" s="11"/>
      <c r="N38" s="24"/>
    </row>
    <row r="39" spans="1:14" x14ac:dyDescent="0.3">
      <c r="A39" s="16"/>
      <c r="B39" s="11"/>
      <c r="C39" s="17">
        <f t="shared" si="7"/>
        <v>-3.0749999999999944E-3</v>
      </c>
      <c r="D39" s="24">
        <f t="shared" si="8"/>
        <v>3.0749999999999944E-3</v>
      </c>
      <c r="E39" s="16"/>
      <c r="F39" s="11"/>
      <c r="G39" s="17">
        <f t="shared" si="6"/>
        <v>3.0749999999999944E-3</v>
      </c>
      <c r="H39" s="11" t="s">
        <v>6</v>
      </c>
      <c r="I39" s="64"/>
      <c r="K39" s="46" t="s">
        <v>4</v>
      </c>
      <c r="L39" s="11">
        <f>ROUND((L28+N28)/(E13+SQRT((D2^2+E2^2+F2^2)/3)),5)</f>
        <v>2.3825500000000002</v>
      </c>
      <c r="M39" s="11"/>
      <c r="N39" s="24"/>
    </row>
    <row r="40" spans="1:14" x14ac:dyDescent="0.3">
      <c r="A40" s="16"/>
      <c r="B40" s="11"/>
      <c r="C40" s="17">
        <f t="shared" si="7"/>
        <v>6.0499999999999443E-4</v>
      </c>
      <c r="D40" s="24">
        <f t="shared" si="8"/>
        <v>6.0499999999999443E-4</v>
      </c>
      <c r="E40" s="16"/>
      <c r="F40" s="11"/>
      <c r="G40" s="17">
        <f t="shared" si="6"/>
        <v>6.0499999999999443E-4</v>
      </c>
      <c r="H40" s="11" t="s">
        <v>6</v>
      </c>
      <c r="I40" s="64"/>
      <c r="K40" s="50" t="s">
        <v>59</v>
      </c>
      <c r="L40" s="11">
        <f>ROUND(L39*L38,8)</f>
        <v>1.197641E-2</v>
      </c>
      <c r="M40" s="11"/>
      <c r="N40" s="24"/>
    </row>
    <row r="41" spans="1:14" ht="18.600000000000001" thickBot="1" x14ac:dyDescent="0.35">
      <c r="A41" s="16"/>
      <c r="B41" s="11"/>
      <c r="C41" s="17">
        <f t="shared" si="7"/>
        <v>-1.2550000000000061E-3</v>
      </c>
      <c r="D41" s="24">
        <f t="shared" si="8"/>
        <v>1.2550000000000061E-3</v>
      </c>
      <c r="E41" s="16"/>
      <c r="F41" s="11"/>
      <c r="G41" s="17">
        <f t="shared" si="6"/>
        <v>1.2550000000000061E-3</v>
      </c>
      <c r="H41" s="11" t="s">
        <v>6</v>
      </c>
      <c r="I41" s="64"/>
      <c r="K41" s="47" t="s">
        <v>56</v>
      </c>
      <c r="L41" s="59">
        <f>ROUND(L40,4)</f>
        <v>1.2E-2</v>
      </c>
      <c r="M41" s="14"/>
      <c r="N41" s="32"/>
    </row>
    <row r="42" spans="1:14" ht="18.600000000000001" thickBot="1" x14ac:dyDescent="0.35">
      <c r="A42" s="16"/>
      <c r="B42" s="11"/>
      <c r="C42" s="17">
        <f t="shared" si="7"/>
        <v>-3.4500000000001196E-4</v>
      </c>
      <c r="D42" s="24">
        <f t="shared" si="8"/>
        <v>3.4500000000001196E-4</v>
      </c>
      <c r="E42" s="16"/>
      <c r="F42" s="11"/>
      <c r="G42" s="17">
        <f t="shared" si="6"/>
        <v>3.4500000000001196E-4</v>
      </c>
      <c r="H42" s="11" t="s">
        <v>6</v>
      </c>
      <c r="I42" s="64"/>
    </row>
    <row r="43" spans="1:14" ht="18.600000000000001" thickBot="1" x14ac:dyDescent="0.35">
      <c r="A43" s="16"/>
      <c r="B43" s="11"/>
      <c r="C43" s="17">
        <f t="shared" si="7"/>
        <v>1.5349999999999808E-3</v>
      </c>
      <c r="D43" s="24">
        <f t="shared" si="8"/>
        <v>1.5349999999999808E-3</v>
      </c>
      <c r="E43" s="16"/>
      <c r="F43" s="11"/>
      <c r="G43" s="17">
        <f t="shared" si="6"/>
        <v>1.5349999999999808E-3</v>
      </c>
      <c r="H43" s="11" t="s">
        <v>6</v>
      </c>
      <c r="I43" s="64"/>
      <c r="K43" s="56" t="s">
        <v>57</v>
      </c>
      <c r="L43" s="60">
        <f>ROUND(E7,4)</f>
        <v>0.19639999999999999</v>
      </c>
      <c r="M43" s="43" t="s">
        <v>7</v>
      </c>
      <c r="N43" s="61">
        <f>$L$41</f>
        <v>1.2E-2</v>
      </c>
    </row>
    <row r="44" spans="1:14" x14ac:dyDescent="0.3">
      <c r="A44" s="16"/>
      <c r="B44" s="11"/>
      <c r="C44" s="17">
        <f t="shared" si="7"/>
        <v>-3.6500000000000421E-4</v>
      </c>
      <c r="D44" s="24">
        <f t="shared" si="8"/>
        <v>3.6500000000000421E-4</v>
      </c>
      <c r="E44" s="16"/>
      <c r="F44" s="11"/>
      <c r="G44" s="17">
        <f t="shared" si="6"/>
        <v>3.6500000000000421E-4</v>
      </c>
      <c r="H44" s="11" t="s">
        <v>6</v>
      </c>
      <c r="I44" s="64"/>
    </row>
    <row r="45" spans="1:14" x14ac:dyDescent="0.3">
      <c r="A45" s="16"/>
      <c r="B45" s="11"/>
      <c r="C45" s="17">
        <f t="shared" si="7"/>
        <v>1.1500000000000399E-4</v>
      </c>
      <c r="D45" s="12">
        <f t="shared" si="8"/>
        <v>1.1500000000000399E-4</v>
      </c>
      <c r="E45" s="16"/>
      <c r="F45" s="11"/>
      <c r="G45" s="17">
        <f t="shared" si="6"/>
        <v>1.1500000000000399E-4</v>
      </c>
      <c r="H45" s="11" t="s">
        <v>6</v>
      </c>
      <c r="I45" s="64"/>
    </row>
    <row r="46" spans="1:14" x14ac:dyDescent="0.3">
      <c r="A46" s="16"/>
      <c r="B46" s="11"/>
      <c r="C46" s="17">
        <f t="shared" si="7"/>
        <v>1.1150000000000049E-3</v>
      </c>
      <c r="D46" s="24">
        <f t="shared" si="8"/>
        <v>1.1150000000000049E-3</v>
      </c>
      <c r="E46" s="16"/>
      <c r="F46" s="11"/>
      <c r="G46" s="17">
        <f t="shared" si="6"/>
        <v>1.1150000000000049E-3</v>
      </c>
      <c r="H46" s="11" t="s">
        <v>6</v>
      </c>
      <c r="I46" s="64"/>
    </row>
    <row r="47" spans="1:14" x14ac:dyDescent="0.3">
      <c r="A47" s="16"/>
      <c r="B47" s="11"/>
      <c r="C47" s="17">
        <f t="shared" si="7"/>
        <v>-3.6500000000000421E-4</v>
      </c>
      <c r="D47" s="24">
        <f t="shared" si="8"/>
        <v>3.6500000000000421E-4</v>
      </c>
      <c r="E47" s="16"/>
      <c r="F47" s="11"/>
      <c r="G47" s="17">
        <f t="shared" si="6"/>
        <v>3.6500000000000421E-4</v>
      </c>
      <c r="H47" s="11" t="s">
        <v>6</v>
      </c>
      <c r="I47" s="64"/>
    </row>
    <row r="48" spans="1:14" x14ac:dyDescent="0.3">
      <c r="A48" s="16"/>
      <c r="B48" s="11"/>
      <c r="C48" s="17">
        <f t="shared" si="7"/>
        <v>2.4499999999999522E-4</v>
      </c>
      <c r="D48" s="24">
        <f t="shared" si="8"/>
        <v>2.4499999999999522E-4</v>
      </c>
      <c r="E48" s="16"/>
      <c r="F48" s="11"/>
      <c r="G48" s="17">
        <f t="shared" si="6"/>
        <v>2.4499999999999522E-4</v>
      </c>
      <c r="H48" s="11" t="s">
        <v>6</v>
      </c>
      <c r="I48" s="64"/>
    </row>
    <row r="49" spans="1:9" x14ac:dyDescent="0.3">
      <c r="A49" s="16"/>
      <c r="B49" s="11"/>
      <c r="C49" s="17">
        <f t="shared" si="7"/>
        <v>1.0749999999999926E-3</v>
      </c>
      <c r="D49" s="24">
        <f t="shared" si="8"/>
        <v>1.0749999999999926E-3</v>
      </c>
      <c r="E49" s="16"/>
      <c r="F49" s="11"/>
      <c r="G49" s="17">
        <f t="shared" si="6"/>
        <v>1.0749999999999926E-3</v>
      </c>
      <c r="H49" s="11" t="s">
        <v>6</v>
      </c>
      <c r="I49" s="64"/>
    </row>
    <row r="50" spans="1:9" x14ac:dyDescent="0.3">
      <c r="A50" s="16"/>
      <c r="B50" s="11"/>
      <c r="C50" s="17">
        <f t="shared" si="7"/>
        <v>-4.649999999999932E-4</v>
      </c>
      <c r="D50" s="24">
        <f t="shared" si="8"/>
        <v>4.649999999999932E-4</v>
      </c>
      <c r="E50" s="16"/>
      <c r="F50" s="11"/>
      <c r="G50" s="17">
        <f t="shared" si="6"/>
        <v>4.649999999999932E-4</v>
      </c>
      <c r="H50" s="11" t="s">
        <v>6</v>
      </c>
      <c r="I50" s="64"/>
    </row>
    <row r="51" spans="1:9" ht="18.600000000000001" thickBot="1" x14ac:dyDescent="0.35">
      <c r="A51" s="22"/>
      <c r="B51" s="14"/>
      <c r="C51" s="54" t="s">
        <v>39</v>
      </c>
      <c r="D51" s="31">
        <f>SUM(D31:D50)</f>
        <v>1.8899999999999917E-2</v>
      </c>
      <c r="E51" s="22"/>
      <c r="F51" s="14"/>
      <c r="G51" s="14"/>
      <c r="H51" s="14"/>
      <c r="I51" s="32"/>
    </row>
  </sheetData>
  <mergeCells count="4">
    <mergeCell ref="H1:I1"/>
    <mergeCell ref="I31:I50"/>
    <mergeCell ref="D3:F3"/>
    <mergeCell ref="K25:N25"/>
  </mergeCells>
  <pageMargins left="0.7" right="0.7" top="0.75" bottom="0.75" header="0.3" footer="0.3"/>
  <pageSetup paperSize="9" orientation="portrait" r:id="rId1"/>
  <ignoredErrors>
    <ignoredError sqref="M10 M7 M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2023-12-15T09:48:36Z</dcterms:modified>
</cp:coreProperties>
</file>