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s\Cours\Cours ISAE\Master_Model_and_Sizing_Air_Systems\2023\Exercices\"/>
    </mc:Choice>
  </mc:AlternateContent>
  <xr:revisionPtr revIDLastSave="9" documentId="11_126D24D32A80C3DAE5B2DE92AE8D6E1D05F492F7" xr6:coauthVersionLast="47" xr6:coauthVersionMax="47" xr10:uidLastSave="{CD64EC78-6BAE-4264-AE53-949C93BA5AE3}"/>
  <bookViews>
    <workbookView xWindow="240" yWindow="120" windowWidth="15120" windowHeight="7668" tabRatio="839" firstSheet="4" activeTab="2" xr2:uid="{00000000-000D-0000-FFFF-FFFF00000000}"/>
  </bookViews>
  <sheets>
    <sheet name="ECS" sheetId="23" r:id="rId1"/>
    <sheet name="ECS failure" sheetId="24" r:id="rId2"/>
    <sheet name="WIPS" sheetId="25" r:id="rId3"/>
    <sheet name="Bleed" sheetId="27" r:id="rId4"/>
    <sheet name="VCS" sheetId="22" r:id="rId5"/>
    <sheet name="CPCS" sheetId="2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5" l="1"/>
  <c r="C23" i="22" l="1"/>
  <c r="D10" i="27" l="1"/>
  <c r="C43" i="22"/>
  <c r="C11" i="27"/>
  <c r="C14" i="27" s="1"/>
  <c r="C21" i="27"/>
  <c r="D11" i="27"/>
  <c r="D21" i="27" s="1"/>
  <c r="D23" i="27" s="1"/>
  <c r="D13" i="27"/>
  <c r="C10" i="27"/>
  <c r="C12" i="27" s="1"/>
  <c r="D14" i="27" l="1"/>
  <c r="D12" i="27"/>
  <c r="C19" i="27"/>
  <c r="D19" i="27" l="1"/>
  <c r="E3" i="26"/>
  <c r="E5" i="26" s="1"/>
  <c r="C3" i="26"/>
  <c r="B12" i="25"/>
  <c r="B13" i="25" s="1"/>
  <c r="B14" i="25" s="1"/>
  <c r="B15" i="25" s="1"/>
  <c r="B16" i="25" s="1"/>
  <c r="B17" i="25" s="1"/>
  <c r="B18" i="25" s="1"/>
  <c r="B19" i="25" s="1"/>
  <c r="B20" i="25" s="1"/>
  <c r="B21" i="25" s="1"/>
  <c r="D10" i="25"/>
  <c r="E10" i="25" s="1"/>
  <c r="D5" i="25"/>
  <c r="E5" i="25" s="1"/>
  <c r="F5" i="25" s="1"/>
  <c r="G5" i="25" s="1"/>
  <c r="H5" i="25" s="1"/>
  <c r="C3" i="25"/>
  <c r="E1" i="25"/>
  <c r="C1" i="25"/>
  <c r="C7" i="25" s="1"/>
  <c r="C5" i="26" l="1"/>
  <c r="C6" i="26" s="1"/>
  <c r="C7" i="26" s="1"/>
  <c r="C8" i="26" s="1"/>
  <c r="C9" i="26" s="1"/>
  <c r="E6" i="26"/>
  <c r="E7" i="26" s="1"/>
  <c r="E8" i="26" s="1"/>
  <c r="E9" i="26" s="1"/>
  <c r="C18" i="25"/>
  <c r="C14" i="25"/>
  <c r="C19" i="25"/>
  <c r="C15" i="25"/>
  <c r="C11" i="25"/>
  <c r="C20" i="25"/>
  <c r="C16" i="25"/>
  <c r="C12" i="25"/>
  <c r="C17" i="25"/>
  <c r="C13" i="25"/>
  <c r="C21" i="25"/>
  <c r="F10" i="25"/>
  <c r="E6" i="25"/>
  <c r="E7" i="25" s="1"/>
  <c r="D6" i="25"/>
  <c r="D7" i="25" s="1"/>
  <c r="D19" i="25" l="1"/>
  <c r="D15" i="25"/>
  <c r="D11" i="25"/>
  <c r="D20" i="25"/>
  <c r="D16" i="25"/>
  <c r="D12" i="25"/>
  <c r="D21" i="25"/>
  <c r="D17" i="25"/>
  <c r="D18" i="25"/>
  <c r="D14" i="25"/>
  <c r="D13" i="25"/>
  <c r="E20" i="25"/>
  <c r="E16" i="25"/>
  <c r="E12" i="25"/>
  <c r="E21" i="25"/>
  <c r="E17" i="25"/>
  <c r="E13" i="25"/>
  <c r="E18" i="25"/>
  <c r="E14" i="25"/>
  <c r="E19" i="25"/>
  <c r="E15" i="25"/>
  <c r="E11" i="25"/>
  <c r="F6" i="25"/>
  <c r="F7" i="25" s="1"/>
  <c r="G10" i="25"/>
  <c r="H10" i="25" l="1"/>
  <c r="H6" i="25" s="1"/>
  <c r="H7" i="25" s="1"/>
  <c r="G6" i="25"/>
  <c r="G7" i="25" s="1"/>
  <c r="F21" i="25"/>
  <c r="F17" i="25"/>
  <c r="F13" i="25"/>
  <c r="F18" i="25"/>
  <c r="F14" i="25"/>
  <c r="F19" i="25"/>
  <c r="F20" i="25"/>
  <c r="F15" i="25"/>
  <c r="F11" i="25"/>
  <c r="F16" i="25"/>
  <c r="F12" i="25"/>
  <c r="G18" i="25" l="1"/>
  <c r="G14" i="25"/>
  <c r="C5" i="27" s="1"/>
  <c r="G19" i="25"/>
  <c r="G15" i="25"/>
  <c r="G11" i="25"/>
  <c r="G20" i="25"/>
  <c r="G16" i="25"/>
  <c r="G12" i="25"/>
  <c r="G21" i="25"/>
  <c r="G17" i="25"/>
  <c r="G13" i="25"/>
  <c r="H19" i="25"/>
  <c r="H15" i="25"/>
  <c r="H11" i="25"/>
  <c r="H20" i="25"/>
  <c r="H16" i="25"/>
  <c r="H12" i="25"/>
  <c r="H21" i="25"/>
  <c r="H17" i="25"/>
  <c r="H13" i="25"/>
  <c r="H18" i="25"/>
  <c r="H14" i="25"/>
  <c r="AD36" i="24" l="1"/>
  <c r="AF36" i="24" s="1"/>
  <c r="AH36" i="23" s="1"/>
  <c r="W36" i="24"/>
  <c r="V36" i="24"/>
  <c r="Y36" i="24" s="1"/>
  <c r="L36" i="24"/>
  <c r="AD35" i="24"/>
  <c r="AF35" i="24" s="1"/>
  <c r="AH35" i="23" s="1"/>
  <c r="W35" i="24"/>
  <c r="L35" i="24"/>
  <c r="AD34" i="24"/>
  <c r="AF34" i="24" s="1"/>
  <c r="AH34" i="23" s="1"/>
  <c r="W34" i="24"/>
  <c r="L34" i="24"/>
  <c r="AD33" i="24"/>
  <c r="AF33" i="24" s="1"/>
  <c r="AH33" i="23" s="1"/>
  <c r="W33" i="24"/>
  <c r="L33" i="24"/>
  <c r="AD32" i="24"/>
  <c r="AF32" i="24" s="1"/>
  <c r="AH32" i="23" s="1"/>
  <c r="W32" i="24"/>
  <c r="L32" i="24"/>
  <c r="AD31" i="24"/>
  <c r="AF31" i="24" s="1"/>
  <c r="AH31" i="23" s="1"/>
  <c r="W31" i="24"/>
  <c r="L31" i="24"/>
  <c r="AD30" i="24"/>
  <c r="AF30" i="24" s="1"/>
  <c r="AH30" i="23" s="1"/>
  <c r="W30" i="24"/>
  <c r="L30" i="24"/>
  <c r="AD29" i="24"/>
  <c r="AF29" i="24" s="1"/>
  <c r="AH29" i="23" s="1"/>
  <c r="W29" i="24"/>
  <c r="L29" i="24"/>
  <c r="AD28" i="24"/>
  <c r="AF28" i="24" s="1"/>
  <c r="AH28" i="23" s="1"/>
  <c r="W28" i="24"/>
  <c r="L28" i="24"/>
  <c r="AD27" i="24"/>
  <c r="AF27" i="24" s="1"/>
  <c r="AH27" i="23" s="1"/>
  <c r="C4" i="27" s="1"/>
  <c r="C6" i="27" s="1"/>
  <c r="W27" i="24"/>
  <c r="L27" i="24"/>
  <c r="AD26" i="24"/>
  <c r="AF26" i="24" s="1"/>
  <c r="AH26" i="23" s="1"/>
  <c r="W26" i="24"/>
  <c r="L26" i="24"/>
  <c r="AD25" i="24"/>
  <c r="AF25" i="24" s="1"/>
  <c r="AH25" i="23" s="1"/>
  <c r="W25" i="24"/>
  <c r="L25" i="24"/>
  <c r="AD24" i="24"/>
  <c r="AF24" i="24" s="1"/>
  <c r="AH24" i="23" s="1"/>
  <c r="W24" i="24"/>
  <c r="L24" i="24"/>
  <c r="AD23" i="24"/>
  <c r="AF23" i="24" s="1"/>
  <c r="AH23" i="23" s="1"/>
  <c r="W23" i="24"/>
  <c r="L23" i="24"/>
  <c r="AD22" i="24"/>
  <c r="AF22" i="24" s="1"/>
  <c r="AH22" i="23" s="1"/>
  <c r="W22" i="24"/>
  <c r="L22" i="24"/>
  <c r="AD21" i="24"/>
  <c r="AF21" i="24" s="1"/>
  <c r="AH21" i="23" s="1"/>
  <c r="W21" i="24"/>
  <c r="L21" i="24"/>
  <c r="H21" i="24"/>
  <c r="AD20" i="24"/>
  <c r="AF20" i="24" s="1"/>
  <c r="AH20" i="23" s="1"/>
  <c r="W20" i="24"/>
  <c r="L20" i="24"/>
  <c r="H20" i="24"/>
  <c r="AD19" i="24"/>
  <c r="AF19" i="24" s="1"/>
  <c r="AH19" i="23" s="1"/>
  <c r="W19" i="24"/>
  <c r="L19" i="24"/>
  <c r="H19" i="24"/>
  <c r="AD18" i="24"/>
  <c r="AF18" i="24" s="1"/>
  <c r="AH18" i="23" s="1"/>
  <c r="W18" i="24"/>
  <c r="L18" i="24"/>
  <c r="H18" i="24"/>
  <c r="AD17" i="24"/>
  <c r="AF17" i="24" s="1"/>
  <c r="AH17" i="23" s="1"/>
  <c r="W17" i="24"/>
  <c r="L17" i="24"/>
  <c r="H17" i="24"/>
  <c r="A17" i="24"/>
  <c r="AD16" i="24"/>
  <c r="AF16" i="24" s="1"/>
  <c r="AH16" i="23" s="1"/>
  <c r="W16" i="24"/>
  <c r="L16" i="24"/>
  <c r="H16" i="24"/>
  <c r="C16" i="24"/>
  <c r="D16" i="24" s="1"/>
  <c r="I16" i="24" s="1"/>
  <c r="B16" i="24"/>
  <c r="AD10" i="24"/>
  <c r="I9" i="24"/>
  <c r="I8" i="24"/>
  <c r="K16" i="24" s="1"/>
  <c r="B8" i="24"/>
  <c r="AD7" i="24"/>
  <c r="B5" i="24"/>
  <c r="B6" i="24" s="1"/>
  <c r="AD4" i="24"/>
  <c r="I2" i="24"/>
  <c r="B2" i="24"/>
  <c r="B3" i="24" s="1"/>
  <c r="AD36" i="23"/>
  <c r="AF36" i="23" s="1"/>
  <c r="AG36" i="23" s="1"/>
  <c r="W36" i="23"/>
  <c r="V36" i="23"/>
  <c r="V35" i="23" s="1"/>
  <c r="V34" i="23" s="1"/>
  <c r="Y34" i="23" s="1"/>
  <c r="L36" i="23"/>
  <c r="AD35" i="23"/>
  <c r="AF35" i="23" s="1"/>
  <c r="AG35" i="23" s="1"/>
  <c r="W35" i="23"/>
  <c r="L35" i="23"/>
  <c r="AD34" i="23"/>
  <c r="AF34" i="23" s="1"/>
  <c r="AG34" i="23" s="1"/>
  <c r="W34" i="23"/>
  <c r="L34" i="23"/>
  <c r="AD33" i="23"/>
  <c r="W33" i="23"/>
  <c r="L33" i="23"/>
  <c r="AD32" i="23"/>
  <c r="W32" i="23"/>
  <c r="L32" i="23"/>
  <c r="AD31" i="23"/>
  <c r="AF31" i="23" s="1"/>
  <c r="AG31" i="23" s="1"/>
  <c r="W31" i="23"/>
  <c r="L31" i="23"/>
  <c r="AD30" i="23"/>
  <c r="AF30" i="23" s="1"/>
  <c r="AG30" i="23" s="1"/>
  <c r="W30" i="23"/>
  <c r="L30" i="23"/>
  <c r="AD29" i="23"/>
  <c r="W29" i="23"/>
  <c r="L29" i="23"/>
  <c r="AD28" i="23"/>
  <c r="AF28" i="23" s="1"/>
  <c r="AG28" i="23" s="1"/>
  <c r="W28" i="23"/>
  <c r="L28" i="23"/>
  <c r="AD27" i="23"/>
  <c r="AF27" i="23" s="1"/>
  <c r="AG27" i="23" s="1"/>
  <c r="W27" i="23"/>
  <c r="L27" i="23"/>
  <c r="AD26" i="23"/>
  <c r="W26" i="23"/>
  <c r="L26" i="23"/>
  <c r="AD25" i="23"/>
  <c r="W25" i="23"/>
  <c r="L25" i="23"/>
  <c r="AD24" i="23"/>
  <c r="W24" i="23"/>
  <c r="L24" i="23"/>
  <c r="AD23" i="23"/>
  <c r="AF23" i="23" s="1"/>
  <c r="AG23" i="23" s="1"/>
  <c r="W23" i="23"/>
  <c r="L23" i="23"/>
  <c r="AD22" i="23"/>
  <c r="W22" i="23"/>
  <c r="L22" i="23"/>
  <c r="AD21" i="23"/>
  <c r="AF21" i="23" s="1"/>
  <c r="AG21" i="23" s="1"/>
  <c r="W21" i="23"/>
  <c r="L21" i="23"/>
  <c r="H21" i="23"/>
  <c r="AD20" i="23"/>
  <c r="AF20" i="23" s="1"/>
  <c r="AG20" i="23" s="1"/>
  <c r="W20" i="23"/>
  <c r="L20" i="23"/>
  <c r="H20" i="23"/>
  <c r="AD19" i="23"/>
  <c r="W19" i="23"/>
  <c r="L19" i="23"/>
  <c r="H19" i="23"/>
  <c r="AD18" i="23"/>
  <c r="AF18" i="23" s="1"/>
  <c r="AG18" i="23" s="1"/>
  <c r="W18" i="23"/>
  <c r="L18" i="23"/>
  <c r="H18" i="23"/>
  <c r="AD17" i="23"/>
  <c r="AF17" i="23" s="1"/>
  <c r="AG17" i="23" s="1"/>
  <c r="W17" i="23"/>
  <c r="L17" i="23"/>
  <c r="H17" i="23"/>
  <c r="A17" i="23"/>
  <c r="AD16" i="23"/>
  <c r="W16" i="23"/>
  <c r="L16" i="23"/>
  <c r="H16" i="23"/>
  <c r="C16" i="23"/>
  <c r="D16" i="23" s="1"/>
  <c r="I16" i="23" s="1"/>
  <c r="B16" i="23"/>
  <c r="AD10" i="23"/>
  <c r="I9" i="23"/>
  <c r="I8" i="23"/>
  <c r="K33" i="23" s="1"/>
  <c r="B8" i="23"/>
  <c r="AD7" i="23"/>
  <c r="B5" i="23"/>
  <c r="B6" i="23" s="1"/>
  <c r="AD4" i="23"/>
  <c r="I2" i="23"/>
  <c r="B2" i="23"/>
  <c r="B3" i="23" s="1"/>
  <c r="Q26" i="23" l="1"/>
  <c r="Q30" i="23"/>
  <c r="Q28" i="23"/>
  <c r="Q27" i="23"/>
  <c r="Q20" i="23"/>
  <c r="Q17" i="23"/>
  <c r="Q16" i="23"/>
  <c r="G17" i="23"/>
  <c r="C17" i="23"/>
  <c r="D17" i="23" s="1"/>
  <c r="Q26" i="24"/>
  <c r="Q35" i="24"/>
  <c r="Q32" i="24"/>
  <c r="P33" i="24"/>
  <c r="G17" i="24"/>
  <c r="A18" i="24"/>
  <c r="G18" i="24" s="1"/>
  <c r="C17" i="24"/>
  <c r="D17" i="24" s="1"/>
  <c r="B17" i="24"/>
  <c r="M17" i="24" s="1"/>
  <c r="O17" i="24"/>
  <c r="O18" i="24"/>
  <c r="O19" i="24"/>
  <c r="J16" i="24"/>
  <c r="O16" i="24"/>
  <c r="O20" i="24"/>
  <c r="O21" i="24"/>
  <c r="D4" i="27"/>
  <c r="C27" i="27"/>
  <c r="C25" i="27"/>
  <c r="C28" i="27" s="1"/>
  <c r="D5" i="27"/>
  <c r="D15" i="27"/>
  <c r="D16" i="27" s="1"/>
  <c r="D17" i="27" s="1"/>
  <c r="C15" i="27"/>
  <c r="C16" i="27" s="1"/>
  <c r="C17" i="27" s="1"/>
  <c r="X36" i="24"/>
  <c r="X21" i="24"/>
  <c r="AF32" i="23"/>
  <c r="AG32" i="23" s="1"/>
  <c r="AF19" i="23"/>
  <c r="AG19" i="23" s="1"/>
  <c r="K29" i="24"/>
  <c r="K33" i="24"/>
  <c r="Q18" i="23"/>
  <c r="Q21" i="23"/>
  <c r="AF25" i="23"/>
  <c r="AG25" i="23" s="1"/>
  <c r="AF29" i="23"/>
  <c r="AG29" i="23" s="1"/>
  <c r="AF33" i="23"/>
  <c r="AG33" i="23" s="1"/>
  <c r="Y35" i="23"/>
  <c r="Q31" i="24"/>
  <c r="P20" i="24"/>
  <c r="AF16" i="23"/>
  <c r="AG16" i="23" s="1"/>
  <c r="K25" i="24"/>
  <c r="O19" i="23"/>
  <c r="O20" i="23"/>
  <c r="O21" i="23"/>
  <c r="O16" i="23"/>
  <c r="J16" i="23"/>
  <c r="O17" i="23"/>
  <c r="O18" i="23"/>
  <c r="B17" i="23"/>
  <c r="A18" i="23"/>
  <c r="G18" i="23" s="1"/>
  <c r="AF26" i="23"/>
  <c r="AG26" i="23" s="1"/>
  <c r="I17" i="24"/>
  <c r="J17" i="24" s="1"/>
  <c r="K19" i="24"/>
  <c r="K30" i="24"/>
  <c r="AF24" i="23"/>
  <c r="AG24" i="23" s="1"/>
  <c r="AF22" i="23"/>
  <c r="AG22" i="23" s="1"/>
  <c r="V33" i="23"/>
  <c r="Y33" i="23" s="1"/>
  <c r="Z34" i="23" s="1"/>
  <c r="Q35" i="23"/>
  <c r="Y36" i="23"/>
  <c r="K18" i="24"/>
  <c r="A19" i="24"/>
  <c r="Q20" i="24"/>
  <c r="Q21" i="24"/>
  <c r="X22" i="24"/>
  <c r="Q24" i="24"/>
  <c r="X26" i="24"/>
  <c r="P29" i="24"/>
  <c r="K36" i="24"/>
  <c r="K32" i="24"/>
  <c r="K28" i="24"/>
  <c r="K35" i="24"/>
  <c r="K31" i="24"/>
  <c r="K27" i="24"/>
  <c r="K26" i="24"/>
  <c r="K24" i="24"/>
  <c r="K20" i="24"/>
  <c r="K23" i="24"/>
  <c r="K22" i="24"/>
  <c r="K21" i="24"/>
  <c r="K17" i="24"/>
  <c r="P16" i="24"/>
  <c r="P17" i="24"/>
  <c r="X17" i="24"/>
  <c r="Q22" i="24"/>
  <c r="X23" i="24"/>
  <c r="P28" i="24"/>
  <c r="C18" i="24"/>
  <c r="D18" i="24" s="1"/>
  <c r="I18" i="24" s="1"/>
  <c r="J18" i="24" s="1"/>
  <c r="B18" i="24"/>
  <c r="M18" i="24" s="1"/>
  <c r="Q34" i="24"/>
  <c r="Q30" i="24"/>
  <c r="Q33" i="24"/>
  <c r="Q29" i="24"/>
  <c r="Q25" i="24"/>
  <c r="Q27" i="24"/>
  <c r="Q18" i="24"/>
  <c r="Q19" i="24"/>
  <c r="Q16" i="24"/>
  <c r="Q36" i="24"/>
  <c r="X34" i="24"/>
  <c r="X30" i="24"/>
  <c r="X33" i="24"/>
  <c r="X29" i="24"/>
  <c r="X25" i="24"/>
  <c r="X35" i="24"/>
  <c r="X32" i="24"/>
  <c r="X31" i="24"/>
  <c r="X28" i="24"/>
  <c r="X24" i="24"/>
  <c r="X18" i="24"/>
  <c r="X27" i="24"/>
  <c r="X19" i="24"/>
  <c r="X16" i="24"/>
  <c r="AA16" i="24" s="1"/>
  <c r="P35" i="24"/>
  <c r="P31" i="24"/>
  <c r="P34" i="24"/>
  <c r="P30" i="24"/>
  <c r="P26" i="24"/>
  <c r="P24" i="24"/>
  <c r="P23" i="24"/>
  <c r="P22" i="24"/>
  <c r="P21" i="24"/>
  <c r="P27" i="24"/>
  <c r="P18" i="24"/>
  <c r="Q17" i="24"/>
  <c r="P19" i="24"/>
  <c r="S19" i="24" s="1"/>
  <c r="AC19" i="24" s="1"/>
  <c r="X20" i="24"/>
  <c r="Q23" i="24"/>
  <c r="P25" i="24"/>
  <c r="Q28" i="24"/>
  <c r="P32" i="24"/>
  <c r="K34" i="24"/>
  <c r="P36" i="24"/>
  <c r="M16" i="24"/>
  <c r="N16" i="24" s="1"/>
  <c r="V35" i="24"/>
  <c r="X36" i="23"/>
  <c r="X32" i="23"/>
  <c r="X33" i="23"/>
  <c r="X29" i="23"/>
  <c r="X25" i="23"/>
  <c r="X30" i="23"/>
  <c r="X27" i="23"/>
  <c r="X22" i="23"/>
  <c r="X19" i="23"/>
  <c r="X31" i="23"/>
  <c r="X28" i="23"/>
  <c r="X17" i="23"/>
  <c r="X16" i="23"/>
  <c r="AA16" i="23" s="1"/>
  <c r="X35" i="23"/>
  <c r="X21" i="23"/>
  <c r="X26" i="23"/>
  <c r="X24" i="23"/>
  <c r="X20" i="23"/>
  <c r="X18" i="23"/>
  <c r="X34" i="23"/>
  <c r="AA34" i="23" s="1"/>
  <c r="X23" i="23"/>
  <c r="I17" i="23"/>
  <c r="P35" i="23"/>
  <c r="P31" i="23"/>
  <c r="P36" i="23"/>
  <c r="P32" i="23"/>
  <c r="P28" i="23"/>
  <c r="P24" i="23"/>
  <c r="P33" i="23"/>
  <c r="P27" i="23"/>
  <c r="P20" i="23"/>
  <c r="P34" i="23"/>
  <c r="K16" i="23"/>
  <c r="K17" i="23"/>
  <c r="P23" i="23"/>
  <c r="K24" i="23"/>
  <c r="Q24" i="23"/>
  <c r="K26" i="23"/>
  <c r="K34" i="23"/>
  <c r="K30" i="23"/>
  <c r="K35" i="23"/>
  <c r="K31" i="23"/>
  <c r="K27" i="23"/>
  <c r="K32" i="23"/>
  <c r="K23" i="23"/>
  <c r="K21" i="23"/>
  <c r="K19" i="23"/>
  <c r="P19" i="23"/>
  <c r="K25" i="23"/>
  <c r="P26" i="23"/>
  <c r="K28" i="23"/>
  <c r="K29" i="23"/>
  <c r="Q36" i="23"/>
  <c r="Q32" i="23"/>
  <c r="Q33" i="23"/>
  <c r="Q29" i="23"/>
  <c r="Q25" i="23"/>
  <c r="Q34" i="23"/>
  <c r="Q31" i="23"/>
  <c r="Q22" i="23"/>
  <c r="Q19" i="23"/>
  <c r="P16" i="23"/>
  <c r="P17" i="23"/>
  <c r="S17" i="23" s="1"/>
  <c r="AC17" i="23" s="1"/>
  <c r="K18" i="23"/>
  <c r="P21" i="23"/>
  <c r="Q23" i="23"/>
  <c r="V32" i="23"/>
  <c r="K36" i="23"/>
  <c r="M16" i="23"/>
  <c r="M17" i="23"/>
  <c r="P18" i="23"/>
  <c r="K20" i="23"/>
  <c r="K22" i="23"/>
  <c r="P22" i="23"/>
  <c r="P25" i="23"/>
  <c r="P29" i="23"/>
  <c r="P30" i="23"/>
  <c r="Z35" i="23"/>
  <c r="N17" i="24" l="1"/>
  <c r="S20" i="24"/>
  <c r="AC20" i="24" s="1"/>
  <c r="S21" i="24"/>
  <c r="AC21" i="24" s="1"/>
  <c r="N18" i="24"/>
  <c r="AA35" i="23"/>
  <c r="A19" i="23"/>
  <c r="C18" i="23"/>
  <c r="D18" i="23" s="1"/>
  <c r="I18" i="23" s="1"/>
  <c r="B18" i="23"/>
  <c r="M18" i="23" s="1"/>
  <c r="J17" i="23"/>
  <c r="N17" i="23" s="1"/>
  <c r="AB17" i="23" s="1"/>
  <c r="Z36" i="23"/>
  <c r="AA36" i="23" s="1"/>
  <c r="AB18" i="24"/>
  <c r="AE18" i="24"/>
  <c r="AE16" i="24"/>
  <c r="AB16" i="24"/>
  <c r="S17" i="24"/>
  <c r="AC17" i="24" s="1"/>
  <c r="A20" i="24"/>
  <c r="C19" i="24"/>
  <c r="D19" i="24" s="1"/>
  <c r="G19" i="24"/>
  <c r="B19" i="24"/>
  <c r="M19" i="24" s="1"/>
  <c r="V34" i="24"/>
  <c r="Y35" i="24"/>
  <c r="Z36" i="24" s="1"/>
  <c r="AA36" i="24" s="1"/>
  <c r="AE17" i="24"/>
  <c r="AB17" i="24"/>
  <c r="S18" i="24"/>
  <c r="AC18" i="24" s="1"/>
  <c r="S16" i="24"/>
  <c r="AC16" i="24" s="1"/>
  <c r="AE17" i="23"/>
  <c r="V31" i="23"/>
  <c r="Y32" i="23"/>
  <c r="Z33" i="23" s="1"/>
  <c r="AA33" i="23" s="1"/>
  <c r="N16" i="23"/>
  <c r="S18" i="23"/>
  <c r="AC18" i="23" s="1"/>
  <c r="S19" i="23"/>
  <c r="AC19" i="23" s="1"/>
  <c r="S16" i="23"/>
  <c r="AC16" i="23" s="1"/>
  <c r="S20" i="23"/>
  <c r="AC20" i="23" s="1"/>
  <c r="S21" i="23"/>
  <c r="AC21" i="23" s="1"/>
  <c r="J18" i="23" l="1"/>
  <c r="N18" i="23" s="1"/>
  <c r="G19" i="23"/>
  <c r="A20" i="23"/>
  <c r="C19" i="23"/>
  <c r="D19" i="23" s="1"/>
  <c r="B19" i="23"/>
  <c r="M19" i="23" s="1"/>
  <c r="I19" i="24"/>
  <c r="Y34" i="24"/>
  <c r="Z35" i="24" s="1"/>
  <c r="AA35" i="24" s="1"/>
  <c r="V33" i="24"/>
  <c r="G20" i="24"/>
  <c r="A21" i="24"/>
  <c r="C20" i="24"/>
  <c r="D20" i="24" s="1"/>
  <c r="B20" i="24"/>
  <c r="M20" i="24" s="1"/>
  <c r="V30" i="23"/>
  <c r="Y31" i="23"/>
  <c r="Z32" i="23" s="1"/>
  <c r="AA32" i="23" s="1"/>
  <c r="AB16" i="23"/>
  <c r="AE16" i="23"/>
  <c r="AE18" i="23" l="1"/>
  <c r="AB18" i="23"/>
  <c r="J19" i="24"/>
  <c r="N19" i="24" s="1"/>
  <c r="I19" i="23"/>
  <c r="C20" i="23"/>
  <c r="D20" i="23" s="1"/>
  <c r="A21" i="23"/>
  <c r="G20" i="23"/>
  <c r="B20" i="23"/>
  <c r="M20" i="23" s="1"/>
  <c r="B21" i="24"/>
  <c r="M21" i="24" s="1"/>
  <c r="G21" i="24"/>
  <c r="A22" i="24"/>
  <c r="C21" i="24"/>
  <c r="D21" i="24" s="1"/>
  <c r="Y33" i="24"/>
  <c r="Z34" i="24" s="1"/>
  <c r="AA34" i="24" s="1"/>
  <c r="V32" i="24"/>
  <c r="I20" i="24"/>
  <c r="Y30" i="23"/>
  <c r="Z31" i="23" s="1"/>
  <c r="AA31" i="23" s="1"/>
  <c r="V29" i="23"/>
  <c r="AE19" i="24" l="1"/>
  <c r="AB19" i="24"/>
  <c r="I20" i="23"/>
  <c r="J19" i="23"/>
  <c r="N19" i="23" s="1"/>
  <c r="J20" i="24"/>
  <c r="N20" i="24" s="1"/>
  <c r="C21" i="23"/>
  <c r="D21" i="23" s="1"/>
  <c r="B21" i="23"/>
  <c r="M21" i="23" s="1"/>
  <c r="A22" i="23"/>
  <c r="G21" i="23"/>
  <c r="Y32" i="24"/>
  <c r="Z33" i="24" s="1"/>
  <c r="AA33" i="24" s="1"/>
  <c r="V31" i="24"/>
  <c r="I21" i="24"/>
  <c r="C22" i="24"/>
  <c r="D22" i="24" s="1"/>
  <c r="G22" i="24"/>
  <c r="B22" i="24"/>
  <c r="M22" i="24" s="1"/>
  <c r="A23" i="24"/>
  <c r="F22" i="24"/>
  <c r="H22" i="24" s="1"/>
  <c r="Y29" i="23"/>
  <c r="Z30" i="23" s="1"/>
  <c r="AA30" i="23" s="1"/>
  <c r="V28" i="23"/>
  <c r="I21" i="23" l="1"/>
  <c r="AB20" i="24"/>
  <c r="AE20" i="24"/>
  <c r="AB19" i="23"/>
  <c r="AE19" i="23"/>
  <c r="J21" i="23"/>
  <c r="N21" i="23" s="1"/>
  <c r="J21" i="24"/>
  <c r="N21" i="24" s="1"/>
  <c r="O22" i="24"/>
  <c r="S22" i="24" s="1"/>
  <c r="AC22" i="24" s="1"/>
  <c r="J20" i="23"/>
  <c r="N20" i="23" s="1"/>
  <c r="C22" i="23"/>
  <c r="D22" i="23" s="1"/>
  <c r="G22" i="23"/>
  <c r="B22" i="23"/>
  <c r="M22" i="23" s="1"/>
  <c r="F22" i="23"/>
  <c r="H22" i="23" s="1"/>
  <c r="A23" i="23"/>
  <c r="I22" i="24"/>
  <c r="Y31" i="24"/>
  <c r="Z32" i="24" s="1"/>
  <c r="AA32" i="24" s="1"/>
  <c r="V30" i="24"/>
  <c r="A24" i="24"/>
  <c r="C23" i="24"/>
  <c r="D23" i="24" s="1"/>
  <c r="G23" i="24"/>
  <c r="B23" i="24"/>
  <c r="M23" i="24" s="1"/>
  <c r="F23" i="24"/>
  <c r="H23" i="24" s="1"/>
  <c r="V27" i="23"/>
  <c r="Y28" i="23"/>
  <c r="Z29" i="23" s="1"/>
  <c r="AA29" i="23" s="1"/>
  <c r="AE21" i="24" l="1"/>
  <c r="AB21" i="24"/>
  <c r="AE21" i="23"/>
  <c r="AB21" i="23"/>
  <c r="O22" i="23"/>
  <c r="S22" i="23" s="1"/>
  <c r="AC22" i="23" s="1"/>
  <c r="I22" i="23"/>
  <c r="AE20" i="23"/>
  <c r="AB20" i="23"/>
  <c r="J22" i="24"/>
  <c r="N22" i="24" s="1"/>
  <c r="O23" i="24"/>
  <c r="S23" i="24" s="1"/>
  <c r="AC23" i="24" s="1"/>
  <c r="G23" i="23"/>
  <c r="B23" i="23"/>
  <c r="M23" i="23" s="1"/>
  <c r="A24" i="23"/>
  <c r="F23" i="23"/>
  <c r="H23" i="23" s="1"/>
  <c r="C23" i="23"/>
  <c r="D23" i="23" s="1"/>
  <c r="I23" i="24"/>
  <c r="AE22" i="24"/>
  <c r="AB22" i="24"/>
  <c r="A25" i="24"/>
  <c r="F24" i="24"/>
  <c r="H24" i="24" s="1"/>
  <c r="C24" i="24"/>
  <c r="D24" i="24" s="1"/>
  <c r="G24" i="24"/>
  <c r="B24" i="24"/>
  <c r="M24" i="24" s="1"/>
  <c r="Y30" i="24"/>
  <c r="Z31" i="24" s="1"/>
  <c r="AA31" i="24" s="1"/>
  <c r="V29" i="24"/>
  <c r="Y27" i="23"/>
  <c r="Z28" i="23" s="1"/>
  <c r="AA28" i="23" s="1"/>
  <c r="V26" i="23"/>
  <c r="O24" i="24" l="1"/>
  <c r="S24" i="24" s="1"/>
  <c r="AC24" i="24" s="1"/>
  <c r="J22" i="23"/>
  <c r="N22" i="23" s="1"/>
  <c r="J23" i="24"/>
  <c r="N23" i="24" s="1"/>
  <c r="I23" i="23"/>
  <c r="J23" i="23" s="1"/>
  <c r="N23" i="23" s="1"/>
  <c r="A25" i="23"/>
  <c r="C24" i="23"/>
  <c r="D24" i="23" s="1"/>
  <c r="G24" i="23"/>
  <c r="B24" i="23"/>
  <c r="M24" i="23" s="1"/>
  <c r="F24" i="23"/>
  <c r="H24" i="23" s="1"/>
  <c r="O23" i="23"/>
  <c r="S23" i="23" s="1"/>
  <c r="AC23" i="23" s="1"/>
  <c r="Y29" i="24"/>
  <c r="Z30" i="24" s="1"/>
  <c r="AA30" i="24" s="1"/>
  <c r="V28" i="24"/>
  <c r="I24" i="24"/>
  <c r="A26" i="24"/>
  <c r="C25" i="24"/>
  <c r="G25" i="24"/>
  <c r="B25" i="24"/>
  <c r="M25" i="24" s="1"/>
  <c r="F25" i="24"/>
  <c r="Y26" i="23"/>
  <c r="Z27" i="23" s="1"/>
  <c r="AA27" i="23" s="1"/>
  <c r="V25" i="23"/>
  <c r="AE23" i="24" l="1"/>
  <c r="AB23" i="24"/>
  <c r="AB22" i="23"/>
  <c r="AE22" i="23"/>
  <c r="AE23" i="23"/>
  <c r="AB23" i="23"/>
  <c r="O24" i="23"/>
  <c r="S24" i="23" s="1"/>
  <c r="AC24" i="23" s="1"/>
  <c r="B25" i="23"/>
  <c r="M25" i="23" s="1"/>
  <c r="G25" i="23"/>
  <c r="A26" i="23"/>
  <c r="F25" i="23"/>
  <c r="C25" i="23"/>
  <c r="J24" i="24"/>
  <c r="N24" i="24" s="1"/>
  <c r="I24" i="23"/>
  <c r="E25" i="24"/>
  <c r="H25" i="24" s="1"/>
  <c r="D25" i="24"/>
  <c r="I25" i="24" s="1"/>
  <c r="A27" i="24"/>
  <c r="F26" i="24"/>
  <c r="G26" i="24"/>
  <c r="C26" i="24"/>
  <c r="B26" i="24"/>
  <c r="M26" i="24" s="1"/>
  <c r="Y28" i="24"/>
  <c r="Z29" i="24" s="1"/>
  <c r="AA29" i="24" s="1"/>
  <c r="V27" i="24"/>
  <c r="V24" i="23"/>
  <c r="Y25" i="23"/>
  <c r="Z26" i="23" s="1"/>
  <c r="AA26" i="23" s="1"/>
  <c r="AB24" i="24" l="1"/>
  <c r="AE24" i="24"/>
  <c r="E25" i="23"/>
  <c r="H25" i="23" s="1"/>
  <c r="D25" i="23"/>
  <c r="I25" i="23" s="1"/>
  <c r="J24" i="23"/>
  <c r="N24" i="23" s="1"/>
  <c r="C26" i="23"/>
  <c r="F26" i="23"/>
  <c r="G26" i="23"/>
  <c r="B26" i="23"/>
  <c r="M26" i="23" s="1"/>
  <c r="A27" i="23"/>
  <c r="J25" i="24"/>
  <c r="N25" i="24" s="1"/>
  <c r="O25" i="24"/>
  <c r="S25" i="24" s="1"/>
  <c r="AC25" i="24" s="1"/>
  <c r="Y27" i="24"/>
  <c r="Z28" i="24" s="1"/>
  <c r="AA28" i="24" s="1"/>
  <c r="V26" i="24"/>
  <c r="G27" i="24"/>
  <c r="C27" i="24"/>
  <c r="F27" i="24"/>
  <c r="A28" i="24"/>
  <c r="B27" i="24"/>
  <c r="M27" i="24" s="1"/>
  <c r="D26" i="24"/>
  <c r="I26" i="24" s="1"/>
  <c r="E26" i="24"/>
  <c r="H26" i="24" s="1"/>
  <c r="V23" i="23"/>
  <c r="Y24" i="23"/>
  <c r="Z25" i="23" s="1"/>
  <c r="AA25" i="23" s="1"/>
  <c r="AB24" i="23" l="1"/>
  <c r="AE24" i="23"/>
  <c r="AB25" i="24"/>
  <c r="AE25" i="24"/>
  <c r="J25" i="23"/>
  <c r="N25" i="23" s="1"/>
  <c r="G27" i="23"/>
  <c r="F27" i="23"/>
  <c r="C27" i="23"/>
  <c r="A28" i="23"/>
  <c r="B27" i="23"/>
  <c r="M27" i="23" s="1"/>
  <c r="O25" i="23"/>
  <c r="S25" i="23" s="1"/>
  <c r="AC25" i="23" s="1"/>
  <c r="E26" i="23"/>
  <c r="H26" i="23" s="1"/>
  <c r="D26" i="23"/>
  <c r="I26" i="23" s="1"/>
  <c r="O26" i="24"/>
  <c r="S26" i="24" s="1"/>
  <c r="AC26" i="24" s="1"/>
  <c r="J26" i="24"/>
  <c r="N26" i="24" s="1"/>
  <c r="E27" i="24"/>
  <c r="H27" i="24" s="1"/>
  <c r="D27" i="24"/>
  <c r="I27" i="24" s="1"/>
  <c r="V25" i="24"/>
  <c r="Y26" i="24"/>
  <c r="Z27" i="24" s="1"/>
  <c r="AA27" i="24" s="1"/>
  <c r="G28" i="24"/>
  <c r="C28" i="24"/>
  <c r="A29" i="24"/>
  <c r="F28" i="24"/>
  <c r="B28" i="24"/>
  <c r="M28" i="24" s="1"/>
  <c r="Y23" i="23"/>
  <c r="Z24" i="23" s="1"/>
  <c r="AA24" i="23" s="1"/>
  <c r="V22" i="23"/>
  <c r="AB26" i="24" l="1"/>
  <c r="AE26" i="24"/>
  <c r="AE25" i="23"/>
  <c r="AB25" i="23"/>
  <c r="J27" i="24"/>
  <c r="N27" i="24" s="1"/>
  <c r="O27" i="24"/>
  <c r="S27" i="24" s="1"/>
  <c r="AC27" i="24" s="1"/>
  <c r="O26" i="23"/>
  <c r="S26" i="23" s="1"/>
  <c r="AC26" i="23" s="1"/>
  <c r="A29" i="23"/>
  <c r="C28" i="23"/>
  <c r="B28" i="23"/>
  <c r="M28" i="23" s="1"/>
  <c r="F28" i="23"/>
  <c r="G28" i="23"/>
  <c r="J26" i="23"/>
  <c r="N26" i="23" s="1"/>
  <c r="E27" i="23"/>
  <c r="H27" i="23" s="1"/>
  <c r="D27" i="23"/>
  <c r="I27" i="23" s="1"/>
  <c r="A30" i="24"/>
  <c r="F29" i="24"/>
  <c r="B29" i="24"/>
  <c r="M29" i="24" s="1"/>
  <c r="G29" i="24"/>
  <c r="C29" i="24"/>
  <c r="V24" i="24"/>
  <c r="Y25" i="24"/>
  <c r="Z26" i="24" s="1"/>
  <c r="AA26" i="24" s="1"/>
  <c r="E28" i="24"/>
  <c r="H28" i="24" s="1"/>
  <c r="D28" i="24"/>
  <c r="I28" i="24" s="1"/>
  <c r="V21" i="23"/>
  <c r="Y22" i="23"/>
  <c r="Z23" i="23" s="1"/>
  <c r="AA23" i="23" s="1"/>
  <c r="AE27" i="24" l="1"/>
  <c r="AB27" i="24"/>
  <c r="AB26" i="23"/>
  <c r="AE26" i="23"/>
  <c r="O28" i="24"/>
  <c r="S28" i="24" s="1"/>
  <c r="AC28" i="24" s="1"/>
  <c r="J27" i="23"/>
  <c r="N27" i="23" s="1"/>
  <c r="F29" i="23"/>
  <c r="C29" i="23"/>
  <c r="A30" i="23"/>
  <c r="G29" i="23"/>
  <c r="B29" i="23"/>
  <c r="M29" i="23" s="1"/>
  <c r="J28" i="24"/>
  <c r="N28" i="24" s="1"/>
  <c r="O27" i="23"/>
  <c r="S27" i="23" s="1"/>
  <c r="AC27" i="23" s="1"/>
  <c r="D28" i="23"/>
  <c r="I28" i="23" s="1"/>
  <c r="E28" i="23"/>
  <c r="H28" i="23" s="1"/>
  <c r="Y24" i="24"/>
  <c r="Z25" i="24" s="1"/>
  <c r="AA25" i="24" s="1"/>
  <c r="V23" i="24"/>
  <c r="E29" i="24"/>
  <c r="H29" i="24" s="1"/>
  <c r="D29" i="24"/>
  <c r="I29" i="24" s="1"/>
  <c r="A31" i="24"/>
  <c r="B30" i="24"/>
  <c r="M30" i="24" s="1"/>
  <c r="G30" i="24"/>
  <c r="F30" i="24"/>
  <c r="C30" i="24"/>
  <c r="Y21" i="23"/>
  <c r="Z22" i="23" s="1"/>
  <c r="AA22" i="23" s="1"/>
  <c r="V20" i="23"/>
  <c r="AE27" i="23" l="1"/>
  <c r="AB27" i="23"/>
  <c r="AE28" i="24"/>
  <c r="AB28" i="24"/>
  <c r="O29" i="24"/>
  <c r="S29" i="24" s="1"/>
  <c r="AC29" i="24" s="1"/>
  <c r="O28" i="23"/>
  <c r="S28" i="23" s="1"/>
  <c r="AC28" i="23" s="1"/>
  <c r="F30" i="23"/>
  <c r="A31" i="23"/>
  <c r="C30" i="23"/>
  <c r="B30" i="23"/>
  <c r="M30" i="23" s="1"/>
  <c r="G30" i="23"/>
  <c r="J28" i="23"/>
  <c r="N28" i="23" s="1"/>
  <c r="E29" i="23"/>
  <c r="H29" i="23" s="1"/>
  <c r="D29" i="23"/>
  <c r="I29" i="23" s="1"/>
  <c r="J29" i="24"/>
  <c r="N29" i="24" s="1"/>
  <c r="E30" i="24"/>
  <c r="H30" i="24" s="1"/>
  <c r="D30" i="24"/>
  <c r="I30" i="24" s="1"/>
  <c r="G31" i="24"/>
  <c r="C31" i="24"/>
  <c r="F31" i="24"/>
  <c r="A32" i="24"/>
  <c r="B31" i="24"/>
  <c r="M31" i="24" s="1"/>
  <c r="V22" i="24"/>
  <c r="Y23" i="24"/>
  <c r="Z24" i="24" s="1"/>
  <c r="AA24" i="24" s="1"/>
  <c r="V19" i="23"/>
  <c r="Y20" i="23"/>
  <c r="Z21" i="23" s="1"/>
  <c r="AA21" i="23" s="1"/>
  <c r="AB29" i="24" l="1"/>
  <c r="AE29" i="24"/>
  <c r="AB28" i="23"/>
  <c r="AE28" i="23"/>
  <c r="O29" i="23"/>
  <c r="S29" i="23" s="1"/>
  <c r="AC29" i="23" s="1"/>
  <c r="J30" i="24"/>
  <c r="N30" i="24" s="1"/>
  <c r="E30" i="23"/>
  <c r="H30" i="23" s="1"/>
  <c r="D30" i="23"/>
  <c r="I30" i="23" s="1"/>
  <c r="O30" i="24"/>
  <c r="S30" i="24" s="1"/>
  <c r="AC30" i="24" s="1"/>
  <c r="F31" i="23"/>
  <c r="B31" i="23"/>
  <c r="M31" i="23" s="1"/>
  <c r="A32" i="23"/>
  <c r="G31" i="23"/>
  <c r="C31" i="23"/>
  <c r="J29" i="23"/>
  <c r="N29" i="23" s="1"/>
  <c r="V21" i="24"/>
  <c r="Y22" i="24"/>
  <c r="Z23" i="24" s="1"/>
  <c r="AA23" i="24" s="1"/>
  <c r="G32" i="24"/>
  <c r="C32" i="24"/>
  <c r="A33" i="24"/>
  <c r="F32" i="24"/>
  <c r="B32" i="24"/>
  <c r="M32" i="24" s="1"/>
  <c r="D31" i="24"/>
  <c r="I31" i="24" s="1"/>
  <c r="E31" i="24"/>
  <c r="H31" i="24" s="1"/>
  <c r="V18" i="23"/>
  <c r="Y19" i="23"/>
  <c r="Z20" i="23" s="1"/>
  <c r="AA20" i="23" s="1"/>
  <c r="AE29" i="23" l="1"/>
  <c r="AB29" i="23"/>
  <c r="AB30" i="24"/>
  <c r="AE30" i="24"/>
  <c r="O31" i="24"/>
  <c r="S31" i="24" s="1"/>
  <c r="AC31" i="24" s="1"/>
  <c r="B32" i="23"/>
  <c r="M32" i="23" s="1"/>
  <c r="G32" i="23"/>
  <c r="F32" i="23"/>
  <c r="A33" i="23"/>
  <c r="C32" i="23"/>
  <c r="J30" i="23"/>
  <c r="N30" i="23" s="1"/>
  <c r="J31" i="24"/>
  <c r="N31" i="24" s="1"/>
  <c r="D31" i="23"/>
  <c r="I31" i="23" s="1"/>
  <c r="E31" i="23"/>
  <c r="H31" i="23" s="1"/>
  <c r="O30" i="23"/>
  <c r="S30" i="23" s="1"/>
  <c r="AC30" i="23" s="1"/>
  <c r="A34" i="24"/>
  <c r="F33" i="24"/>
  <c r="B33" i="24"/>
  <c r="M33" i="24" s="1"/>
  <c r="G33" i="24"/>
  <c r="C33" i="24"/>
  <c r="V20" i="24"/>
  <c r="Y21" i="24"/>
  <c r="Z22" i="24" s="1"/>
  <c r="AA22" i="24" s="1"/>
  <c r="E32" i="24"/>
  <c r="H32" i="24" s="1"/>
  <c r="D32" i="24"/>
  <c r="I32" i="24" s="1"/>
  <c r="Y18" i="23"/>
  <c r="Z19" i="23" s="1"/>
  <c r="AA19" i="23" s="1"/>
  <c r="V17" i="23"/>
  <c r="AE31" i="24" l="1"/>
  <c r="AB31" i="24"/>
  <c r="AB30" i="23"/>
  <c r="AE30" i="23"/>
  <c r="J32" i="24"/>
  <c r="N32" i="24" s="1"/>
  <c r="J31" i="23"/>
  <c r="N31" i="23" s="1"/>
  <c r="O32" i="24"/>
  <c r="S32" i="24" s="1"/>
  <c r="AC32" i="24" s="1"/>
  <c r="E32" i="23"/>
  <c r="H32" i="23" s="1"/>
  <c r="D32" i="23"/>
  <c r="I32" i="23" s="1"/>
  <c r="B33" i="23"/>
  <c r="M33" i="23" s="1"/>
  <c r="A34" i="23"/>
  <c r="F33" i="23"/>
  <c r="G33" i="23"/>
  <c r="C33" i="23"/>
  <c r="O31" i="23"/>
  <c r="S31" i="23" s="1"/>
  <c r="AC31" i="23" s="1"/>
  <c r="Y20" i="24"/>
  <c r="Z21" i="24" s="1"/>
  <c r="AA21" i="24" s="1"/>
  <c r="V19" i="24"/>
  <c r="E33" i="24"/>
  <c r="H33" i="24" s="1"/>
  <c r="D33" i="24"/>
  <c r="I33" i="24" s="1"/>
  <c r="A35" i="24"/>
  <c r="B34" i="24"/>
  <c r="M34" i="24" s="1"/>
  <c r="G34" i="24"/>
  <c r="F34" i="24"/>
  <c r="C34" i="24"/>
  <c r="Y17" i="23"/>
  <c r="Z18" i="23" s="1"/>
  <c r="AA18" i="23" s="1"/>
  <c r="V16" i="23"/>
  <c r="Y16" i="23" s="1"/>
  <c r="AB31" i="23" l="1"/>
  <c r="AE31" i="23"/>
  <c r="AE32" i="24"/>
  <c r="AB32" i="24"/>
  <c r="A35" i="23"/>
  <c r="G34" i="23"/>
  <c r="C34" i="23"/>
  <c r="F34" i="23"/>
  <c r="B34" i="23"/>
  <c r="M34" i="23" s="1"/>
  <c r="O32" i="23"/>
  <c r="S32" i="23" s="1"/>
  <c r="AC32" i="23" s="1"/>
  <c r="O33" i="24"/>
  <c r="S33" i="24" s="1"/>
  <c r="AC33" i="24" s="1"/>
  <c r="J32" i="23"/>
  <c r="N32" i="23" s="1"/>
  <c r="J33" i="24"/>
  <c r="N33" i="24" s="1"/>
  <c r="AE33" i="24" s="1"/>
  <c r="E33" i="23"/>
  <c r="H33" i="23" s="1"/>
  <c r="D33" i="23"/>
  <c r="I33" i="23" s="1"/>
  <c r="Y19" i="24"/>
  <c r="Z20" i="24" s="1"/>
  <c r="AA20" i="24" s="1"/>
  <c r="V18" i="24"/>
  <c r="E34" i="24"/>
  <c r="H34" i="24" s="1"/>
  <c r="D34" i="24"/>
  <c r="I34" i="24" s="1"/>
  <c r="G35" i="24"/>
  <c r="C35" i="24"/>
  <c r="F35" i="24"/>
  <c r="A36" i="24"/>
  <c r="B35" i="24"/>
  <c r="M35" i="24" s="1"/>
  <c r="Z17" i="23"/>
  <c r="AA17" i="23" s="1"/>
  <c r="AB32" i="23" l="1"/>
  <c r="AE32" i="23"/>
  <c r="C35" i="23"/>
  <c r="F35" i="23"/>
  <c r="B35" i="23"/>
  <c r="M35" i="23" s="1"/>
  <c r="A36" i="23"/>
  <c r="G35" i="23"/>
  <c r="D34" i="23"/>
  <c r="I34" i="23" s="1"/>
  <c r="E34" i="23"/>
  <c r="H34" i="23" s="1"/>
  <c r="J33" i="23"/>
  <c r="N33" i="23" s="1"/>
  <c r="O34" i="24"/>
  <c r="S34" i="24" s="1"/>
  <c r="AC34" i="24" s="1"/>
  <c r="AB33" i="24"/>
  <c r="O33" i="23"/>
  <c r="S33" i="23" s="1"/>
  <c r="AC33" i="23" s="1"/>
  <c r="J34" i="24"/>
  <c r="N34" i="24" s="1"/>
  <c r="G36" i="24"/>
  <c r="C36" i="24"/>
  <c r="F36" i="24"/>
  <c r="B36" i="24"/>
  <c r="M36" i="24" s="1"/>
  <c r="D35" i="24"/>
  <c r="I35" i="24" s="1"/>
  <c r="E35" i="24"/>
  <c r="H35" i="24" s="1"/>
  <c r="V17" i="24"/>
  <c r="Y18" i="24"/>
  <c r="Z19" i="24" s="1"/>
  <c r="AA19" i="24" s="1"/>
  <c r="AE34" i="24" l="1"/>
  <c r="AB34" i="24"/>
  <c r="AB33" i="23"/>
  <c r="AE33" i="23"/>
  <c r="O35" i="24"/>
  <c r="S35" i="24" s="1"/>
  <c r="AC35" i="24" s="1"/>
  <c r="B36" i="23"/>
  <c r="M36" i="23" s="1"/>
  <c r="F36" i="23"/>
  <c r="C36" i="23"/>
  <c r="G36" i="23"/>
  <c r="J34" i="23"/>
  <c r="N34" i="23" s="1"/>
  <c r="E35" i="23"/>
  <c r="H35" i="23" s="1"/>
  <c r="D35" i="23"/>
  <c r="I35" i="23" s="1"/>
  <c r="J35" i="24"/>
  <c r="N35" i="24" s="1"/>
  <c r="O34" i="23"/>
  <c r="S34" i="23" s="1"/>
  <c r="AC34" i="23" s="1"/>
  <c r="E36" i="24"/>
  <c r="H36" i="24" s="1"/>
  <c r="D36" i="24"/>
  <c r="I36" i="24" s="1"/>
  <c r="Y17" i="24"/>
  <c r="Z18" i="24" s="1"/>
  <c r="AA18" i="24" s="1"/>
  <c r="V16" i="24"/>
  <c r="Y16" i="24" s="1"/>
  <c r="Z17" i="24" s="1"/>
  <c r="AA17" i="24" s="1"/>
  <c r="AE35" i="24" l="1"/>
  <c r="AB35" i="24"/>
  <c r="AB34" i="23"/>
  <c r="AE34" i="23"/>
  <c r="J35" i="23"/>
  <c r="N35" i="23" s="1"/>
  <c r="O35" i="23"/>
  <c r="S35" i="23" s="1"/>
  <c r="AC35" i="23" s="1"/>
  <c r="J36" i="24"/>
  <c r="N36" i="24" s="1"/>
  <c r="O36" i="24"/>
  <c r="S36" i="24" s="1"/>
  <c r="AC36" i="24" s="1"/>
  <c r="D36" i="23"/>
  <c r="I36" i="23" s="1"/>
  <c r="E36" i="23"/>
  <c r="H36" i="23" s="1"/>
  <c r="AE36" i="24" l="1"/>
  <c r="AB36" i="24"/>
  <c r="AB35" i="23"/>
  <c r="AE35" i="23"/>
  <c r="O36" i="23"/>
  <c r="S36" i="23" s="1"/>
  <c r="AC36" i="23" s="1"/>
  <c r="J36" i="23"/>
  <c r="N36" i="23" s="1"/>
  <c r="E17" i="22"/>
  <c r="E18" i="22" s="1"/>
  <c r="E15" i="22"/>
  <c r="E19" i="22" s="1"/>
  <c r="E8" i="22"/>
  <c r="E7" i="22"/>
  <c r="AB36" i="23" l="1"/>
  <c r="AE36" i="23"/>
  <c r="E9" i="22"/>
  <c r="E43" i="22"/>
  <c r="C25" i="22"/>
  <c r="C26" i="22" s="1"/>
  <c r="C28" i="22" s="1"/>
  <c r="C24" i="22"/>
  <c r="C17" i="22"/>
  <c r="C18" i="22" s="1"/>
  <c r="C15" i="22"/>
  <c r="C8" i="22"/>
  <c r="C7" i="22"/>
  <c r="C19" i="22" l="1"/>
  <c r="C30" i="22"/>
  <c r="C33" i="22" s="1"/>
  <c r="E30" i="22"/>
  <c r="E33" i="22" s="1"/>
  <c r="C9" i="22"/>
  <c r="C27" i="22"/>
  <c r="C31" i="22" l="1"/>
  <c r="C35" i="22"/>
  <c r="C37" i="22" s="1"/>
  <c r="E35" i="22"/>
  <c r="E37" i="22" s="1"/>
  <c r="C32" i="22"/>
  <c r="E39" i="22" l="1"/>
  <c r="E42" i="22" s="1"/>
  <c r="E44" i="22" s="1"/>
  <c r="E45" i="22" s="1"/>
  <c r="E47" i="22" s="1"/>
  <c r="E50" i="22" s="1"/>
  <c r="C39" i="22"/>
  <c r="C42" i="22" l="1"/>
  <c r="C44" i="22" s="1"/>
  <c r="C45" i="22" l="1"/>
  <c r="C47" i="22" s="1"/>
  <c r="C50" i="22" s="1"/>
</calcChain>
</file>

<file path=xl/sharedStrings.xml><?xml version="1.0" encoding="utf-8"?>
<sst xmlns="http://schemas.openxmlformats.org/spreadsheetml/2006/main" count="403" uniqueCount="177">
  <si>
    <t>U</t>
  </si>
  <si>
    <t>W/m²/K</t>
  </si>
  <si>
    <t>Hot Day</t>
  </si>
  <si>
    <t>Cold Day</t>
  </si>
  <si>
    <t>A</t>
  </si>
  <si>
    <t>m²</t>
  </si>
  <si>
    <t>Cell to fill</t>
  </si>
  <si>
    <t>Nb pax</t>
  </si>
  <si>
    <t>Cooling: air blowing temperature</t>
  </si>
  <si>
    <t>Tdb</t>
  </si>
  <si>
    <t>°C</t>
  </si>
  <si>
    <t>UA</t>
  </si>
  <si>
    <t>W/K</t>
  </si>
  <si>
    <t>Nb crew</t>
  </si>
  <si>
    <t>2 pilots minimum + 1 stewart / 50pax</t>
  </si>
  <si>
    <t>free water</t>
  </si>
  <si>
    <t>g/kg</t>
  </si>
  <si>
    <t>Aircraft leakage</t>
  </si>
  <si>
    <t>cm²</t>
  </si>
  <si>
    <t>Tdar</t>
  </si>
  <si>
    <t>OFV leakage</t>
  </si>
  <si>
    <t>Tcabin cooling</t>
  </si>
  <si>
    <t>Heating: air blowing temperature</t>
  </si>
  <si>
    <t>Total leakage</t>
  </si>
  <si>
    <t>Tcabin heating</t>
  </si>
  <si>
    <t>no free water in heating mode</t>
  </si>
  <si>
    <t>Total windows area</t>
  </si>
  <si>
    <t>Efficient projected window area</t>
  </si>
  <si>
    <t>Heat load per pax cooling</t>
  </si>
  <si>
    <t>W</t>
  </si>
  <si>
    <t>Cooling subfreezing: air blowing temperature</t>
  </si>
  <si>
    <t>Pressurized volume</t>
  </si>
  <si>
    <t>m3</t>
  </si>
  <si>
    <t>Heat load per pax heating</t>
  </si>
  <si>
    <t>Hot day Heat Loads</t>
  </si>
  <si>
    <t>Cold day Heat Loads</t>
  </si>
  <si>
    <t>Altitude</t>
  </si>
  <si>
    <t>Solar flux</t>
  </si>
  <si>
    <t>ISA</t>
  </si>
  <si>
    <t>OAT hot day</t>
  </si>
  <si>
    <t>OAT cold day</t>
  </si>
  <si>
    <t>Mach min</t>
  </si>
  <si>
    <t>Mach max</t>
  </si>
  <si>
    <t>Tskin cold day</t>
  </si>
  <si>
    <t>Tskin hot day</t>
  </si>
  <si>
    <t>External</t>
  </si>
  <si>
    <t>Metabolic</t>
  </si>
  <si>
    <t>Electrical</t>
  </si>
  <si>
    <t>Solar</t>
  </si>
  <si>
    <t>Total</t>
  </si>
  <si>
    <t>Ambiant pressure</t>
  </si>
  <si>
    <t>Pcab climb</t>
  </si>
  <si>
    <t>Pcab descent</t>
  </si>
  <si>
    <t>Pressure ratio</t>
  </si>
  <si>
    <t>Pressurisation flow</t>
  </si>
  <si>
    <t>Cabin air weight</t>
  </si>
  <si>
    <t>Repressurisation flow</t>
  </si>
  <si>
    <t>Min pressurisation + repressurisation flow</t>
  </si>
  <si>
    <t>Min cooling flow</t>
  </si>
  <si>
    <t>Min heating flow</t>
  </si>
  <si>
    <t>Min fresh air flow</t>
  </si>
  <si>
    <t>Min cooling subfreezing flow</t>
  </si>
  <si>
    <t>Proposed Flow schedule</t>
  </si>
  <si>
    <t>Eco flow schedule</t>
  </si>
  <si>
    <t>Flow single pack</t>
  </si>
  <si>
    <t>ft</t>
  </si>
  <si>
    <t>W/m²</t>
  </si>
  <si>
    <t>mbar</t>
  </si>
  <si>
    <t>kg/s</t>
  </si>
  <si>
    <t>kg</t>
  </si>
  <si>
    <t>TAT</t>
  </si>
  <si>
    <t>K</t>
  </si>
  <si>
    <t>Tbleed</t>
  </si>
  <si>
    <t>Tpiccolo</t>
  </si>
  <si>
    <t>% water evaporated</t>
  </si>
  <si>
    <t>External Power (W)</t>
  </si>
  <si>
    <t>Internal Power (W)</t>
  </si>
  <si>
    <t>% Evaporated water</t>
  </si>
  <si>
    <t>Slat efficiency</t>
  </si>
  <si>
    <t>Mach criteria</t>
  </si>
  <si>
    <t>ECS single pack flow</t>
  </si>
  <si>
    <t>From exercise #1</t>
  </si>
  <si>
    <t>WIPS total flow</t>
  </si>
  <si>
    <t>From exercise #2</t>
  </si>
  <si>
    <t>Total flow on 1 Bleed</t>
  </si>
  <si>
    <t>IP</t>
  </si>
  <si>
    <t>HP</t>
  </si>
  <si>
    <t>Pressure</t>
  </si>
  <si>
    <t>bar abs</t>
  </si>
  <si>
    <t>Température</t>
  </si>
  <si>
    <t>Density</t>
  </si>
  <si>
    <t>kg/m3</t>
  </si>
  <si>
    <t>Mach</t>
  </si>
  <si>
    <t>Air speed</t>
  </si>
  <si>
    <t>m/s</t>
  </si>
  <si>
    <t>Min area</t>
  </si>
  <si>
    <t>Diameter</t>
  </si>
  <si>
    <t>mm</t>
  </si>
  <si>
    <t>in</t>
  </si>
  <si>
    <t>Valve diameter selected</t>
  </si>
  <si>
    <t>Dynamic pressure</t>
  </si>
  <si>
    <t>Bleed port temperature</t>
  </si>
  <si>
    <t>PCE outlet temp target</t>
  </si>
  <si>
    <t>PCE efficiency</t>
  </si>
  <si>
    <t>Not needed</t>
  </si>
  <si>
    <t>Min PCE cold flow</t>
  </si>
  <si>
    <t>PCE power hot pass</t>
  </si>
  <si>
    <t>kW</t>
  </si>
  <si>
    <t>PCE power cold pass</t>
  </si>
  <si>
    <t xml:space="preserve">Refrigerant calculation </t>
  </si>
  <si>
    <t>R507</t>
  </si>
  <si>
    <t>R717</t>
  </si>
  <si>
    <t>Comments</t>
  </si>
  <si>
    <t>Temp evap</t>
  </si>
  <si>
    <t>Blowing temperature in cabin : 8°C</t>
  </si>
  <si>
    <t>Temp cond</t>
  </si>
  <si>
    <t>OAT 40°C</t>
  </si>
  <si>
    <t>Pressure evap</t>
  </si>
  <si>
    <t>Read on diagram</t>
  </si>
  <si>
    <t>Pressure cond</t>
  </si>
  <si>
    <t>Pressure suction</t>
  </si>
  <si>
    <t>Pressure discharge</t>
  </si>
  <si>
    <t>Compressor pressure ratio</t>
  </si>
  <si>
    <t>Global efficiency</t>
  </si>
  <si>
    <t>Slide 21</t>
  </si>
  <si>
    <t>Volumetric efficiency</t>
  </si>
  <si>
    <t>Slide 20</t>
  </si>
  <si>
    <t>Hin evap</t>
  </si>
  <si>
    <t>kJ/kg</t>
  </si>
  <si>
    <t>Hout evap</t>
  </si>
  <si>
    <t>DeltaH evap</t>
  </si>
  <si>
    <t>DeltaH comp theo</t>
  </si>
  <si>
    <t>Delta H comp real</t>
  </si>
  <si>
    <t>Hout comp</t>
  </si>
  <si>
    <t>COP DH</t>
  </si>
  <si>
    <t>Air calculations : Evaporator</t>
  </si>
  <si>
    <t>Qfan evap</t>
  </si>
  <si>
    <t>rho in fan evap</t>
  </si>
  <si>
    <t>1013mbar, 25°C</t>
  </si>
  <si>
    <t>Qv fan evap</t>
  </si>
  <si>
    <t>l/s</t>
  </si>
  <si>
    <t>Power fan evap</t>
  </si>
  <si>
    <t>axial fan eff 0.5</t>
  </si>
  <si>
    <t>Delta T fan evap</t>
  </si>
  <si>
    <t>Power evap</t>
  </si>
  <si>
    <t>Qrefrigerant</t>
  </si>
  <si>
    <t>g/s</t>
  </si>
  <si>
    <t>Much less flow needed with R717</t>
  </si>
  <si>
    <t>N 50cc</t>
  </si>
  <si>
    <t>tr/min</t>
  </si>
  <si>
    <t>N 90cc</t>
  </si>
  <si>
    <t>Cyl 4000rpm</t>
  </si>
  <si>
    <t>cm3</t>
  </si>
  <si>
    <t>Compressor a bit smaller (-20%) compared to R507</t>
  </si>
  <si>
    <t>Pmech comp</t>
  </si>
  <si>
    <t>COP power</t>
  </si>
  <si>
    <t>Condenser power</t>
  </si>
  <si>
    <t>Evaporator + compressor powers</t>
  </si>
  <si>
    <t>Air calculations : Condenser</t>
  </si>
  <si>
    <t>Qfan condenser</t>
  </si>
  <si>
    <t>rho in fan condenser</t>
  </si>
  <si>
    <t>1003mbar, 55°C</t>
  </si>
  <si>
    <t>Qv fan cond</t>
  </si>
  <si>
    <t>Power fan condenser</t>
  </si>
  <si>
    <t>Total power consumed</t>
  </si>
  <si>
    <t>COP overall</t>
  </si>
  <si>
    <t>R717 VCS get better COP (+20%)</t>
  </si>
  <si>
    <t>Case 1</t>
  </si>
  <si>
    <t>Case 2</t>
  </si>
  <si>
    <t>ECS Flow</t>
  </si>
  <si>
    <t>P0</t>
  </si>
  <si>
    <t>P1</t>
  </si>
  <si>
    <t>P0/P1</t>
  </si>
  <si>
    <t xml:space="preserve">OFV efficient area </t>
  </si>
  <si>
    <t xml:space="preserve">OFV geom area </t>
  </si>
  <si>
    <t>OFV Diameter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</si>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</sst>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0" fillId="3" borderId="6" xfId="0" applyFill="1" applyBorder="1"/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4" borderId="6" xfId="0" applyFill="1" applyBorder="1"/>
    <xf numFmtId="2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wrapText="1"/>
    </xf>
    <xf numFmtId="164" fontId="0" fillId="4" borderId="0" xfId="0" applyNumberFormat="1" applyFill="1" applyAlignment="1">
      <alignment horizontal="center"/>
    </xf>
    <xf numFmtId="0" fontId="3" fillId="4" borderId="5" xfId="0" applyFont="1" applyFill="1" applyBorder="1"/>
    <xf numFmtId="0" fontId="3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4" borderId="11" xfId="0" applyFill="1" applyBorder="1"/>
    <xf numFmtId="1" fontId="0" fillId="3" borderId="3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66" fontId="0" fillId="3" borderId="1" xfId="2" applyNumberFormat="1" applyFont="1" applyFill="1" applyBorder="1" applyAlignment="1">
      <alignment horizontal="center"/>
    </xf>
    <xf numFmtId="0" fontId="0" fillId="0" borderId="12" xfId="0" applyBorder="1"/>
    <xf numFmtId="0" fontId="0" fillId="5" borderId="12" xfId="0" applyFill="1" applyBorder="1"/>
    <xf numFmtId="0" fontId="0" fillId="0" borderId="12" xfId="0" applyBorder="1" applyAlignment="1">
      <alignment horizontal="center"/>
    </xf>
    <xf numFmtId="0" fontId="0" fillId="5" borderId="0" xfId="0" applyFill="1"/>
    <xf numFmtId="0" fontId="0" fillId="5" borderId="12" xfId="0" applyFill="1" applyBorder="1" applyAlignment="1">
      <alignment horizontal="center"/>
    </xf>
    <xf numFmtId="164" fontId="0" fillId="0" borderId="0" xfId="0" applyNumberFormat="1"/>
    <xf numFmtId="0" fontId="0" fillId="0" borderId="12" xfId="0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7" borderId="12" xfId="0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3" fontId="0" fillId="6" borderId="12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165" fontId="0" fillId="7" borderId="12" xfId="0" applyNumberForma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2" fontId="0" fillId="5" borderId="0" xfId="0" applyNumberFormat="1" applyFill="1"/>
    <xf numFmtId="9" fontId="0" fillId="0" borderId="12" xfId="0" applyNumberFormat="1" applyBorder="1" applyAlignment="1">
      <alignment horizontal="center"/>
    </xf>
    <xf numFmtId="3" fontId="0" fillId="5" borderId="12" xfId="0" applyNumberForma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2" borderId="0" xfId="0" applyFill="1"/>
    <xf numFmtId="0" fontId="0" fillId="2" borderId="12" xfId="0" applyFill="1" applyBorder="1" applyAlignment="1">
      <alignment horizontal="center"/>
    </xf>
    <xf numFmtId="9" fontId="0" fillId="6" borderId="12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5" borderId="12" xfId="0" applyNumberFormat="1" applyFont="1" applyFill="1" applyBorder="1" applyAlignment="1">
      <alignment horizontal="center"/>
    </xf>
    <xf numFmtId="0" fontId="0" fillId="8" borderId="12" xfId="0" applyFill="1" applyBorder="1"/>
    <xf numFmtId="2" fontId="0" fillId="0" borderId="0" xfId="0" applyNumberFormat="1"/>
    <xf numFmtId="165" fontId="0" fillId="8" borderId="12" xfId="0" applyNumberFormat="1" applyFill="1" applyBorder="1"/>
    <xf numFmtId="9" fontId="0" fillId="0" borderId="0" xfId="2" applyFont="1"/>
    <xf numFmtId="165" fontId="0" fillId="0" borderId="0" xfId="0" applyNumberFormat="1"/>
    <xf numFmtId="2" fontId="0" fillId="8" borderId="12" xfId="0" applyNumberFormat="1" applyFill="1" applyBorder="1"/>
    <xf numFmtId="1" fontId="0" fillId="0" borderId="0" xfId="0" applyNumberFormat="1"/>
    <xf numFmtId="164" fontId="0" fillId="8" borderId="12" xfId="0" applyNumberFormat="1" applyFill="1" applyBorder="1"/>
    <xf numFmtId="167" fontId="0" fillId="8" borderId="12" xfId="0" applyNumberFormat="1" applyFill="1" applyBorder="1"/>
    <xf numFmtId="167" fontId="0" fillId="0" borderId="0" xfId="0" applyNumberFormat="1"/>
    <xf numFmtId="1" fontId="0" fillId="8" borderId="12" xfId="0" applyNumberFormat="1" applyFill="1" applyBorder="1"/>
    <xf numFmtId="165" fontId="0" fillId="8" borderId="12" xfId="0" applyNumberFormat="1" applyFill="1" applyBorder="1" applyAlignment="1">
      <alignment horizontal="right"/>
    </xf>
    <xf numFmtId="164" fontId="0" fillId="5" borderId="12" xfId="0" applyNumberFormat="1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4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 vertical="center" textRotation="90" wrapText="1"/>
    </xf>
    <xf numFmtId="0" fontId="0" fillId="2" borderId="17" xfId="0" applyFill="1" applyBorder="1" applyAlignment="1">
      <alignment horizontal="center" vertical="center" textRotation="90" wrapText="1"/>
    </xf>
    <xf numFmtId="0" fontId="5" fillId="0" borderId="0" xfId="0" quotePrefix="1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schedule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794088665187437E-2"/>
          <c:y val="6.8808830543123659E-2"/>
          <c:w val="0.90770471689836729"/>
          <c:h val="0.86057335739705954"/>
        </c:manualLayout>
      </c:layout>
      <c:scatterChart>
        <c:scatterStyle val="lineMarker"/>
        <c:varyColors val="0"/>
        <c:ser>
          <c:idx val="5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ECS!$AF$16:$AF$36</c:f>
              <c:numCache>
                <c:formatCode>0.000</c:formatCode>
                <c:ptCount val="21"/>
                <c:pt idx="0">
                  <c:v>0.88582897157064211</c:v>
                </c:pt>
                <c:pt idx="1">
                  <c:v>0.88582897157064211</c:v>
                </c:pt>
                <c:pt idx="2">
                  <c:v>0.88582897157064211</c:v>
                </c:pt>
                <c:pt idx="3">
                  <c:v>0.88582897157064211</c:v>
                </c:pt>
                <c:pt idx="4">
                  <c:v>0.88582897157064211</c:v>
                </c:pt>
                <c:pt idx="5">
                  <c:v>0.88582897157064211</c:v>
                </c:pt>
                <c:pt idx="6">
                  <c:v>0.88582897157064211</c:v>
                </c:pt>
                <c:pt idx="7">
                  <c:v>0.88582897157064211</c:v>
                </c:pt>
                <c:pt idx="8">
                  <c:v>0.88582897157064211</c:v>
                </c:pt>
                <c:pt idx="9">
                  <c:v>0.88582897157064211</c:v>
                </c:pt>
                <c:pt idx="10">
                  <c:v>0.88582897157064211</c:v>
                </c:pt>
                <c:pt idx="11">
                  <c:v>0.88582897157064211</c:v>
                </c:pt>
                <c:pt idx="12">
                  <c:v>0.88582897157064211</c:v>
                </c:pt>
                <c:pt idx="13">
                  <c:v>0.88582897157064211</c:v>
                </c:pt>
                <c:pt idx="14">
                  <c:v>0.88582897157064211</c:v>
                </c:pt>
                <c:pt idx="15">
                  <c:v>0.88582897157064211</c:v>
                </c:pt>
                <c:pt idx="16">
                  <c:v>0.88582897157064211</c:v>
                </c:pt>
                <c:pt idx="17">
                  <c:v>0.88582897157064211</c:v>
                </c:pt>
                <c:pt idx="18">
                  <c:v>0.88582897157064211</c:v>
                </c:pt>
                <c:pt idx="19">
                  <c:v>0.88582897157064211</c:v>
                </c:pt>
                <c:pt idx="20">
                  <c:v>0.88582897157064211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7F0-96E8-A72A9060B9F4}"/>
            </c:ext>
          </c:extLst>
        </c:ser>
        <c:ser>
          <c:idx val="6"/>
          <c:order val="1"/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ECS!$AG$16:$AG$36</c:f>
              <c:numCache>
                <c:formatCode>0.000</c:formatCode>
                <c:ptCount val="21"/>
                <c:pt idx="0">
                  <c:v>0.64423925205137611</c:v>
                </c:pt>
                <c:pt idx="1">
                  <c:v>0.64423925205137611</c:v>
                </c:pt>
                <c:pt idx="2">
                  <c:v>0.64423925205137611</c:v>
                </c:pt>
                <c:pt idx="3">
                  <c:v>0.64423925205137611</c:v>
                </c:pt>
                <c:pt idx="4">
                  <c:v>0.64423925205137611</c:v>
                </c:pt>
                <c:pt idx="5">
                  <c:v>0.64423925205137611</c:v>
                </c:pt>
                <c:pt idx="6">
                  <c:v>0.64423925205137611</c:v>
                </c:pt>
                <c:pt idx="7">
                  <c:v>0.64423925205137611</c:v>
                </c:pt>
                <c:pt idx="8">
                  <c:v>0.64423925205137611</c:v>
                </c:pt>
                <c:pt idx="9">
                  <c:v>0.64423925205137611</c:v>
                </c:pt>
                <c:pt idx="10">
                  <c:v>0.64423925205137611</c:v>
                </c:pt>
                <c:pt idx="11">
                  <c:v>0.64423925205137611</c:v>
                </c:pt>
                <c:pt idx="12">
                  <c:v>0.64423925205137611</c:v>
                </c:pt>
                <c:pt idx="13">
                  <c:v>0.64423925205137611</c:v>
                </c:pt>
                <c:pt idx="14">
                  <c:v>0.64423925205137611</c:v>
                </c:pt>
                <c:pt idx="15">
                  <c:v>0.64423925205137611</c:v>
                </c:pt>
                <c:pt idx="16">
                  <c:v>0.64423925205137611</c:v>
                </c:pt>
                <c:pt idx="17">
                  <c:v>0.64423925205137611</c:v>
                </c:pt>
                <c:pt idx="18">
                  <c:v>0.64423925205137611</c:v>
                </c:pt>
                <c:pt idx="19">
                  <c:v>0.64423925205137611</c:v>
                </c:pt>
                <c:pt idx="20">
                  <c:v>0.64423925205137611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2-47F0-96E8-A72A9060B9F4}"/>
            </c:ext>
          </c:extLst>
        </c:ser>
        <c:ser>
          <c:idx val="1"/>
          <c:order val="2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ECS!$AB$16:$AB$36</c:f>
              <c:numCache>
                <c:formatCode>0.00</c:formatCode>
                <c:ptCount val="21"/>
                <c:pt idx="0">
                  <c:v>1.7026911417112254</c:v>
                </c:pt>
                <c:pt idx="1">
                  <c:v>1.6106980534894646</c:v>
                </c:pt>
                <c:pt idx="2">
                  <c:v>1.5784446382766339</c:v>
                </c:pt>
                <c:pt idx="3">
                  <c:v>1.5471439086634147</c:v>
                </c:pt>
                <c:pt idx="4">
                  <c:v>1.5167494634097738</c:v>
                </c:pt>
                <c:pt idx="5">
                  <c:v>1.487214901275675</c:v>
                </c:pt>
                <c:pt idx="6">
                  <c:v>1.4584938210210818</c:v>
                </c:pt>
                <c:pt idx="7">
                  <c:v>1.4305398214059597</c:v>
                </c:pt>
                <c:pt idx="8">
                  <c:v>1.4033065011902717</c:v>
                </c:pt>
                <c:pt idx="9">
                  <c:v>1.3767474591339828</c:v>
                </c:pt>
                <c:pt idx="10">
                  <c:v>1.3508162939970587</c:v>
                </c:pt>
                <c:pt idx="11">
                  <c:v>1.3254666045394619</c:v>
                </c:pt>
                <c:pt idx="12">
                  <c:v>1.3006519895211572</c:v>
                </c:pt>
                <c:pt idx="13">
                  <c:v>1.2763260477021086</c:v>
                </c:pt>
                <c:pt idx="14">
                  <c:v>1.2524423778422809</c:v>
                </c:pt>
                <c:pt idx="15">
                  <c:v>1.2289545787016396</c:v>
                </c:pt>
                <c:pt idx="16">
                  <c:v>1.2058162490401472</c:v>
                </c:pt>
                <c:pt idx="17">
                  <c:v>1.1829809876177684</c:v>
                </c:pt>
                <c:pt idx="18">
                  <c:v>1.1604023931944683</c:v>
                </c:pt>
                <c:pt idx="19">
                  <c:v>1.1380340645302109</c:v>
                </c:pt>
                <c:pt idx="20">
                  <c:v>1.1158296003849602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2-47F0-96E8-A72A9060B9F4}"/>
            </c:ext>
          </c:extLst>
        </c:ser>
        <c:ser>
          <c:idx val="3"/>
          <c:order val="3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ECS!$AD$16:$AD$36</c:f>
              <c:numCache>
                <c:formatCode>0.00</c:formatCode>
                <c:ptCount val="21"/>
                <c:pt idx="0">
                  <c:v>0.81496265384499078</c:v>
                </c:pt>
                <c:pt idx="1">
                  <c:v>0.81496265384499078</c:v>
                </c:pt>
                <c:pt idx="2">
                  <c:v>0.81496265384499078</c:v>
                </c:pt>
                <c:pt idx="3">
                  <c:v>0.81496265384499078</c:v>
                </c:pt>
                <c:pt idx="4">
                  <c:v>0.81496265384499078</c:v>
                </c:pt>
                <c:pt idx="5">
                  <c:v>0.81496265384499078</c:v>
                </c:pt>
                <c:pt idx="6">
                  <c:v>0.81496265384499078</c:v>
                </c:pt>
                <c:pt idx="7">
                  <c:v>0.81496265384499078</c:v>
                </c:pt>
                <c:pt idx="8">
                  <c:v>0.81496265384499078</c:v>
                </c:pt>
                <c:pt idx="9">
                  <c:v>0.81496265384499078</c:v>
                </c:pt>
                <c:pt idx="10">
                  <c:v>0.81496265384499078</c:v>
                </c:pt>
                <c:pt idx="11">
                  <c:v>0.81496265384499078</c:v>
                </c:pt>
                <c:pt idx="12">
                  <c:v>0.81496265384499078</c:v>
                </c:pt>
                <c:pt idx="13">
                  <c:v>0.81496265384499078</c:v>
                </c:pt>
                <c:pt idx="14">
                  <c:v>0.81496265384499078</c:v>
                </c:pt>
                <c:pt idx="15">
                  <c:v>0.81496265384499078</c:v>
                </c:pt>
                <c:pt idx="16">
                  <c:v>0.81496265384499078</c:v>
                </c:pt>
                <c:pt idx="17">
                  <c:v>0.81496265384499078</c:v>
                </c:pt>
                <c:pt idx="18">
                  <c:v>0.81496265384499078</c:v>
                </c:pt>
                <c:pt idx="19">
                  <c:v>0.81496265384499078</c:v>
                </c:pt>
                <c:pt idx="20">
                  <c:v>0.81496265384499078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2-47F0-96E8-A72A9060B9F4}"/>
            </c:ext>
          </c:extLst>
        </c:ser>
        <c:ser>
          <c:idx val="4"/>
          <c:order val="4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ECS!$AE$16:$AE$36</c:f>
              <c:numCache>
                <c:formatCode>0.00</c:formatCode>
                <c:ptCount val="21"/>
                <c:pt idx="0">
                  <c:v>0.8121445699122668</c:v>
                </c:pt>
                <c:pt idx="1">
                  <c:v>0.76826597958044818</c:v>
                </c:pt>
                <c:pt idx="2">
                  <c:v>0.75288184126872815</c:v>
                </c:pt>
                <c:pt idx="3">
                  <c:v>0.73795211210826517</c:v>
                </c:pt>
                <c:pt idx="4">
                  <c:v>0.72345465977323287</c:v>
                </c:pt>
                <c:pt idx="5">
                  <c:v>0.70936735193780354</c:v>
                </c:pt>
                <c:pt idx="6">
                  <c:v>0.69566805627614892</c:v>
                </c:pt>
                <c:pt idx="7">
                  <c:v>0.68233464046244208</c:v>
                </c:pt>
                <c:pt idx="8">
                  <c:v>0.66934497217085465</c:v>
                </c:pt>
                <c:pt idx="9">
                  <c:v>0.65667691907555947</c:v>
                </c:pt>
                <c:pt idx="10">
                  <c:v>0.64430834885072963</c:v>
                </c:pt>
                <c:pt idx="11">
                  <c:v>0.63221712917053641</c:v>
                </c:pt>
                <c:pt idx="12">
                  <c:v>0.62038112770915244</c:v>
                </c:pt>
                <c:pt idx="13">
                  <c:v>0.60877821214075001</c:v>
                </c:pt>
                <c:pt idx="14">
                  <c:v>0.59738625013950175</c:v>
                </c:pt>
                <c:pt idx="15">
                  <c:v>0.58618310937958051</c:v>
                </c:pt>
                <c:pt idx="16">
                  <c:v>0.57514665753515781</c:v>
                </c:pt>
                <c:pt idx="17">
                  <c:v>0.56425476228040627</c:v>
                </c:pt>
                <c:pt idx="18">
                  <c:v>0.55348529128949853</c:v>
                </c:pt>
                <c:pt idx="19">
                  <c:v>0.54281611223660697</c:v>
                </c:pt>
                <c:pt idx="20">
                  <c:v>0.53222509279590358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2-47F0-96E8-A72A9060B9F4}"/>
            </c:ext>
          </c:extLst>
        </c:ser>
        <c:ser>
          <c:idx val="2"/>
          <c:order val="5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ECS!$AC$16:$AC$36</c:f>
              <c:numCache>
                <c:formatCode>0.00</c:formatCode>
                <c:ptCount val="21"/>
                <c:pt idx="0">
                  <c:v>0.47059888682530848</c:v>
                </c:pt>
                <c:pt idx="1">
                  <c:v>0.47059888682530848</c:v>
                </c:pt>
                <c:pt idx="2">
                  <c:v>0.47059888682530848</c:v>
                </c:pt>
                <c:pt idx="3">
                  <c:v>0.47059888682530848</c:v>
                </c:pt>
                <c:pt idx="4">
                  <c:v>0.47059888682530848</c:v>
                </c:pt>
                <c:pt idx="5">
                  <c:v>0.47059888682530848</c:v>
                </c:pt>
                <c:pt idx="6">
                  <c:v>0.44455841307945854</c:v>
                </c:pt>
                <c:pt idx="7">
                  <c:v>0.43515490867123485</c:v>
                </c:pt>
                <c:pt idx="8">
                  <c:v>0.42430471127713043</c:v>
                </c:pt>
                <c:pt idx="9">
                  <c:v>0.38086544215617896</c:v>
                </c:pt>
                <c:pt idx="10">
                  <c:v>0.40657633623312833</c:v>
                </c:pt>
                <c:pt idx="11">
                  <c:v>0.43128884771763409</c:v>
                </c:pt>
                <c:pt idx="12">
                  <c:v>0.45506952510754622</c:v>
                </c:pt>
                <c:pt idx="13">
                  <c:v>0.4779849169007131</c:v>
                </c:pt>
                <c:pt idx="14">
                  <c:v>0.50010157159498481</c:v>
                </c:pt>
                <c:pt idx="15">
                  <c:v>0.52148603768821034</c:v>
                </c:pt>
                <c:pt idx="16">
                  <c:v>0.54220486367823895</c:v>
                </c:pt>
                <c:pt idx="17">
                  <c:v>0.56232459806292034</c:v>
                </c:pt>
                <c:pt idx="18">
                  <c:v>0.58191178934010312</c:v>
                </c:pt>
                <c:pt idx="19">
                  <c:v>0.60103298600763744</c:v>
                </c:pt>
                <c:pt idx="20">
                  <c:v>0.61975473656337221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2-47F0-96E8-A72A9060B9F4}"/>
            </c:ext>
          </c:extLst>
        </c:ser>
        <c:ser>
          <c:idx val="0"/>
          <c:order val="6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ECS!$AA$16:$AA$36</c:f>
              <c:numCache>
                <c:formatCode>0.000</c:formatCode>
                <c:ptCount val="21"/>
                <c:pt idx="0">
                  <c:v>4.7995837823966235E-2</c:v>
                </c:pt>
                <c:pt idx="1">
                  <c:v>0.23950483116025839</c:v>
                </c:pt>
                <c:pt idx="2">
                  <c:v>0.28632617360283164</c:v>
                </c:pt>
                <c:pt idx="3">
                  <c:v>0.31552224768497117</c:v>
                </c:pt>
                <c:pt idx="4">
                  <c:v>0.33463136742915328</c:v>
                </c:pt>
                <c:pt idx="5">
                  <c:v>0.34691810641310739</c:v>
                </c:pt>
                <c:pt idx="6">
                  <c:v>0.35421050882347349</c:v>
                </c:pt>
                <c:pt idx="7">
                  <c:v>0.35768185239998823</c:v>
                </c:pt>
                <c:pt idx="8">
                  <c:v>0.3581520039108913</c:v>
                </c:pt>
                <c:pt idx="9">
                  <c:v>0.35622782640217698</c:v>
                </c:pt>
                <c:pt idx="10">
                  <c:v>0.3537554582731105</c:v>
                </c:pt>
                <c:pt idx="11">
                  <c:v>0.35053782509959358</c:v>
                </c:pt>
                <c:pt idx="12">
                  <c:v>0.34708884041774291</c:v>
                </c:pt>
                <c:pt idx="13">
                  <c:v>0.34340850422756697</c:v>
                </c:pt>
                <c:pt idx="14">
                  <c:v>0.33949681652906483</c:v>
                </c:pt>
                <c:pt idx="15">
                  <c:v>0.33535377732223071</c:v>
                </c:pt>
                <c:pt idx="16">
                  <c:v>0.33097938660707044</c:v>
                </c:pt>
                <c:pt idx="17">
                  <c:v>0.32637364438358285</c:v>
                </c:pt>
                <c:pt idx="18">
                  <c:v>0.32153655065176634</c:v>
                </c:pt>
                <c:pt idx="19">
                  <c:v>0.31646810541162068</c:v>
                </c:pt>
                <c:pt idx="20">
                  <c:v>0.31116830866314882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2-47F0-96E8-A72A9060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9568"/>
        <c:axId val="75471488"/>
      </c:scatterChart>
      <c:valAx>
        <c:axId val="754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Aircraft altitude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71488"/>
        <c:crosses val="autoZero"/>
        <c:crossBetween val="midCat"/>
      </c:valAx>
      <c:valAx>
        <c:axId val="7547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Min</a:t>
                </a:r>
                <a:r>
                  <a:rPr lang="en-US" sz="1200" baseline="0"/>
                  <a:t> flow</a:t>
                </a:r>
                <a:r>
                  <a:rPr lang="en-US" sz="1200"/>
                  <a:t> (kg/s)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546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9561094842495"/>
          <c:y val="6.4691065417807878E-2"/>
          <c:w val="0.22471732543737163"/>
          <c:h val="0.238670092476678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schedule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794088665187437E-2"/>
          <c:y val="6.8808830543123659E-2"/>
          <c:w val="0.90770471689836729"/>
          <c:h val="0.86057335739705954"/>
        </c:manualLayout>
      </c:layout>
      <c:scatterChart>
        <c:scatterStyle val="lineMarker"/>
        <c:varyColors val="0"/>
        <c:ser>
          <c:idx val="5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failure'!$AF$16:$AF$36</c:f>
              <c:numCache>
                <c:formatCode>0.000</c:formatCode>
                <c:ptCount val="21"/>
                <c:pt idx="0">
                  <c:v>0.66396086180805081</c:v>
                </c:pt>
                <c:pt idx="1">
                  <c:v>0.66396086180805081</c:v>
                </c:pt>
                <c:pt idx="2">
                  <c:v>0.66396086180805081</c:v>
                </c:pt>
                <c:pt idx="3">
                  <c:v>0.66396086180805081</c:v>
                </c:pt>
                <c:pt idx="4">
                  <c:v>0.66396086180805081</c:v>
                </c:pt>
                <c:pt idx="5">
                  <c:v>0.66396086180805081</c:v>
                </c:pt>
                <c:pt idx="6">
                  <c:v>0.66396086180805081</c:v>
                </c:pt>
                <c:pt idx="7">
                  <c:v>0.66396086180805081</c:v>
                </c:pt>
                <c:pt idx="8">
                  <c:v>0.66396086180805081</c:v>
                </c:pt>
                <c:pt idx="9">
                  <c:v>0.66396086180805081</c:v>
                </c:pt>
                <c:pt idx="10">
                  <c:v>0.66396086180805081</c:v>
                </c:pt>
                <c:pt idx="11">
                  <c:v>0.66396086180805081</c:v>
                </c:pt>
                <c:pt idx="12">
                  <c:v>0.66396086180805081</c:v>
                </c:pt>
                <c:pt idx="13">
                  <c:v>0.66396086180805081</c:v>
                </c:pt>
                <c:pt idx="14">
                  <c:v>0.66396086180805081</c:v>
                </c:pt>
                <c:pt idx="15">
                  <c:v>0.66396086180805081</c:v>
                </c:pt>
                <c:pt idx="16">
                  <c:v>0.66396086180805081</c:v>
                </c:pt>
                <c:pt idx="17">
                  <c:v>0.66396086180805081</c:v>
                </c:pt>
                <c:pt idx="18">
                  <c:v>0.66396086180805081</c:v>
                </c:pt>
                <c:pt idx="19">
                  <c:v>0.66396086180805081</c:v>
                </c:pt>
                <c:pt idx="20">
                  <c:v>0.66396086180805081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A-4117-B6BE-062055C9C43B}"/>
            </c:ext>
          </c:extLst>
        </c:ser>
        <c:ser>
          <c:idx val="6"/>
          <c:order val="1"/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failure'!$AG$16:$AG$36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A-4117-B6BE-062055C9C43B}"/>
            </c:ext>
          </c:extLst>
        </c:ser>
        <c:ser>
          <c:idx val="1"/>
          <c:order val="2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failure'!$AB$16:$AB$36</c:f>
              <c:numCache>
                <c:formatCode>0.00</c:formatCode>
                <c:ptCount val="21"/>
                <c:pt idx="0">
                  <c:v>0.87633055187522535</c:v>
                </c:pt>
                <c:pt idx="1">
                  <c:v>0.80204538429373817</c:v>
                </c:pt>
                <c:pt idx="2">
                  <c:v>0.77600048896002971</c:v>
                </c:pt>
                <c:pt idx="3">
                  <c:v>0.75072489500306105</c:v>
                </c:pt>
                <c:pt idx="4">
                  <c:v>0.72618113304379084</c:v>
                </c:pt>
                <c:pt idx="5">
                  <c:v>0.70233173370317414</c:v>
                </c:pt>
                <c:pt idx="6">
                  <c:v>0.6791392276021655</c:v>
                </c:pt>
                <c:pt idx="7">
                  <c:v>0.6565661453617222</c:v>
                </c:pt>
                <c:pt idx="8">
                  <c:v>0.63457501760279855</c:v>
                </c:pt>
                <c:pt idx="9">
                  <c:v>0.61312837494635086</c:v>
                </c:pt>
                <c:pt idx="10">
                  <c:v>0.59218874801333565</c:v>
                </c:pt>
                <c:pt idx="11">
                  <c:v>0.57171866742470734</c:v>
                </c:pt>
                <c:pt idx="12">
                  <c:v>0.55168066380142222</c:v>
                </c:pt>
                <c:pt idx="13">
                  <c:v>0.53203726776443494</c:v>
                </c:pt>
                <c:pt idx="14">
                  <c:v>0.51275100993470257</c:v>
                </c:pt>
                <c:pt idx="15">
                  <c:v>0.49378442093318109</c:v>
                </c:pt>
                <c:pt idx="16">
                  <c:v>0.47510003138082474</c:v>
                </c:pt>
                <c:pt idx="17">
                  <c:v>0.45666037189858971</c:v>
                </c:pt>
                <c:pt idx="18">
                  <c:v>0.4384279731074322</c:v>
                </c:pt>
                <c:pt idx="19">
                  <c:v>0.42036536562830795</c:v>
                </c:pt>
                <c:pt idx="20">
                  <c:v>0.40243508008217149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A-4117-B6BE-062055C9C43B}"/>
            </c:ext>
          </c:extLst>
        </c:ser>
        <c:ser>
          <c:idx val="3"/>
          <c:order val="3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failure'!$AD$16:$AD$36</c:f>
              <c:numCache>
                <c:formatCode>0.00</c:formatCode>
                <c:ptCount val="21"/>
                <c:pt idx="0">
                  <c:v>0.61084399286340674</c:v>
                </c:pt>
                <c:pt idx="1">
                  <c:v>0.61084399286340674</c:v>
                </c:pt>
                <c:pt idx="2">
                  <c:v>0.61084399286340674</c:v>
                </c:pt>
                <c:pt idx="3">
                  <c:v>0.61084399286340674</c:v>
                </c:pt>
                <c:pt idx="4">
                  <c:v>0.61084399286340674</c:v>
                </c:pt>
                <c:pt idx="5">
                  <c:v>0.61084399286340674</c:v>
                </c:pt>
                <c:pt idx="6">
                  <c:v>0.61084399286340674</c:v>
                </c:pt>
                <c:pt idx="7">
                  <c:v>0.61084399286340674</c:v>
                </c:pt>
                <c:pt idx="8">
                  <c:v>0.61084399286340674</c:v>
                </c:pt>
                <c:pt idx="9">
                  <c:v>0.61084399286340674</c:v>
                </c:pt>
                <c:pt idx="10">
                  <c:v>0.61084399286340674</c:v>
                </c:pt>
                <c:pt idx="11">
                  <c:v>0.61084399286340674</c:v>
                </c:pt>
                <c:pt idx="12">
                  <c:v>0.61084399286340674</c:v>
                </c:pt>
                <c:pt idx="13">
                  <c:v>0.61084399286340674</c:v>
                </c:pt>
                <c:pt idx="14">
                  <c:v>0.61084399286340674</c:v>
                </c:pt>
                <c:pt idx="15">
                  <c:v>0.61084399286340674</c:v>
                </c:pt>
                <c:pt idx="16">
                  <c:v>0.61084399286340674</c:v>
                </c:pt>
                <c:pt idx="17">
                  <c:v>0.61084399286340674</c:v>
                </c:pt>
                <c:pt idx="18">
                  <c:v>0.61084399286340674</c:v>
                </c:pt>
                <c:pt idx="19">
                  <c:v>0.61084399286340674</c:v>
                </c:pt>
                <c:pt idx="20">
                  <c:v>0.61084399286340674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A-4117-B6BE-062055C9C43B}"/>
            </c:ext>
          </c:extLst>
        </c:ser>
        <c:ser>
          <c:idx val="4"/>
          <c:order val="4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failure'!$AE$16:$AE$36</c:f>
              <c:numCache>
                <c:formatCode>0.00</c:formatCode>
                <c:ptCount val="21"/>
                <c:pt idx="0">
                  <c:v>0.6074107947348889</c:v>
                </c:pt>
                <c:pt idx="1">
                  <c:v>0.55592153354100327</c:v>
                </c:pt>
                <c:pt idx="2">
                  <c:v>0.53786904120282975</c:v>
                </c:pt>
                <c:pt idx="3">
                  <c:v>0.52034977455173992</c:v>
                </c:pt>
                <c:pt idx="4">
                  <c:v>0.50333776244561979</c:v>
                </c:pt>
                <c:pt idx="5">
                  <c:v>0.48680703374235268</c:v>
                </c:pt>
                <c:pt idx="6">
                  <c:v>0.47073161729982155</c:v>
                </c:pt>
                <c:pt idx="7">
                  <c:v>0.45508554197591122</c:v>
                </c:pt>
                <c:pt idx="8">
                  <c:v>0.4398428366285046</c:v>
                </c:pt>
                <c:pt idx="9">
                  <c:v>0.42497753011548589</c:v>
                </c:pt>
                <c:pt idx="10">
                  <c:v>0.4104636512947395</c:v>
                </c:pt>
                <c:pt idx="11">
                  <c:v>0.3962752290241483</c:v>
                </c:pt>
                <c:pt idx="12">
                  <c:v>0.38238629216159642</c:v>
                </c:pt>
                <c:pt idx="13">
                  <c:v>0.36877086956496707</c:v>
                </c:pt>
                <c:pt idx="14">
                  <c:v>0.35540299009214493</c:v>
                </c:pt>
                <c:pt idx="15">
                  <c:v>0.34225668260101405</c:v>
                </c:pt>
                <c:pt idx="16">
                  <c:v>0.3293059759494571</c:v>
                </c:pt>
                <c:pt idx="17">
                  <c:v>0.31652489899535835</c:v>
                </c:pt>
                <c:pt idx="18">
                  <c:v>0.30388748059660181</c:v>
                </c:pt>
                <c:pt idx="19">
                  <c:v>0.29136774961107142</c:v>
                </c:pt>
                <c:pt idx="20">
                  <c:v>0.27893973489665014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A-4117-B6BE-062055C9C43B}"/>
            </c:ext>
          </c:extLst>
        </c:ser>
        <c:ser>
          <c:idx val="2"/>
          <c:order val="5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failure'!$AC$16:$AC$36</c:f>
              <c:numCache>
                <c:formatCode>0.00</c:formatCode>
                <c:ptCount val="21"/>
                <c:pt idx="0">
                  <c:v>0.3606363835505334</c:v>
                </c:pt>
                <c:pt idx="1">
                  <c:v>0.3606363835505334</c:v>
                </c:pt>
                <c:pt idx="2">
                  <c:v>0.3606363835505334</c:v>
                </c:pt>
                <c:pt idx="3">
                  <c:v>0.3606363835505334</c:v>
                </c:pt>
                <c:pt idx="4">
                  <c:v>0.3606363835505334</c:v>
                </c:pt>
                <c:pt idx="5">
                  <c:v>0.3606363835505334</c:v>
                </c:pt>
                <c:pt idx="6">
                  <c:v>0.33459590980468357</c:v>
                </c:pt>
                <c:pt idx="7">
                  <c:v>0.32519240539645983</c:v>
                </c:pt>
                <c:pt idx="8">
                  <c:v>0.31434220800235541</c:v>
                </c:pt>
                <c:pt idx="9">
                  <c:v>0.27090293888140393</c:v>
                </c:pt>
                <c:pt idx="10">
                  <c:v>0.2966138329583532</c:v>
                </c:pt>
                <c:pt idx="11">
                  <c:v>0.32132634444285901</c:v>
                </c:pt>
                <c:pt idx="12">
                  <c:v>0.34510702183277109</c:v>
                </c:pt>
                <c:pt idx="13">
                  <c:v>0.36802241362593807</c:v>
                </c:pt>
                <c:pt idx="14">
                  <c:v>0.39013906832020978</c:v>
                </c:pt>
                <c:pt idx="15">
                  <c:v>0.41152353441343537</c:v>
                </c:pt>
                <c:pt idx="16">
                  <c:v>0.43224236040346392</c:v>
                </c:pt>
                <c:pt idx="17">
                  <c:v>0.45236209478814526</c:v>
                </c:pt>
                <c:pt idx="18">
                  <c:v>0.47194928606532816</c:v>
                </c:pt>
                <c:pt idx="19">
                  <c:v>0.49107048273286236</c:v>
                </c:pt>
                <c:pt idx="20">
                  <c:v>0.50979223328859713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A-4117-B6BE-062055C9C43B}"/>
            </c:ext>
          </c:extLst>
        </c:ser>
        <c:ser>
          <c:idx val="0"/>
          <c:order val="6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failure'!$AA$16:$AA$36</c:f>
              <c:numCache>
                <c:formatCode>0.000</c:formatCode>
                <c:ptCount val="21"/>
                <c:pt idx="0">
                  <c:v>4.7995837823966235E-2</c:v>
                </c:pt>
                <c:pt idx="1">
                  <c:v>0.23950483116025839</c:v>
                </c:pt>
                <c:pt idx="2">
                  <c:v>0.28632617360283164</c:v>
                </c:pt>
                <c:pt idx="3">
                  <c:v>0.31552224768497117</c:v>
                </c:pt>
                <c:pt idx="4">
                  <c:v>0.33463136742915328</c:v>
                </c:pt>
                <c:pt idx="5">
                  <c:v>0.34691810641310739</c:v>
                </c:pt>
                <c:pt idx="6">
                  <c:v>0.35421050882347349</c:v>
                </c:pt>
                <c:pt idx="7">
                  <c:v>0.35768185239998823</c:v>
                </c:pt>
                <c:pt idx="8">
                  <c:v>0.3581520039108913</c:v>
                </c:pt>
                <c:pt idx="9">
                  <c:v>0.35622782640217698</c:v>
                </c:pt>
                <c:pt idx="10">
                  <c:v>0.3537554582731105</c:v>
                </c:pt>
                <c:pt idx="11">
                  <c:v>0.35053782509959358</c:v>
                </c:pt>
                <c:pt idx="12">
                  <c:v>0.34708884041774291</c:v>
                </c:pt>
                <c:pt idx="13">
                  <c:v>0.34340850422756697</c:v>
                </c:pt>
                <c:pt idx="14">
                  <c:v>0.33949681652906483</c:v>
                </c:pt>
                <c:pt idx="15">
                  <c:v>0.33535377732223071</c:v>
                </c:pt>
                <c:pt idx="16">
                  <c:v>0.33097938660707044</c:v>
                </c:pt>
                <c:pt idx="17">
                  <c:v>0.32637364438358285</c:v>
                </c:pt>
                <c:pt idx="18">
                  <c:v>0.32153655065176634</c:v>
                </c:pt>
                <c:pt idx="19">
                  <c:v>0.31646810541162068</c:v>
                </c:pt>
                <c:pt idx="20">
                  <c:v>0.31116830866314882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CA-4117-B6BE-062055C9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1568"/>
        <c:axId val="77023488"/>
      </c:scatterChart>
      <c:valAx>
        <c:axId val="770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Aircraft altitude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23488"/>
        <c:crosses val="autoZero"/>
        <c:crossBetween val="midCat"/>
      </c:valAx>
      <c:valAx>
        <c:axId val="770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Min</a:t>
                </a:r>
                <a:r>
                  <a:rPr lang="en-US" sz="1200" baseline="0"/>
                  <a:t> flow</a:t>
                </a:r>
                <a:r>
                  <a:rPr lang="en-US" sz="1200"/>
                  <a:t> (kg/s)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70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9561094842495"/>
          <c:y val="6.4691065417807878E-2"/>
          <c:w val="0.22471732543737163"/>
          <c:h val="0.238670092476678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WIPS flow fct (%water evap, slat</a:t>
            </a:r>
            <a:r>
              <a:rPr lang="en-US" baseline="0"/>
              <a:t> eff)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WIPS!$C$10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WIPS!$C$11:$C$21</c:f>
              <c:numCache>
                <c:formatCode>0.00</c:formatCode>
                <c:ptCount val="11"/>
                <c:pt idx="0">
                  <c:v>0.90287398319492651</c:v>
                </c:pt>
                <c:pt idx="1">
                  <c:v>0.82079453017720594</c:v>
                </c:pt>
                <c:pt idx="2">
                  <c:v>0.75239498599577193</c:v>
                </c:pt>
                <c:pt idx="3">
                  <c:v>0.69451844861148182</c:v>
                </c:pt>
                <c:pt idx="4">
                  <c:v>0.64490998799637578</c:v>
                </c:pt>
                <c:pt idx="5">
                  <c:v>0.60191598879661745</c:v>
                </c:pt>
                <c:pt idx="6">
                  <c:v>0.56429623949682894</c:v>
                </c:pt>
                <c:pt idx="7">
                  <c:v>0.53110234305583892</c:v>
                </c:pt>
                <c:pt idx="8">
                  <c:v>0.50159665733051451</c:v>
                </c:pt>
                <c:pt idx="9">
                  <c:v>0.47519683326048739</c:v>
                </c:pt>
                <c:pt idx="10">
                  <c:v>0.45143699159746303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A-4450-8F73-A1646EA4E4F6}"/>
            </c:ext>
          </c:extLst>
        </c:ser>
        <c:ser>
          <c:idx val="1"/>
          <c:order val="1"/>
          <c:tx>
            <c:strRef>
              <c:f>WIPS!$D$10</c:f>
              <c:strCache>
                <c:ptCount val="1"/>
                <c:pt idx="0">
                  <c:v>60%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WIPS!$D$11:$D$21</c:f>
              <c:numCache>
                <c:formatCode>0.00</c:formatCode>
                <c:ptCount val="11"/>
                <c:pt idx="0">
                  <c:v>0.9980439510930762</c:v>
                </c:pt>
                <c:pt idx="1">
                  <c:v>0.90731268281188748</c:v>
                </c:pt>
                <c:pt idx="2">
                  <c:v>0.83170329257756326</c:v>
                </c:pt>
                <c:pt idx="3">
                  <c:v>0.76772611622544307</c:v>
                </c:pt>
                <c:pt idx="4">
                  <c:v>0.71288853649505413</c:v>
                </c:pt>
                <c:pt idx="5">
                  <c:v>0.66536263406205054</c:v>
                </c:pt>
                <c:pt idx="6">
                  <c:v>0.62377746943317236</c:v>
                </c:pt>
                <c:pt idx="7">
                  <c:v>0.58708467711357393</c:v>
                </c:pt>
                <c:pt idx="8">
                  <c:v>0.55446886171837539</c:v>
                </c:pt>
                <c:pt idx="9">
                  <c:v>0.52528629004898719</c:v>
                </c:pt>
                <c:pt idx="10">
                  <c:v>0.49902197554653782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A-4450-8F73-A1646EA4E4F6}"/>
            </c:ext>
          </c:extLst>
        </c:ser>
        <c:ser>
          <c:idx val="2"/>
          <c:order val="2"/>
          <c:tx>
            <c:strRef>
              <c:f>WIPS!$E$10</c:f>
              <c:strCache>
                <c:ptCount val="1"/>
                <c:pt idx="0">
                  <c:v>70%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WIPS!$E$11:$E$21</c:f>
              <c:numCache>
                <c:formatCode>0.00</c:formatCode>
                <c:ptCount val="11"/>
                <c:pt idx="0">
                  <c:v>1.0932139189912258</c:v>
                </c:pt>
                <c:pt idx="1">
                  <c:v>0.99383083544656892</c:v>
                </c:pt>
                <c:pt idx="2">
                  <c:v>0.91101159915935448</c:v>
                </c:pt>
                <c:pt idx="3">
                  <c:v>0.8409337838394042</c:v>
                </c:pt>
                <c:pt idx="4">
                  <c:v>0.78086708499373236</c:v>
                </c:pt>
                <c:pt idx="5">
                  <c:v>0.72880927932748352</c:v>
                </c:pt>
                <c:pt idx="6">
                  <c:v>0.68325869936951589</c:v>
                </c:pt>
                <c:pt idx="7">
                  <c:v>0.64306701117130893</c:v>
                </c:pt>
                <c:pt idx="8">
                  <c:v>0.60734106610623628</c:v>
                </c:pt>
                <c:pt idx="9">
                  <c:v>0.57537574683748693</c:v>
                </c:pt>
                <c:pt idx="10">
                  <c:v>0.54660695949561255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A-4450-8F73-A1646EA4E4F6}"/>
            </c:ext>
          </c:extLst>
        </c:ser>
        <c:ser>
          <c:idx val="3"/>
          <c:order val="3"/>
          <c:tx>
            <c:strRef>
              <c:f>WIPS!$F$10</c:f>
              <c:strCache>
                <c:ptCount val="1"/>
                <c:pt idx="0">
                  <c:v>80%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WIPS!$F$11:$F$21</c:f>
              <c:numCache>
                <c:formatCode>0.00</c:formatCode>
                <c:ptCount val="11"/>
                <c:pt idx="0">
                  <c:v>1.1883838868893755</c:v>
                </c:pt>
                <c:pt idx="1">
                  <c:v>1.0803489880812505</c:v>
                </c:pt>
                <c:pt idx="2">
                  <c:v>0.99031990574114581</c:v>
                </c:pt>
                <c:pt idx="3">
                  <c:v>0.91414145145336545</c:v>
                </c:pt>
                <c:pt idx="4">
                  <c:v>0.8488456334924106</c:v>
                </c:pt>
                <c:pt idx="5">
                  <c:v>0.7922559245929166</c:v>
                </c:pt>
                <c:pt idx="6">
                  <c:v>0.7427399293058593</c:v>
                </c:pt>
                <c:pt idx="7">
                  <c:v>0.69904934522904405</c:v>
                </c:pt>
                <c:pt idx="8">
                  <c:v>0.66021327049409717</c:v>
                </c:pt>
                <c:pt idx="9">
                  <c:v>0.62546520362598668</c:v>
                </c:pt>
                <c:pt idx="10">
                  <c:v>0.5941919434446874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A-4450-8F73-A1646EA4E4F6}"/>
            </c:ext>
          </c:extLst>
        </c:ser>
        <c:ser>
          <c:idx val="4"/>
          <c:order val="4"/>
          <c:tx>
            <c:strRef>
              <c:f>WIPS!$G$10</c:f>
              <c:strCache>
                <c:ptCount val="1"/>
                <c:pt idx="0">
                  <c:v>90%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WIPS!$G$11:$G$21</c:f>
              <c:numCache>
                <c:formatCode>0.00</c:formatCode>
                <c:ptCount val="11"/>
                <c:pt idx="0">
                  <c:v>1.2835538547875252</c:v>
                </c:pt>
                <c:pt idx="1">
                  <c:v>1.1668671407159319</c:v>
                </c:pt>
                <c:pt idx="2">
                  <c:v>1.0696282123229373</c:v>
                </c:pt>
                <c:pt idx="3" formatCode="0.000">
                  <c:v>0.9873491190673267</c:v>
                </c:pt>
                <c:pt idx="4">
                  <c:v>0.91682418199108895</c:v>
                </c:pt>
                <c:pt idx="5">
                  <c:v>0.85570256985834969</c:v>
                </c:pt>
                <c:pt idx="6">
                  <c:v>0.80222115924220283</c:v>
                </c:pt>
                <c:pt idx="7">
                  <c:v>0.75503167928677906</c:v>
                </c:pt>
                <c:pt idx="8">
                  <c:v>0.71308547488195806</c:v>
                </c:pt>
                <c:pt idx="9">
                  <c:v>0.67555466041448653</c:v>
                </c:pt>
                <c:pt idx="10">
                  <c:v>0.64177692739376224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A-4450-8F73-A1646EA4E4F6}"/>
            </c:ext>
          </c:extLst>
        </c:ser>
        <c:ser>
          <c:idx val="5"/>
          <c:order val="5"/>
          <c:tx>
            <c:strRef>
              <c:f>WIPS!$H$10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WIPS!$H$11:$H$21</c:f>
              <c:numCache>
                <c:formatCode>0.00</c:formatCode>
                <c:ptCount val="11"/>
                <c:pt idx="0">
                  <c:v>1.3787238226856746</c:v>
                </c:pt>
                <c:pt idx="1">
                  <c:v>1.2533852933506133</c:v>
                </c:pt>
                <c:pt idx="2">
                  <c:v>1.1489365189047285</c:v>
                </c:pt>
                <c:pt idx="3">
                  <c:v>1.0605567866812879</c:v>
                </c:pt>
                <c:pt idx="4">
                  <c:v>0.98480273048976719</c:v>
                </c:pt>
                <c:pt idx="5">
                  <c:v>0.91914921512378267</c:v>
                </c:pt>
                <c:pt idx="6">
                  <c:v>0.86170238917854636</c:v>
                </c:pt>
                <c:pt idx="7">
                  <c:v>0.81101401334451406</c:v>
                </c:pt>
                <c:pt idx="8">
                  <c:v>0.76595767926981884</c:v>
                </c:pt>
                <c:pt idx="9">
                  <c:v>0.72564411720298627</c:v>
                </c:pt>
                <c:pt idx="10">
                  <c:v>0.68936191134283697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A-4450-8F73-A1646EA4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1248"/>
        <c:axId val="77303168"/>
      </c:scatterChart>
      <c:valAx>
        <c:axId val="77301248"/>
        <c:scaling>
          <c:orientation val="minMax"/>
          <c:max val="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Slat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03168"/>
        <c:crosses val="autoZero"/>
        <c:crossBetween val="midCat"/>
        <c:majorUnit val="0.1"/>
      </c:valAx>
      <c:valAx>
        <c:axId val="77303168"/>
        <c:scaling>
          <c:orientation val="minMax"/>
          <c:max val="1.4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WIPS flow (kg/s)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730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185705</xdr:colOff>
      <xdr:row>37</xdr:row>
      <xdr:rowOff>30926</xdr:rowOff>
    </xdr:from>
    <xdr:to>
      <xdr:col>14</xdr:col>
      <xdr:colOff>207818</xdr:colOff>
      <xdr:row>72</xdr:row>
      <xdr:rowOff>98962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185705</xdr:colOff>
      <xdr:row>37</xdr:row>
      <xdr:rowOff>30926</xdr:rowOff>
    </xdr:from>
    <xdr:to>
      <xdr:col>14</xdr:col>
      <xdr:colOff>207818</xdr:colOff>
      <xdr:row>72</xdr:row>
      <xdr:rowOff>98962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194642</xdr:colOff>
      <xdr:row>1</xdr:row>
      <xdr:rowOff>57978</xdr:rowOff>
    </xdr:from>
    <xdr:to>
      <xdr:col>14</xdr:col>
      <xdr:colOff>194642</xdr:colOff>
      <xdr:row>20</xdr:row>
      <xdr:rowOff>158198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opLeftCell="L9" zoomScale="90" zoomScaleNormal="90" workbookViewId="0">
      <selection activeCell="AA16" sqref="AA16"/>
    </sheetView>
  </sheetViews>
  <sheetFormatPr defaultColWidth="11.42578125" defaultRowHeight="14.45"/>
  <cols>
    <col min="1" max="1" width="30.7109375" bestFit="1" customWidth="1"/>
    <col min="7" max="7" width="13" customWidth="1"/>
    <col min="8" max="8" width="10" customWidth="1"/>
    <col min="9" max="9" width="10.140625" customWidth="1"/>
    <col min="24" max="24" width="15.42578125" customWidth="1"/>
    <col min="26" max="26" width="18.7109375" customWidth="1"/>
    <col min="27" max="27" width="15.140625" customWidth="1"/>
  </cols>
  <sheetData>
    <row r="1" spans="1:34">
      <c r="A1" s="34" t="s">
        <v>0</v>
      </c>
      <c r="B1" s="35">
        <v>0.7</v>
      </c>
      <c r="C1" s="34" t="s">
        <v>1</v>
      </c>
      <c r="G1" s="36"/>
      <c r="H1" s="36" t="s">
        <v>2</v>
      </c>
      <c r="I1" s="36" t="s">
        <v>3</v>
      </c>
    </row>
    <row r="2" spans="1:34">
      <c r="A2" s="34" t="s">
        <v>4</v>
      </c>
      <c r="B2" s="35">
        <f>4*PI()*(30+4/2)</f>
        <v>402.12385965949352</v>
      </c>
      <c r="C2" s="34" t="s">
        <v>5</v>
      </c>
      <c r="E2" s="37" t="s">
        <v>6</v>
      </c>
      <c r="G2" s="36" t="s">
        <v>7</v>
      </c>
      <c r="H2" s="38">
        <v>180</v>
      </c>
      <c r="I2" s="38">
        <f>0.2*H2</f>
        <v>36</v>
      </c>
      <c r="Z2" t="s">
        <v>8</v>
      </c>
      <c r="AC2" t="s">
        <v>9</v>
      </c>
      <c r="AD2" s="37">
        <v>8</v>
      </c>
      <c r="AE2" t="s">
        <v>10</v>
      </c>
    </row>
    <row r="3" spans="1:34">
      <c r="A3" s="34" t="s">
        <v>11</v>
      </c>
      <c r="B3" s="35">
        <f>0.7*B2</f>
        <v>281.48670176164546</v>
      </c>
      <c r="C3" s="34" t="s">
        <v>12</v>
      </c>
      <c r="G3" s="36" t="s">
        <v>13</v>
      </c>
      <c r="H3" s="38">
        <v>8</v>
      </c>
      <c r="I3" s="38">
        <v>3</v>
      </c>
      <c r="J3" t="s">
        <v>14</v>
      </c>
      <c r="AC3" t="s">
        <v>15</v>
      </c>
      <c r="AD3" s="37">
        <v>2</v>
      </c>
      <c r="AE3" t="s">
        <v>16</v>
      </c>
    </row>
    <row r="4" spans="1:34">
      <c r="A4" s="34" t="s">
        <v>17</v>
      </c>
      <c r="B4" s="35">
        <v>8</v>
      </c>
      <c r="C4" s="34" t="s">
        <v>18</v>
      </c>
      <c r="AC4" t="s">
        <v>19</v>
      </c>
      <c r="AD4" s="39">
        <f>AD2-AD3*2500/1005</f>
        <v>3.0248756218905477</v>
      </c>
      <c r="AE4" t="s">
        <v>10</v>
      </c>
    </row>
    <row r="5" spans="1:34">
      <c r="A5" s="34" t="s">
        <v>20</v>
      </c>
      <c r="B5" s="35">
        <f>0.5*B4</f>
        <v>4</v>
      </c>
      <c r="C5" s="34" t="s">
        <v>18</v>
      </c>
      <c r="G5" s="79" t="s">
        <v>21</v>
      </c>
      <c r="H5" s="80"/>
      <c r="I5" s="35">
        <v>24</v>
      </c>
      <c r="J5" s="34" t="s">
        <v>10</v>
      </c>
      <c r="Z5" t="s">
        <v>22</v>
      </c>
      <c r="AC5" t="s">
        <v>9</v>
      </c>
      <c r="AD5" s="37">
        <v>50</v>
      </c>
      <c r="AE5" t="s">
        <v>10</v>
      </c>
    </row>
    <row r="6" spans="1:34">
      <c r="A6" s="34" t="s">
        <v>23</v>
      </c>
      <c r="B6" s="35">
        <f>B4+B5</f>
        <v>12</v>
      </c>
      <c r="C6" s="34" t="s">
        <v>18</v>
      </c>
      <c r="G6" s="79" t="s">
        <v>24</v>
      </c>
      <c r="H6" s="80"/>
      <c r="I6" s="35">
        <v>24</v>
      </c>
      <c r="J6" s="34" t="s">
        <v>10</v>
      </c>
      <c r="AC6" t="s">
        <v>15</v>
      </c>
      <c r="AD6">
        <v>0</v>
      </c>
      <c r="AE6" t="s">
        <v>16</v>
      </c>
      <c r="AF6" t="s">
        <v>25</v>
      </c>
    </row>
    <row r="7" spans="1:34">
      <c r="A7" s="34" t="s">
        <v>26</v>
      </c>
      <c r="B7" s="35">
        <v>6</v>
      </c>
      <c r="C7" s="34" t="s">
        <v>5</v>
      </c>
      <c r="G7" s="79"/>
      <c r="H7" s="81"/>
      <c r="I7" s="81"/>
      <c r="J7" s="80"/>
      <c r="AC7" t="s">
        <v>19</v>
      </c>
      <c r="AD7" s="39">
        <f>AD5-AD6*2500/1005</f>
        <v>50</v>
      </c>
      <c r="AE7" t="s">
        <v>10</v>
      </c>
    </row>
    <row r="8" spans="1:34">
      <c r="A8" s="34" t="s">
        <v>27</v>
      </c>
      <c r="B8" s="35">
        <f>B7*0.5*0.7</f>
        <v>2.0999999999999996</v>
      </c>
      <c r="C8" s="34" t="s">
        <v>5</v>
      </c>
      <c r="G8" s="79" t="s">
        <v>28</v>
      </c>
      <c r="H8" s="80"/>
      <c r="I8" s="34">
        <f>IF(ISBLANK(I5),0,188-4.7*I5)</f>
        <v>75.199999999999989</v>
      </c>
      <c r="J8" s="34" t="s">
        <v>29</v>
      </c>
      <c r="Z8" t="s">
        <v>30</v>
      </c>
      <c r="AC8" t="s">
        <v>9</v>
      </c>
      <c r="AD8" s="37">
        <v>-15</v>
      </c>
      <c r="AE8" t="s">
        <v>10</v>
      </c>
    </row>
    <row r="9" spans="1:34">
      <c r="A9" s="34" t="s">
        <v>31</v>
      </c>
      <c r="B9" s="35">
        <v>400</v>
      </c>
      <c r="C9" s="34" t="s">
        <v>32</v>
      </c>
      <c r="G9" s="79" t="s">
        <v>33</v>
      </c>
      <c r="H9" s="80"/>
      <c r="I9" s="34">
        <f>IF(ISBLANK(I6),0,188-4.7*I6)</f>
        <v>75.199999999999989</v>
      </c>
      <c r="J9" s="34" t="s">
        <v>29</v>
      </c>
      <c r="AC9" t="s">
        <v>15</v>
      </c>
      <c r="AD9" s="37">
        <v>2</v>
      </c>
      <c r="AE9" t="s">
        <v>16</v>
      </c>
    </row>
    <row r="10" spans="1:34">
      <c r="AC10" t="s">
        <v>19</v>
      </c>
      <c r="AD10" s="39">
        <f>AD8-AD9*2500/1005</f>
        <v>-19.975124378109452</v>
      </c>
      <c r="AE10" t="s">
        <v>10</v>
      </c>
    </row>
    <row r="13" spans="1:34">
      <c r="A13" s="34"/>
      <c r="B13" s="34"/>
      <c r="C13" s="34"/>
      <c r="D13" s="34"/>
      <c r="E13" s="34"/>
      <c r="F13" s="34"/>
      <c r="G13" s="34"/>
      <c r="H13" s="34"/>
      <c r="I13" s="34"/>
      <c r="J13" s="82" t="s">
        <v>34</v>
      </c>
      <c r="K13" s="83"/>
      <c r="L13" s="83"/>
      <c r="M13" s="83"/>
      <c r="N13" s="84"/>
      <c r="O13" s="76" t="s">
        <v>35</v>
      </c>
      <c r="P13" s="77"/>
      <c r="Q13" s="77"/>
      <c r="R13" s="77"/>
      <c r="S13" s="78"/>
    </row>
    <row r="14" spans="1:34" ht="57.6">
      <c r="A14" s="40" t="s">
        <v>36</v>
      </c>
      <c r="B14" s="40" t="s">
        <v>37</v>
      </c>
      <c r="C14" s="40" t="s">
        <v>38</v>
      </c>
      <c r="D14" s="40" t="s">
        <v>39</v>
      </c>
      <c r="E14" s="40" t="s">
        <v>40</v>
      </c>
      <c r="F14" s="40" t="s">
        <v>41</v>
      </c>
      <c r="G14" s="40" t="s">
        <v>42</v>
      </c>
      <c r="H14" s="40" t="s">
        <v>43</v>
      </c>
      <c r="I14" s="40" t="s">
        <v>44</v>
      </c>
      <c r="J14" s="41" t="s">
        <v>45</v>
      </c>
      <c r="K14" s="41" t="s">
        <v>46</v>
      </c>
      <c r="L14" s="41" t="s">
        <v>47</v>
      </c>
      <c r="M14" s="41" t="s">
        <v>48</v>
      </c>
      <c r="N14" s="41" t="s">
        <v>49</v>
      </c>
      <c r="O14" s="42" t="s">
        <v>45</v>
      </c>
      <c r="P14" s="42" t="s">
        <v>46</v>
      </c>
      <c r="Q14" s="42" t="s">
        <v>47</v>
      </c>
      <c r="R14" s="42" t="s">
        <v>48</v>
      </c>
      <c r="S14" s="42" t="s">
        <v>49</v>
      </c>
      <c r="T14" s="40" t="s">
        <v>50</v>
      </c>
      <c r="U14" s="40" t="s">
        <v>51</v>
      </c>
      <c r="V14" s="40" t="s">
        <v>52</v>
      </c>
      <c r="W14" s="40" t="s">
        <v>53</v>
      </c>
      <c r="X14" s="40" t="s">
        <v>54</v>
      </c>
      <c r="Y14" s="40" t="s">
        <v>55</v>
      </c>
      <c r="Z14" s="40" t="s">
        <v>56</v>
      </c>
      <c r="AA14" s="43" t="s">
        <v>57</v>
      </c>
      <c r="AB14" s="43" t="s">
        <v>58</v>
      </c>
      <c r="AC14" s="43" t="s">
        <v>59</v>
      </c>
      <c r="AD14" s="43" t="s">
        <v>60</v>
      </c>
      <c r="AE14" s="40" t="s">
        <v>61</v>
      </c>
      <c r="AF14" s="40" t="s">
        <v>62</v>
      </c>
      <c r="AG14" s="40" t="s">
        <v>63</v>
      </c>
      <c r="AH14" s="40" t="s">
        <v>64</v>
      </c>
    </row>
    <row r="15" spans="1:34">
      <c r="A15" s="40" t="s">
        <v>65</v>
      </c>
      <c r="B15" s="40" t="s">
        <v>66</v>
      </c>
      <c r="C15" s="40" t="s">
        <v>10</v>
      </c>
      <c r="D15" s="40" t="s">
        <v>10</v>
      </c>
      <c r="E15" s="40" t="s">
        <v>10</v>
      </c>
      <c r="F15" s="40"/>
      <c r="G15" s="40"/>
      <c r="H15" s="40" t="s">
        <v>10</v>
      </c>
      <c r="I15" s="40" t="s">
        <v>10</v>
      </c>
      <c r="J15" s="41" t="s">
        <v>29</v>
      </c>
      <c r="K15" s="41" t="s">
        <v>29</v>
      </c>
      <c r="L15" s="41" t="s">
        <v>29</v>
      </c>
      <c r="M15" s="41" t="s">
        <v>29</v>
      </c>
      <c r="N15" s="41" t="s">
        <v>29</v>
      </c>
      <c r="O15" s="42" t="s">
        <v>29</v>
      </c>
      <c r="P15" s="42" t="s">
        <v>29</v>
      </c>
      <c r="Q15" s="42" t="s">
        <v>29</v>
      </c>
      <c r="R15" s="42" t="s">
        <v>29</v>
      </c>
      <c r="S15" s="42" t="s">
        <v>29</v>
      </c>
      <c r="T15" s="40" t="s">
        <v>67</v>
      </c>
      <c r="U15" s="40" t="s">
        <v>67</v>
      </c>
      <c r="V15" s="40" t="s">
        <v>67</v>
      </c>
      <c r="W15" s="40"/>
      <c r="X15" s="40" t="s">
        <v>68</v>
      </c>
      <c r="Y15" s="40" t="s">
        <v>69</v>
      </c>
      <c r="Z15" s="40" t="s">
        <v>68</v>
      </c>
      <c r="AA15" s="43" t="s">
        <v>68</v>
      </c>
      <c r="AB15" s="44" t="s">
        <v>68</v>
      </c>
      <c r="AC15" s="44" t="s">
        <v>68</v>
      </c>
      <c r="AD15" s="44" t="s">
        <v>68</v>
      </c>
      <c r="AE15" s="36" t="s">
        <v>68</v>
      </c>
      <c r="AF15" s="36" t="s">
        <v>68</v>
      </c>
      <c r="AG15" s="36" t="s">
        <v>68</v>
      </c>
      <c r="AH15" s="36" t="s">
        <v>68</v>
      </c>
    </row>
    <row r="16" spans="1:34">
      <c r="A16" s="36">
        <v>0</v>
      </c>
      <c r="B16" s="45">
        <f>1135+240*A16/40000</f>
        <v>1135</v>
      </c>
      <c r="C16" s="46">
        <f>15-A16*71.5/40000</f>
        <v>15</v>
      </c>
      <c r="D16" s="46">
        <f>C16+25</f>
        <v>40</v>
      </c>
      <c r="E16" s="46">
        <v>-40</v>
      </c>
      <c r="F16" s="36">
        <v>0</v>
      </c>
      <c r="G16" s="47">
        <v>0</v>
      </c>
      <c r="H16" s="36">
        <f>(E16+273.15)*(1+0.18*F16^2)-273.15</f>
        <v>-40</v>
      </c>
      <c r="I16" s="48">
        <f>D16*1.2368</f>
        <v>49.471999999999994</v>
      </c>
      <c r="J16" s="49">
        <f>$B$3*(I16-$I$5)</f>
        <v>7170.0292672726318</v>
      </c>
      <c r="K16" s="49">
        <f>$I$8*$H$2+2*$I$8*$H$3</f>
        <v>14739.199999999997</v>
      </c>
      <c r="L16" s="49">
        <f>800+60*$H$2</f>
        <v>11600</v>
      </c>
      <c r="M16" s="49">
        <f>$B$8*B16</f>
        <v>2383.4999999999995</v>
      </c>
      <c r="N16" s="49">
        <f>SUM(J16:M16)</f>
        <v>35892.729267272633</v>
      </c>
      <c r="O16" s="50">
        <f>$B$3*(H16-$I$6)</f>
        <v>-18015.14891274531</v>
      </c>
      <c r="P16" s="50">
        <f>$I$9*$I$2+2*$I$9*$I$3</f>
        <v>3158.3999999999996</v>
      </c>
      <c r="Q16" s="50">
        <f>400+60*$I$2</f>
        <v>2560</v>
      </c>
      <c r="R16" s="50">
        <v>0</v>
      </c>
      <c r="S16" s="50">
        <f>SUM(O16:R16)</f>
        <v>-12296.74891274531</v>
      </c>
      <c r="T16" s="45">
        <v>1013.25</v>
      </c>
      <c r="U16" s="45">
        <v>1020</v>
      </c>
      <c r="V16" s="45">
        <f t="shared" ref="V16:V34" si="0">V17+11</f>
        <v>1019.6800000000001</v>
      </c>
      <c r="W16" s="48">
        <f>U16/T16</f>
        <v>1.006661732050333</v>
      </c>
      <c r="X16" s="48">
        <f>$B$6*0.0001*U16*100*0.1562*((W16^(-1.429)-W16^(-1.714))/(273.15+24))^0.5</f>
        <v>4.7995837823966235E-2</v>
      </c>
      <c r="Y16" s="45">
        <f>V16*100/287/(273.15+24)*$B$9</f>
        <v>478.26242450785372</v>
      </c>
      <c r="Z16" s="36"/>
      <c r="AA16" s="51">
        <f>X16+Z16</f>
        <v>4.7995837823966235E-2</v>
      </c>
      <c r="AB16" s="52">
        <f>N16/1005/(24-$AD$4)</f>
        <v>1.7026911417112254</v>
      </c>
      <c r="AC16" s="52">
        <f>S16/1005/(24-$AD$5)</f>
        <v>0.47059888682530848</v>
      </c>
      <c r="AD16" s="52">
        <f>0.55*($H$2+2*$H$3)/2.2046/60</f>
        <v>0.81496265384499078</v>
      </c>
      <c r="AE16" s="47">
        <f>N16/1005/(24-$AD$10)</f>
        <v>0.8121445699122668</v>
      </c>
      <c r="AF16" s="48">
        <f>AD16/0.92</f>
        <v>0.88582897157064211</v>
      </c>
      <c r="AG16" s="48">
        <f>AF16*0.4/0.55</f>
        <v>0.64423925205137611</v>
      </c>
      <c r="AH16" s="48">
        <f>'ECS failure'!AF16</f>
        <v>0.66396086180805081</v>
      </c>
    </row>
    <row r="17" spans="1:34">
      <c r="A17" s="36">
        <f>A16+2000</f>
        <v>2000</v>
      </c>
      <c r="B17" s="45">
        <f t="shared" ref="B17:B36" si="1">1135+240*A17/40000</f>
        <v>1147</v>
      </c>
      <c r="C17" s="46">
        <f t="shared" ref="C17:C36" si="2">15-A17*71.5/40000</f>
        <v>11.425000000000001</v>
      </c>
      <c r="D17" s="46">
        <f t="shared" ref="D17:D34" si="3">C17+25</f>
        <v>36.424999999999997</v>
      </c>
      <c r="E17" s="46">
        <v>-40</v>
      </c>
      <c r="F17" s="36">
        <v>0</v>
      </c>
      <c r="G17" s="47">
        <f t="shared" ref="G17:G34" si="4">0.3+0.000015*A17</f>
        <v>0.33</v>
      </c>
      <c r="H17" s="36">
        <f t="shared" ref="H17:H36" si="5">(E17+273.15)*(1+0.18*F17^2)-273.15</f>
        <v>-40</v>
      </c>
      <c r="I17" s="48">
        <f>(D17+273.15)*(1+0.18*G17^2)-273.15</f>
        <v>42.493289149999953</v>
      </c>
      <c r="J17" s="49">
        <f t="shared" ref="J17:J36" si="6">$B$3*(I17-$I$5)</f>
        <v>5205.6149675579109</v>
      </c>
      <c r="K17" s="49">
        <f t="shared" ref="K17:K36" si="7">$I$8*$H$2+2*$I$8*$H$3</f>
        <v>14739.199999999997</v>
      </c>
      <c r="L17" s="49">
        <f t="shared" ref="L17:L36" si="8">800+60*$H$2</f>
        <v>11600</v>
      </c>
      <c r="M17" s="49">
        <f t="shared" ref="M17:M33" si="9">$B$8*B17</f>
        <v>2408.6999999999998</v>
      </c>
      <c r="N17" s="49">
        <f t="shared" ref="N17:N33" si="10">SUM(J17:M17)</f>
        <v>33953.514967557909</v>
      </c>
      <c r="O17" s="50">
        <f t="shared" ref="O17:O36" si="11">$B$3*(H17-$I$6)</f>
        <v>-18015.14891274531</v>
      </c>
      <c r="P17" s="50">
        <f t="shared" ref="P17:P36" si="12">$I$9*$I$2+2*$I$9*$I$3</f>
        <v>3158.3999999999996</v>
      </c>
      <c r="Q17" s="50">
        <f t="shared" ref="Q17:Q36" si="13">400+60*$I$2</f>
        <v>2560</v>
      </c>
      <c r="R17" s="50">
        <v>0</v>
      </c>
      <c r="S17" s="50">
        <f t="shared" ref="S17:S34" si="14">SUM(O17:R17)</f>
        <v>-12296.74891274531</v>
      </c>
      <c r="T17" s="45">
        <v>942.13333321545463</v>
      </c>
      <c r="U17" s="45">
        <v>1016.7892000000001</v>
      </c>
      <c r="V17" s="45">
        <f t="shared" si="0"/>
        <v>1008.6800000000001</v>
      </c>
      <c r="W17" s="48">
        <f t="shared" ref="W17:W36" si="15">U17/T17</f>
        <v>1.0792412964837457</v>
      </c>
      <c r="X17" s="48">
        <f t="shared" ref="X17:X24" si="16">$B$6*0.0001*U17*100*0.1562*((W17^(-1.429)-W17^(-1.714))/(273.15+24))^0.5</f>
        <v>0.15351565367996281</v>
      </c>
      <c r="Y17" s="45">
        <f t="shared" ref="Y17:Y32" si="17">V17*100/287/(273.15+24)*$B$9</f>
        <v>473.10307385903599</v>
      </c>
      <c r="Z17" s="48">
        <f>(Y16-Y17)/60</f>
        <v>8.5989177480295595E-2</v>
      </c>
      <c r="AA17" s="51">
        <f t="shared" ref="AA17:AA36" si="18">X17+Z17</f>
        <v>0.23950483116025839</v>
      </c>
      <c r="AB17" s="52">
        <f t="shared" ref="AB17:AB36" si="19">N17/1005/(24-$AD$4)</f>
        <v>1.6106980534894646</v>
      </c>
      <c r="AC17" s="52">
        <f t="shared" ref="AC17:AC36" si="20">S17/1005/(24-$AD$5)</f>
        <v>0.47059888682530848</v>
      </c>
      <c r="AD17" s="52">
        <f t="shared" ref="AD17:AD36" si="21">0.55*($H$2+2*$H$3)/2.2046/60</f>
        <v>0.81496265384499078</v>
      </c>
      <c r="AE17" s="47">
        <f t="shared" ref="AE17:AE36" si="22">N17/1005/(24-$AD$10)</f>
        <v>0.76826597958044818</v>
      </c>
      <c r="AF17" s="48">
        <f t="shared" ref="AF17:AF36" si="23">AD17/0.92</f>
        <v>0.88582897157064211</v>
      </c>
      <c r="AG17" s="48">
        <f t="shared" ref="AG17:AG36" si="24">AF17*0.4/0.55</f>
        <v>0.64423925205137611</v>
      </c>
      <c r="AH17" s="48">
        <f>'ECS failure'!AF17</f>
        <v>0.66396086180805081</v>
      </c>
    </row>
    <row r="18" spans="1:34">
      <c r="A18" s="36">
        <f t="shared" ref="A18:A36" si="25">A17+2000</f>
        <v>4000</v>
      </c>
      <c r="B18" s="45">
        <f t="shared" si="1"/>
        <v>1159</v>
      </c>
      <c r="C18" s="46">
        <f t="shared" si="2"/>
        <v>7.85</v>
      </c>
      <c r="D18" s="46">
        <f t="shared" si="3"/>
        <v>32.85</v>
      </c>
      <c r="E18" s="46">
        <v>-40</v>
      </c>
      <c r="F18" s="36">
        <v>0</v>
      </c>
      <c r="G18" s="47">
        <f t="shared" si="4"/>
        <v>0.36</v>
      </c>
      <c r="H18" s="36">
        <f t="shared" si="5"/>
        <v>-40</v>
      </c>
      <c r="I18" s="48">
        <f t="shared" ref="I18:I35" si="26">(D18+273.15)*(1+0.18*G18^2)-273.15</f>
        <v>39.988368000000037</v>
      </c>
      <c r="J18" s="49">
        <f t="shared" si="6"/>
        <v>4500.5129748714462</v>
      </c>
      <c r="K18" s="49">
        <f t="shared" si="7"/>
        <v>14739.199999999997</v>
      </c>
      <c r="L18" s="49">
        <f t="shared" si="8"/>
        <v>11600</v>
      </c>
      <c r="M18" s="49">
        <f t="shared" si="9"/>
        <v>2433.8999999999996</v>
      </c>
      <c r="N18" s="49">
        <f t="shared" si="10"/>
        <v>33273.612974871445</v>
      </c>
      <c r="O18" s="50">
        <f t="shared" si="11"/>
        <v>-18015.14891274531</v>
      </c>
      <c r="P18" s="50">
        <f t="shared" si="12"/>
        <v>3158.3999999999996</v>
      </c>
      <c r="Q18" s="50">
        <f t="shared" si="13"/>
        <v>2560</v>
      </c>
      <c r="R18" s="50">
        <v>0</v>
      </c>
      <c r="S18" s="50">
        <f t="shared" si="14"/>
        <v>-12296.74891274531</v>
      </c>
      <c r="T18" s="45">
        <v>875.11353827419271</v>
      </c>
      <c r="U18" s="45">
        <v>1012.7568</v>
      </c>
      <c r="V18" s="45">
        <f t="shared" si="0"/>
        <v>997.68000000000006</v>
      </c>
      <c r="W18" s="48">
        <f t="shared" si="15"/>
        <v>1.1572861756855606</v>
      </c>
      <c r="X18" s="48">
        <f t="shared" si="16"/>
        <v>0.20033699612253797</v>
      </c>
      <c r="Y18" s="45">
        <f t="shared" si="17"/>
        <v>467.94372321021837</v>
      </c>
      <c r="Z18" s="48">
        <f t="shared" ref="Z18:Z32" si="27">(Y17-Y18)/60</f>
        <v>8.5989177480293694E-2</v>
      </c>
      <c r="AA18" s="51">
        <f t="shared" si="18"/>
        <v>0.28632617360283164</v>
      </c>
      <c r="AB18" s="52">
        <f t="shared" si="19"/>
        <v>1.5784446382766339</v>
      </c>
      <c r="AC18" s="52">
        <f t="shared" si="20"/>
        <v>0.47059888682530848</v>
      </c>
      <c r="AD18" s="52">
        <f t="shared" si="21"/>
        <v>0.81496265384499078</v>
      </c>
      <c r="AE18" s="47">
        <f t="shared" si="22"/>
        <v>0.75288184126872815</v>
      </c>
      <c r="AF18" s="48">
        <f t="shared" si="23"/>
        <v>0.88582897157064211</v>
      </c>
      <c r="AG18" s="48">
        <f t="shared" si="24"/>
        <v>0.64423925205137611</v>
      </c>
      <c r="AH18" s="48">
        <f>'ECS failure'!AF18</f>
        <v>0.66396086180805081</v>
      </c>
    </row>
    <row r="19" spans="1:34">
      <c r="A19" s="36">
        <f t="shared" si="25"/>
        <v>6000</v>
      </c>
      <c r="B19" s="45">
        <f t="shared" si="1"/>
        <v>1171</v>
      </c>
      <c r="C19" s="46">
        <f t="shared" si="2"/>
        <v>4.2750000000000004</v>
      </c>
      <c r="D19" s="46">
        <f t="shared" si="3"/>
        <v>29.274999999999999</v>
      </c>
      <c r="E19" s="46">
        <v>-40</v>
      </c>
      <c r="F19" s="36">
        <v>0</v>
      </c>
      <c r="G19" s="47">
        <f t="shared" si="4"/>
        <v>0.39</v>
      </c>
      <c r="H19" s="36">
        <f t="shared" si="5"/>
        <v>-40</v>
      </c>
      <c r="I19" s="48">
        <f t="shared" si="26"/>
        <v>37.55479164999997</v>
      </c>
      <c r="J19" s="49">
        <f t="shared" si="6"/>
        <v>3815.4935946247838</v>
      </c>
      <c r="K19" s="49">
        <f t="shared" si="7"/>
        <v>14739.199999999997</v>
      </c>
      <c r="L19" s="49">
        <f t="shared" si="8"/>
        <v>11600</v>
      </c>
      <c r="M19" s="49">
        <f t="shared" si="9"/>
        <v>2459.0999999999995</v>
      </c>
      <c r="N19" s="49">
        <f t="shared" si="10"/>
        <v>32613.793594624778</v>
      </c>
      <c r="O19" s="50">
        <f t="shared" si="11"/>
        <v>-18015.14891274531</v>
      </c>
      <c r="P19" s="50">
        <f t="shared" si="12"/>
        <v>3158.3999999999996</v>
      </c>
      <c r="Q19" s="50">
        <f t="shared" si="13"/>
        <v>2560</v>
      </c>
      <c r="R19" s="50">
        <v>0</v>
      </c>
      <c r="S19" s="50">
        <f t="shared" si="14"/>
        <v>-12296.74891274531</v>
      </c>
      <c r="T19" s="45">
        <v>812.00756195606618</v>
      </c>
      <c r="U19" s="45">
        <v>1007.9028000000001</v>
      </c>
      <c r="V19" s="45">
        <f t="shared" si="0"/>
        <v>986.68000000000006</v>
      </c>
      <c r="W19" s="48">
        <f t="shared" si="15"/>
        <v>1.2412480464738982</v>
      </c>
      <c r="X19" s="48">
        <f t="shared" si="16"/>
        <v>0.2295330702046775</v>
      </c>
      <c r="Y19" s="45">
        <f t="shared" si="17"/>
        <v>462.78437256140074</v>
      </c>
      <c r="Z19" s="48">
        <f t="shared" si="27"/>
        <v>8.5989177480293694E-2</v>
      </c>
      <c r="AA19" s="51">
        <f t="shared" si="18"/>
        <v>0.31552224768497117</v>
      </c>
      <c r="AB19" s="52">
        <f t="shared" si="19"/>
        <v>1.5471439086634147</v>
      </c>
      <c r="AC19" s="52">
        <f t="shared" si="20"/>
        <v>0.47059888682530848</v>
      </c>
      <c r="AD19" s="52">
        <f t="shared" si="21"/>
        <v>0.81496265384499078</v>
      </c>
      <c r="AE19" s="47">
        <f t="shared" si="22"/>
        <v>0.73795211210826517</v>
      </c>
      <c r="AF19" s="48">
        <f t="shared" si="23"/>
        <v>0.88582897157064211</v>
      </c>
      <c r="AG19" s="48">
        <f t="shared" si="24"/>
        <v>0.64423925205137611</v>
      </c>
      <c r="AH19" s="48">
        <f>'ECS failure'!AF19</f>
        <v>0.66396086180805081</v>
      </c>
    </row>
    <row r="20" spans="1:34">
      <c r="A20" s="36">
        <f t="shared" si="25"/>
        <v>8000</v>
      </c>
      <c r="B20" s="45">
        <f t="shared" si="1"/>
        <v>1183</v>
      </c>
      <c r="C20" s="46">
        <f t="shared" si="2"/>
        <v>0.69999999999999929</v>
      </c>
      <c r="D20" s="46">
        <f t="shared" si="3"/>
        <v>25.7</v>
      </c>
      <c r="E20" s="46">
        <v>-40</v>
      </c>
      <c r="F20" s="36">
        <v>0</v>
      </c>
      <c r="G20" s="47">
        <f t="shared" si="4"/>
        <v>0.42</v>
      </c>
      <c r="H20" s="36">
        <f t="shared" si="5"/>
        <v>-40</v>
      </c>
      <c r="I20" s="48">
        <f t="shared" si="26"/>
        <v>35.189085199999965</v>
      </c>
      <c r="J20" s="49">
        <f t="shared" si="6"/>
        <v>3149.5786886780315</v>
      </c>
      <c r="K20" s="49">
        <f t="shared" si="7"/>
        <v>14739.199999999997</v>
      </c>
      <c r="L20" s="49">
        <f t="shared" si="8"/>
        <v>11600</v>
      </c>
      <c r="M20" s="49">
        <f t="shared" si="9"/>
        <v>2484.2999999999997</v>
      </c>
      <c r="N20" s="49">
        <f t="shared" si="10"/>
        <v>31973.07868867803</v>
      </c>
      <c r="O20" s="50">
        <f t="shared" si="11"/>
        <v>-18015.14891274531</v>
      </c>
      <c r="P20" s="50">
        <f t="shared" si="12"/>
        <v>3158.3999999999996</v>
      </c>
      <c r="Q20" s="50">
        <f t="shared" si="13"/>
        <v>2560</v>
      </c>
      <c r="R20" s="50">
        <v>0</v>
      </c>
      <c r="S20" s="50">
        <f t="shared" si="14"/>
        <v>-12296.74891274531</v>
      </c>
      <c r="T20" s="45">
        <v>752.63809752060683</v>
      </c>
      <c r="U20" s="45">
        <v>1002.2271999999999</v>
      </c>
      <c r="V20" s="45">
        <f t="shared" si="0"/>
        <v>975.68000000000006</v>
      </c>
      <c r="W20" s="48">
        <f t="shared" si="15"/>
        <v>1.3316190122471969</v>
      </c>
      <c r="X20" s="48">
        <f t="shared" si="16"/>
        <v>0.24864218994885767</v>
      </c>
      <c r="Y20" s="45">
        <f t="shared" si="17"/>
        <v>457.62502191258301</v>
      </c>
      <c r="Z20" s="48">
        <f t="shared" si="27"/>
        <v>8.5989177480295595E-2</v>
      </c>
      <c r="AA20" s="51">
        <f t="shared" si="18"/>
        <v>0.33463136742915328</v>
      </c>
      <c r="AB20" s="52">
        <f t="shared" si="19"/>
        <v>1.5167494634097738</v>
      </c>
      <c r="AC20" s="52">
        <f t="shared" si="20"/>
        <v>0.47059888682530848</v>
      </c>
      <c r="AD20" s="52">
        <f t="shared" si="21"/>
        <v>0.81496265384499078</v>
      </c>
      <c r="AE20" s="47">
        <f t="shared" si="22"/>
        <v>0.72345465977323287</v>
      </c>
      <c r="AF20" s="48">
        <f t="shared" si="23"/>
        <v>0.88582897157064211</v>
      </c>
      <c r="AG20" s="48">
        <f t="shared" si="24"/>
        <v>0.64423925205137611</v>
      </c>
      <c r="AH20" s="48">
        <f>'ECS failure'!AF20</f>
        <v>0.66396086180805081</v>
      </c>
    </row>
    <row r="21" spans="1:34">
      <c r="A21" s="36">
        <f t="shared" si="25"/>
        <v>10000</v>
      </c>
      <c r="B21" s="45">
        <f t="shared" si="1"/>
        <v>1195</v>
      </c>
      <c r="C21" s="46">
        <f t="shared" si="2"/>
        <v>-2.875</v>
      </c>
      <c r="D21" s="46">
        <f t="shared" si="3"/>
        <v>22.125</v>
      </c>
      <c r="E21" s="46">
        <v>-40</v>
      </c>
      <c r="F21" s="36">
        <v>0</v>
      </c>
      <c r="G21" s="47">
        <f t="shared" si="4"/>
        <v>0.44999999999999996</v>
      </c>
      <c r="H21" s="36">
        <f t="shared" si="5"/>
        <v>-40</v>
      </c>
      <c r="I21" s="48">
        <f t="shared" si="26"/>
        <v>32.887773750000008</v>
      </c>
      <c r="J21" s="49">
        <f t="shared" si="6"/>
        <v>2501.7901188912338</v>
      </c>
      <c r="K21" s="49">
        <f t="shared" si="7"/>
        <v>14739.199999999997</v>
      </c>
      <c r="L21" s="49">
        <f t="shared" si="8"/>
        <v>11600</v>
      </c>
      <c r="M21" s="49">
        <f t="shared" si="9"/>
        <v>2509.4999999999995</v>
      </c>
      <c r="N21" s="49">
        <f t="shared" si="10"/>
        <v>31350.49011889123</v>
      </c>
      <c r="O21" s="50">
        <f t="shared" si="11"/>
        <v>-18015.14891274531</v>
      </c>
      <c r="P21" s="50">
        <f t="shared" si="12"/>
        <v>3158.3999999999996</v>
      </c>
      <c r="Q21" s="50">
        <f t="shared" si="13"/>
        <v>2560</v>
      </c>
      <c r="R21" s="50">
        <v>0</v>
      </c>
      <c r="S21" s="50">
        <f t="shared" si="14"/>
        <v>-12296.74891274531</v>
      </c>
      <c r="T21" s="45">
        <v>696.83348284608155</v>
      </c>
      <c r="U21" s="45">
        <v>995.73</v>
      </c>
      <c r="V21" s="45">
        <f t="shared" si="0"/>
        <v>964.68000000000006</v>
      </c>
      <c r="W21" s="48">
        <f t="shared" si="15"/>
        <v>1.4289353547322863</v>
      </c>
      <c r="X21" s="48">
        <f t="shared" si="16"/>
        <v>0.26092892893281372</v>
      </c>
      <c r="Y21" s="45">
        <f t="shared" si="17"/>
        <v>452.46567126376539</v>
      </c>
      <c r="Z21" s="48">
        <f t="shared" si="27"/>
        <v>8.5989177480293694E-2</v>
      </c>
      <c r="AA21" s="51">
        <f t="shared" si="18"/>
        <v>0.34691810641310739</v>
      </c>
      <c r="AB21" s="52">
        <f t="shared" si="19"/>
        <v>1.487214901275675</v>
      </c>
      <c r="AC21" s="52">
        <f t="shared" si="20"/>
        <v>0.47059888682530848</v>
      </c>
      <c r="AD21" s="52">
        <f t="shared" si="21"/>
        <v>0.81496265384499078</v>
      </c>
      <c r="AE21" s="47">
        <f t="shared" si="22"/>
        <v>0.70936735193780354</v>
      </c>
      <c r="AF21" s="48">
        <f t="shared" si="23"/>
        <v>0.88582897157064211</v>
      </c>
      <c r="AG21" s="48">
        <f t="shared" si="24"/>
        <v>0.64423925205137611</v>
      </c>
      <c r="AH21" s="48">
        <f>'ECS failure'!AF21</f>
        <v>0.66396086180805081</v>
      </c>
    </row>
    <row r="22" spans="1:34">
      <c r="A22" s="36">
        <f t="shared" si="25"/>
        <v>12000</v>
      </c>
      <c r="B22" s="45">
        <f t="shared" si="1"/>
        <v>1207</v>
      </c>
      <c r="C22" s="46">
        <f t="shared" si="2"/>
        <v>-6.4499999999999993</v>
      </c>
      <c r="D22" s="46">
        <f t="shared" si="3"/>
        <v>18.55</v>
      </c>
      <c r="E22" s="46">
        <v>-40</v>
      </c>
      <c r="F22" s="36">
        <f t="shared" ref="F22:F34" si="28">0.00002*A22</f>
        <v>0.24000000000000002</v>
      </c>
      <c r="G22" s="47">
        <f t="shared" si="4"/>
        <v>0.48</v>
      </c>
      <c r="H22" s="46">
        <f t="shared" si="5"/>
        <v>-37.582700800000026</v>
      </c>
      <c r="I22" s="48">
        <f t="shared" si="26"/>
        <v>30.647382399999969</v>
      </c>
      <c r="J22" s="49">
        <f t="shared" si="6"/>
        <v>1871.1497471244024</v>
      </c>
      <c r="K22" s="49">
        <f t="shared" si="7"/>
        <v>14739.199999999997</v>
      </c>
      <c r="L22" s="49">
        <f t="shared" si="8"/>
        <v>11600</v>
      </c>
      <c r="M22" s="49">
        <f t="shared" si="9"/>
        <v>2534.6999999999994</v>
      </c>
      <c r="N22" s="49">
        <f t="shared" si="10"/>
        <v>30745.049747124402</v>
      </c>
      <c r="O22" s="50">
        <f t="shared" si="11"/>
        <v>-17334.711333766252</v>
      </c>
      <c r="P22" s="50">
        <f t="shared" si="12"/>
        <v>3158.3999999999996</v>
      </c>
      <c r="Q22" s="50">
        <f t="shared" si="13"/>
        <v>2560</v>
      </c>
      <c r="R22" s="50">
        <v>0</v>
      </c>
      <c r="S22" s="50">
        <f t="shared" si="14"/>
        <v>-11616.311333766253</v>
      </c>
      <c r="T22" s="45">
        <v>644.42759894186963</v>
      </c>
      <c r="U22" s="45">
        <v>988.41120000000001</v>
      </c>
      <c r="V22" s="45">
        <f t="shared" si="0"/>
        <v>953.68000000000006</v>
      </c>
      <c r="W22" s="48">
        <f t="shared" si="15"/>
        <v>1.5337816096376706</v>
      </c>
      <c r="X22" s="48">
        <f t="shared" si="16"/>
        <v>0.26822133134317983</v>
      </c>
      <c r="Y22" s="45">
        <f t="shared" si="17"/>
        <v>447.30632061494777</v>
      </c>
      <c r="Z22" s="48">
        <f t="shared" si="27"/>
        <v>8.5989177480293694E-2</v>
      </c>
      <c r="AA22" s="51">
        <f t="shared" si="18"/>
        <v>0.35421050882347349</v>
      </c>
      <c r="AB22" s="52">
        <f t="shared" si="19"/>
        <v>1.4584938210210818</v>
      </c>
      <c r="AC22" s="52">
        <f t="shared" si="20"/>
        <v>0.44455841307945854</v>
      </c>
      <c r="AD22" s="52">
        <f t="shared" si="21"/>
        <v>0.81496265384499078</v>
      </c>
      <c r="AE22" s="47">
        <f t="shared" si="22"/>
        <v>0.69566805627614892</v>
      </c>
      <c r="AF22" s="48">
        <f t="shared" si="23"/>
        <v>0.88582897157064211</v>
      </c>
      <c r="AG22" s="48">
        <f t="shared" si="24"/>
        <v>0.64423925205137611</v>
      </c>
      <c r="AH22" s="48">
        <f>'ECS failure'!AF22</f>
        <v>0.66396086180805081</v>
      </c>
    </row>
    <row r="23" spans="1:34">
      <c r="A23" s="36">
        <f t="shared" si="25"/>
        <v>14000</v>
      </c>
      <c r="B23" s="45">
        <f t="shared" si="1"/>
        <v>1219</v>
      </c>
      <c r="C23" s="46">
        <f t="shared" si="2"/>
        <v>-10.024999999999999</v>
      </c>
      <c r="D23" s="46">
        <f t="shared" si="3"/>
        <v>14.975000000000001</v>
      </c>
      <c r="E23" s="46">
        <v>-40</v>
      </c>
      <c r="F23" s="36">
        <f t="shared" si="28"/>
        <v>0.28000000000000003</v>
      </c>
      <c r="G23" s="47">
        <f t="shared" si="4"/>
        <v>0.51</v>
      </c>
      <c r="H23" s="46">
        <f t="shared" si="5"/>
        <v>-36.709787200000022</v>
      </c>
      <c r="I23" s="48">
        <f t="shared" si="26"/>
        <v>28.464436250000006</v>
      </c>
      <c r="J23" s="49">
        <f t="shared" si="6"/>
        <v>1256.6794352376305</v>
      </c>
      <c r="K23" s="49">
        <f t="shared" si="7"/>
        <v>14739.199999999997</v>
      </c>
      <c r="L23" s="49">
        <f t="shared" si="8"/>
        <v>11600</v>
      </c>
      <c r="M23" s="49">
        <f t="shared" si="9"/>
        <v>2559.8999999999996</v>
      </c>
      <c r="N23" s="49">
        <f t="shared" si="10"/>
        <v>30155.77943523763</v>
      </c>
      <c r="O23" s="50">
        <f t="shared" si="11"/>
        <v>-17088.997763579366</v>
      </c>
      <c r="P23" s="50">
        <f t="shared" si="12"/>
        <v>3158.3999999999996</v>
      </c>
      <c r="Q23" s="50">
        <f t="shared" si="13"/>
        <v>2560</v>
      </c>
      <c r="R23" s="50">
        <v>0</v>
      </c>
      <c r="S23" s="50">
        <f t="shared" si="14"/>
        <v>-11370.597763579366</v>
      </c>
      <c r="T23" s="45">
        <v>595.25976883820124</v>
      </c>
      <c r="U23" s="45">
        <v>980.27080000000001</v>
      </c>
      <c r="V23" s="45">
        <f t="shared" si="0"/>
        <v>942.68000000000006</v>
      </c>
      <c r="W23" s="48">
        <f t="shared" si="15"/>
        <v>1.646794981480513</v>
      </c>
      <c r="X23" s="48">
        <f t="shared" si="16"/>
        <v>0.27169267491969262</v>
      </c>
      <c r="Y23" s="45">
        <f t="shared" si="17"/>
        <v>442.14696996613003</v>
      </c>
      <c r="Z23" s="48">
        <f t="shared" si="27"/>
        <v>8.5989177480295595E-2</v>
      </c>
      <c r="AA23" s="51">
        <f t="shared" si="18"/>
        <v>0.35768185239998823</v>
      </c>
      <c r="AB23" s="52">
        <f t="shared" si="19"/>
        <v>1.4305398214059597</v>
      </c>
      <c r="AC23" s="52">
        <f t="shared" si="20"/>
        <v>0.43515490867123485</v>
      </c>
      <c r="AD23" s="52">
        <f t="shared" si="21"/>
        <v>0.81496265384499078</v>
      </c>
      <c r="AE23" s="47">
        <f t="shared" si="22"/>
        <v>0.68233464046244208</v>
      </c>
      <c r="AF23" s="48">
        <f t="shared" si="23"/>
        <v>0.88582897157064211</v>
      </c>
      <c r="AG23" s="48">
        <f t="shared" si="24"/>
        <v>0.64423925205137611</v>
      </c>
      <c r="AH23" s="48">
        <f>'ECS failure'!AF23</f>
        <v>0.66396086180805081</v>
      </c>
    </row>
    <row r="24" spans="1:34">
      <c r="A24" s="36">
        <f t="shared" si="25"/>
        <v>16000</v>
      </c>
      <c r="B24" s="45">
        <f t="shared" si="1"/>
        <v>1231</v>
      </c>
      <c r="C24" s="46">
        <f t="shared" si="2"/>
        <v>-13.600000000000001</v>
      </c>
      <c r="D24" s="46">
        <f t="shared" si="3"/>
        <v>11.399999999999999</v>
      </c>
      <c r="E24" s="46">
        <v>-40</v>
      </c>
      <c r="F24" s="36">
        <f t="shared" si="28"/>
        <v>0.32</v>
      </c>
      <c r="G24" s="47">
        <f t="shared" si="4"/>
        <v>0.54</v>
      </c>
      <c r="H24" s="46">
        <f t="shared" si="5"/>
        <v>-35.702579200000002</v>
      </c>
      <c r="I24" s="48">
        <f t="shared" si="26"/>
        <v>26.335460399999988</v>
      </c>
      <c r="J24" s="49">
        <f t="shared" si="6"/>
        <v>657.40104509092987</v>
      </c>
      <c r="K24" s="49">
        <f t="shared" si="7"/>
        <v>14739.199999999997</v>
      </c>
      <c r="L24" s="49">
        <f t="shared" si="8"/>
        <v>11600</v>
      </c>
      <c r="M24" s="49">
        <f t="shared" si="9"/>
        <v>2585.0999999999995</v>
      </c>
      <c r="N24" s="49">
        <f t="shared" si="10"/>
        <v>29581.701045090926</v>
      </c>
      <c r="O24" s="50">
        <f t="shared" si="11"/>
        <v>-16805.482105671417</v>
      </c>
      <c r="P24" s="50">
        <f t="shared" si="12"/>
        <v>3158.3999999999996</v>
      </c>
      <c r="Q24" s="50">
        <f t="shared" si="13"/>
        <v>2560</v>
      </c>
      <c r="R24" s="50">
        <v>0</v>
      </c>
      <c r="S24" s="50">
        <f t="shared" si="14"/>
        <v>-11087.082105671418</v>
      </c>
      <c r="T24" s="45">
        <v>549.1746568573825</v>
      </c>
      <c r="U24" s="45">
        <v>971.30880000000002</v>
      </c>
      <c r="V24" s="45">
        <f t="shared" si="0"/>
        <v>931.68000000000006</v>
      </c>
      <c r="W24" s="48">
        <f t="shared" si="15"/>
        <v>1.7686701086285621</v>
      </c>
      <c r="X24" s="48">
        <f t="shared" si="16"/>
        <v>0.27216282643059758</v>
      </c>
      <c r="Y24" s="45">
        <f t="shared" si="17"/>
        <v>436.98761931731241</v>
      </c>
      <c r="Z24" s="48">
        <f t="shared" si="27"/>
        <v>8.5989177480293694E-2</v>
      </c>
      <c r="AA24" s="51">
        <f t="shared" si="18"/>
        <v>0.3581520039108913</v>
      </c>
      <c r="AB24" s="52">
        <f t="shared" si="19"/>
        <v>1.4033065011902717</v>
      </c>
      <c r="AC24" s="52">
        <f t="shared" si="20"/>
        <v>0.42430471127713043</v>
      </c>
      <c r="AD24" s="52">
        <f t="shared" si="21"/>
        <v>0.81496265384499078</v>
      </c>
      <c r="AE24" s="47">
        <f t="shared" si="22"/>
        <v>0.66934497217085465</v>
      </c>
      <c r="AF24" s="48">
        <f t="shared" si="23"/>
        <v>0.88582897157064211</v>
      </c>
      <c r="AG24" s="48">
        <f t="shared" si="24"/>
        <v>0.64423925205137611</v>
      </c>
      <c r="AH24" s="48">
        <f>'ECS failure'!AF24</f>
        <v>0.66396086180805081</v>
      </c>
    </row>
    <row r="25" spans="1:34">
      <c r="A25" s="36">
        <f t="shared" si="25"/>
        <v>18000</v>
      </c>
      <c r="B25" s="45">
        <f t="shared" si="1"/>
        <v>1243</v>
      </c>
      <c r="C25" s="46">
        <f t="shared" si="2"/>
        <v>-17.174999999999997</v>
      </c>
      <c r="D25" s="46">
        <f t="shared" si="3"/>
        <v>7.8250000000000028</v>
      </c>
      <c r="E25" s="46">
        <f t="shared" ref="E25:E33" si="29">C25-20</f>
        <v>-37.174999999999997</v>
      </c>
      <c r="F25" s="36">
        <f t="shared" si="28"/>
        <v>0.36000000000000004</v>
      </c>
      <c r="G25" s="47">
        <f t="shared" si="4"/>
        <v>0.57000000000000006</v>
      </c>
      <c r="H25" s="46">
        <f t="shared" si="5"/>
        <v>-31.670175200000017</v>
      </c>
      <c r="I25" s="48">
        <f t="shared" si="26"/>
        <v>24.256979949999959</v>
      </c>
      <c r="J25" s="49">
        <f t="shared" si="6"/>
        <v>72.336438544361016</v>
      </c>
      <c r="K25" s="49">
        <f t="shared" si="7"/>
        <v>14739.199999999997</v>
      </c>
      <c r="L25" s="49">
        <f t="shared" si="8"/>
        <v>11600</v>
      </c>
      <c r="M25" s="49">
        <f t="shared" si="9"/>
        <v>2610.2999999999997</v>
      </c>
      <c r="N25" s="49">
        <f t="shared" si="10"/>
        <v>29021.836438544356</v>
      </c>
      <c r="O25" s="50">
        <f t="shared" si="11"/>
        <v>-15670.414003540956</v>
      </c>
      <c r="P25" s="50">
        <f t="shared" si="12"/>
        <v>3158.3999999999996</v>
      </c>
      <c r="Q25" s="50">
        <f t="shared" si="13"/>
        <v>2560</v>
      </c>
      <c r="R25" s="50">
        <v>0</v>
      </c>
      <c r="S25" s="50">
        <f t="shared" si="14"/>
        <v>-9952.0140035409568</v>
      </c>
      <c r="T25" s="45">
        <v>506.02216827076944</v>
      </c>
      <c r="U25" s="45">
        <v>961.52519999999993</v>
      </c>
      <c r="V25" s="45">
        <f t="shared" si="0"/>
        <v>920.68000000000006</v>
      </c>
      <c r="W25" s="48">
        <f t="shared" si="15"/>
        <v>1.9001641830946299</v>
      </c>
      <c r="X25" s="48">
        <f>$B$6*0.0001*U25*100*0.1562*((W25^(-1.429)-W25^(-1.714))/(273.15+24))^0.5</f>
        <v>0.27023864892188332</v>
      </c>
      <c r="Y25" s="45">
        <f t="shared" si="17"/>
        <v>431.82826866849479</v>
      </c>
      <c r="Z25" s="48">
        <f t="shared" si="27"/>
        <v>8.5989177480293694E-2</v>
      </c>
      <c r="AA25" s="51">
        <f t="shared" si="18"/>
        <v>0.35622782640217698</v>
      </c>
      <c r="AB25" s="52">
        <f t="shared" si="19"/>
        <v>1.3767474591339828</v>
      </c>
      <c r="AC25" s="52">
        <f t="shared" si="20"/>
        <v>0.38086544215617896</v>
      </c>
      <c r="AD25" s="52">
        <f t="shared" si="21"/>
        <v>0.81496265384499078</v>
      </c>
      <c r="AE25" s="47">
        <f t="shared" si="22"/>
        <v>0.65667691907555947</v>
      </c>
      <c r="AF25" s="48">
        <f t="shared" si="23"/>
        <v>0.88582897157064211</v>
      </c>
      <c r="AG25" s="48">
        <f t="shared" si="24"/>
        <v>0.64423925205137611</v>
      </c>
      <c r="AH25" s="48">
        <f>'ECS failure'!AF25</f>
        <v>0.66396086180805081</v>
      </c>
    </row>
    <row r="26" spans="1:34">
      <c r="A26" s="36">
        <f t="shared" si="25"/>
        <v>20000</v>
      </c>
      <c r="B26" s="45">
        <f t="shared" si="1"/>
        <v>1255</v>
      </c>
      <c r="C26" s="46">
        <f t="shared" si="2"/>
        <v>-20.75</v>
      </c>
      <c r="D26" s="46">
        <f t="shared" si="3"/>
        <v>4.25</v>
      </c>
      <c r="E26" s="46">
        <f t="shared" si="29"/>
        <v>-40.75</v>
      </c>
      <c r="F26" s="36">
        <f t="shared" si="28"/>
        <v>0.4</v>
      </c>
      <c r="G26" s="47">
        <f t="shared" si="4"/>
        <v>0.6</v>
      </c>
      <c r="H26" s="46">
        <f t="shared" si="5"/>
        <v>-34.056880000000007</v>
      </c>
      <c r="I26" s="48">
        <f t="shared" si="26"/>
        <v>22.225520000000017</v>
      </c>
      <c r="J26" s="49">
        <f t="shared" si="6"/>
        <v>-499.49252254199979</v>
      </c>
      <c r="K26" s="49">
        <f t="shared" si="7"/>
        <v>14739.199999999997</v>
      </c>
      <c r="L26" s="49">
        <f t="shared" si="8"/>
        <v>11600</v>
      </c>
      <c r="M26" s="49">
        <f t="shared" si="9"/>
        <v>2635.4999999999995</v>
      </c>
      <c r="N26" s="49">
        <f t="shared" si="10"/>
        <v>28475.207477457996</v>
      </c>
      <c r="O26" s="50">
        <f t="shared" si="11"/>
        <v>-16342.239665771642</v>
      </c>
      <c r="P26" s="50">
        <f t="shared" si="12"/>
        <v>3158.3999999999996</v>
      </c>
      <c r="Q26" s="50">
        <f t="shared" si="13"/>
        <v>2560</v>
      </c>
      <c r="R26" s="50">
        <v>0</v>
      </c>
      <c r="S26" s="50">
        <f t="shared" si="14"/>
        <v>-10623.839665771642</v>
      </c>
      <c r="T26" s="45">
        <v>465.65734934583594</v>
      </c>
      <c r="U26" s="45">
        <v>950.92</v>
      </c>
      <c r="V26" s="45">
        <f t="shared" si="0"/>
        <v>909.68000000000006</v>
      </c>
      <c r="W26" s="48">
        <f t="shared" si="15"/>
        <v>2.0421024200216533</v>
      </c>
      <c r="X26" s="48">
        <f t="shared" ref="X26:X36" si="30">$B$6*0.0001*U26*100*0.04045/(273.15+24)^0.5</f>
        <v>0.26776628079281678</v>
      </c>
      <c r="Y26" s="45">
        <f t="shared" si="17"/>
        <v>426.66891801967716</v>
      </c>
      <c r="Z26" s="48">
        <f t="shared" si="27"/>
        <v>8.5989177480293694E-2</v>
      </c>
      <c r="AA26" s="51">
        <f t="shared" si="18"/>
        <v>0.3537554582731105</v>
      </c>
      <c r="AB26" s="52">
        <f t="shared" si="19"/>
        <v>1.3508162939970587</v>
      </c>
      <c r="AC26" s="52">
        <f t="shared" si="20"/>
        <v>0.40657633623312833</v>
      </c>
      <c r="AD26" s="52">
        <f t="shared" si="21"/>
        <v>0.81496265384499078</v>
      </c>
      <c r="AE26" s="47">
        <f t="shared" si="22"/>
        <v>0.64430834885072963</v>
      </c>
      <c r="AF26" s="48">
        <f t="shared" si="23"/>
        <v>0.88582897157064211</v>
      </c>
      <c r="AG26" s="48">
        <f t="shared" si="24"/>
        <v>0.64423925205137611</v>
      </c>
      <c r="AH26" s="48">
        <f>'ECS failure'!AF26</f>
        <v>0.66396086180805081</v>
      </c>
    </row>
    <row r="27" spans="1:34">
      <c r="A27" s="36">
        <f t="shared" si="25"/>
        <v>22000</v>
      </c>
      <c r="B27" s="45">
        <f t="shared" si="1"/>
        <v>1267</v>
      </c>
      <c r="C27" s="46">
        <f t="shared" si="2"/>
        <v>-24.325000000000003</v>
      </c>
      <c r="D27" s="46">
        <f t="shared" si="3"/>
        <v>0.67499999999999716</v>
      </c>
      <c r="E27" s="46">
        <f t="shared" si="29"/>
        <v>-44.325000000000003</v>
      </c>
      <c r="F27" s="36">
        <f t="shared" si="28"/>
        <v>0.44000000000000006</v>
      </c>
      <c r="G27" s="47">
        <f t="shared" si="4"/>
        <v>0.63</v>
      </c>
      <c r="H27" s="46">
        <f t="shared" si="5"/>
        <v>-36.350906399999985</v>
      </c>
      <c r="I27" s="48">
        <f t="shared" si="26"/>
        <v>20.237605650000035</v>
      </c>
      <c r="J27" s="49">
        <f t="shared" si="6"/>
        <v>-1059.0639763081401</v>
      </c>
      <c r="K27" s="49">
        <f t="shared" si="7"/>
        <v>14739.199999999997</v>
      </c>
      <c r="L27" s="49">
        <f t="shared" si="8"/>
        <v>11600</v>
      </c>
      <c r="M27" s="49">
        <f t="shared" si="9"/>
        <v>2660.6999999999994</v>
      </c>
      <c r="N27" s="49">
        <f t="shared" si="10"/>
        <v>27940.836023691856</v>
      </c>
      <c r="O27" s="50">
        <f t="shared" si="11"/>
        <v>-16987.977590861778</v>
      </c>
      <c r="P27" s="50">
        <f t="shared" si="12"/>
        <v>3158.3999999999996</v>
      </c>
      <c r="Q27" s="50">
        <f t="shared" si="13"/>
        <v>2560</v>
      </c>
      <c r="R27" s="50">
        <v>0</v>
      </c>
      <c r="S27" s="50">
        <f t="shared" si="14"/>
        <v>-11269.577590861778</v>
      </c>
      <c r="T27" s="45">
        <v>427.94028778781853</v>
      </c>
      <c r="U27" s="45">
        <v>939.4932</v>
      </c>
      <c r="V27" s="45">
        <f t="shared" si="0"/>
        <v>898.68000000000006</v>
      </c>
      <c r="W27" s="48">
        <f t="shared" si="15"/>
        <v>2.1953838580064229</v>
      </c>
      <c r="X27" s="48">
        <f t="shared" si="30"/>
        <v>0.26454864761929703</v>
      </c>
      <c r="Y27" s="45">
        <f t="shared" si="17"/>
        <v>421.50956737085937</v>
      </c>
      <c r="Z27" s="48">
        <f t="shared" si="27"/>
        <v>8.5989177480296539E-2</v>
      </c>
      <c r="AA27" s="51">
        <f t="shared" si="18"/>
        <v>0.35053782509959358</v>
      </c>
      <c r="AB27" s="52">
        <f t="shared" si="19"/>
        <v>1.3254666045394619</v>
      </c>
      <c r="AC27" s="52">
        <f t="shared" si="20"/>
        <v>0.43128884771763409</v>
      </c>
      <c r="AD27" s="52">
        <f t="shared" si="21"/>
        <v>0.81496265384499078</v>
      </c>
      <c r="AE27" s="47">
        <f t="shared" si="22"/>
        <v>0.63221712917053641</v>
      </c>
      <c r="AF27" s="48">
        <f t="shared" si="23"/>
        <v>0.88582897157064211</v>
      </c>
      <c r="AG27" s="48">
        <f t="shared" si="24"/>
        <v>0.64423925205137611</v>
      </c>
      <c r="AH27" s="48">
        <f>'ECS failure'!AF27</f>
        <v>0.66396086180805081</v>
      </c>
    </row>
    <row r="28" spans="1:34">
      <c r="A28" s="36">
        <f t="shared" si="25"/>
        <v>24000</v>
      </c>
      <c r="B28" s="45">
        <f t="shared" si="1"/>
        <v>1279</v>
      </c>
      <c r="C28" s="46">
        <f t="shared" si="2"/>
        <v>-27.9</v>
      </c>
      <c r="D28" s="46">
        <f t="shared" si="3"/>
        <v>-2.8999999999999986</v>
      </c>
      <c r="E28" s="46">
        <f t="shared" si="29"/>
        <v>-47.9</v>
      </c>
      <c r="F28" s="36">
        <f t="shared" si="28"/>
        <v>0.48000000000000004</v>
      </c>
      <c r="G28" s="47">
        <f t="shared" si="4"/>
        <v>0.65999999999999992</v>
      </c>
      <c r="H28" s="46">
        <f t="shared" si="5"/>
        <v>-38.55843200000001</v>
      </c>
      <c r="I28" s="48">
        <f t="shared" si="26"/>
        <v>18.289762000000053</v>
      </c>
      <c r="J28" s="49">
        <f t="shared" si="6"/>
        <v>-1607.3560608939999</v>
      </c>
      <c r="K28" s="49">
        <f t="shared" si="7"/>
        <v>14739.199999999997</v>
      </c>
      <c r="L28" s="49">
        <f t="shared" si="8"/>
        <v>11600</v>
      </c>
      <c r="M28" s="49">
        <f t="shared" si="9"/>
        <v>2685.8999999999996</v>
      </c>
      <c r="N28" s="49">
        <f t="shared" si="10"/>
        <v>27417.743939105996</v>
      </c>
      <c r="O28" s="50">
        <f t="shared" si="11"/>
        <v>-17609.366691060182</v>
      </c>
      <c r="P28" s="50">
        <f t="shared" si="12"/>
        <v>3158.3999999999996</v>
      </c>
      <c r="Q28" s="50">
        <f t="shared" si="13"/>
        <v>2560</v>
      </c>
      <c r="R28" s="50">
        <v>0</v>
      </c>
      <c r="S28" s="50">
        <f t="shared" si="14"/>
        <v>-11890.966691060183</v>
      </c>
      <c r="T28" s="45">
        <v>392.73601358053776</v>
      </c>
      <c r="U28" s="45">
        <v>927.24479999999994</v>
      </c>
      <c r="V28" s="45">
        <f t="shared" si="0"/>
        <v>887.68000000000006</v>
      </c>
      <c r="W28" s="48">
        <f>U28/T28</f>
        <v>2.3609874519690597</v>
      </c>
      <c r="X28" s="48">
        <f>$B$6*0.0001*U28*100*0.04045/(273.15+24)^0.5</f>
        <v>0.26109966293744918</v>
      </c>
      <c r="Y28" s="45">
        <f t="shared" si="17"/>
        <v>416.35021672204175</v>
      </c>
      <c r="Z28" s="48">
        <f t="shared" si="27"/>
        <v>8.5989177480293694E-2</v>
      </c>
      <c r="AA28" s="51">
        <f t="shared" si="18"/>
        <v>0.34708884041774291</v>
      </c>
      <c r="AB28" s="52">
        <f t="shared" si="19"/>
        <v>1.3006519895211572</v>
      </c>
      <c r="AC28" s="52">
        <f t="shared" si="20"/>
        <v>0.45506952510754622</v>
      </c>
      <c r="AD28" s="52">
        <f t="shared" si="21"/>
        <v>0.81496265384499078</v>
      </c>
      <c r="AE28" s="47">
        <f t="shared" si="22"/>
        <v>0.62038112770915244</v>
      </c>
      <c r="AF28" s="48">
        <f t="shared" si="23"/>
        <v>0.88582897157064211</v>
      </c>
      <c r="AG28" s="48">
        <f t="shared" si="24"/>
        <v>0.64423925205137611</v>
      </c>
      <c r="AH28" s="48">
        <f>'ECS failure'!AF28</f>
        <v>0.66396086180805081</v>
      </c>
    </row>
    <row r="29" spans="1:34">
      <c r="A29" s="36">
        <f t="shared" si="25"/>
        <v>26000</v>
      </c>
      <c r="B29" s="45">
        <f t="shared" si="1"/>
        <v>1291</v>
      </c>
      <c r="C29" s="46">
        <f t="shared" si="2"/>
        <v>-31.475000000000001</v>
      </c>
      <c r="D29" s="46">
        <f t="shared" si="3"/>
        <v>-6.4750000000000014</v>
      </c>
      <c r="E29" s="46">
        <f t="shared" si="29"/>
        <v>-51.475000000000001</v>
      </c>
      <c r="F29" s="36">
        <f t="shared" si="28"/>
        <v>0.52</v>
      </c>
      <c r="G29" s="47">
        <f t="shared" si="4"/>
        <v>0.69</v>
      </c>
      <c r="H29" s="46">
        <f t="shared" si="5"/>
        <v>-40.685634399999998</v>
      </c>
      <c r="I29" s="48">
        <f t="shared" si="26"/>
        <v>16.378514150000001</v>
      </c>
      <c r="J29" s="49">
        <f t="shared" si="6"/>
        <v>-2145.3469144395508</v>
      </c>
      <c r="K29" s="49">
        <f t="shared" si="7"/>
        <v>14739.199999999997</v>
      </c>
      <c r="L29" s="49">
        <f t="shared" si="8"/>
        <v>11600</v>
      </c>
      <c r="M29" s="49">
        <f t="shared" si="9"/>
        <v>2711.0999999999995</v>
      </c>
      <c r="N29" s="49">
        <f t="shared" si="10"/>
        <v>26904.953085560446</v>
      </c>
      <c r="O29" s="50">
        <f t="shared" si="11"/>
        <v>-18208.145878615633</v>
      </c>
      <c r="P29" s="50">
        <f t="shared" si="12"/>
        <v>3158.3999999999996</v>
      </c>
      <c r="Q29" s="50">
        <f t="shared" si="13"/>
        <v>2560</v>
      </c>
      <c r="R29" s="50">
        <v>0</v>
      </c>
      <c r="S29" s="50">
        <f t="shared" si="14"/>
        <v>-12489.745878615633</v>
      </c>
      <c r="T29" s="45">
        <v>359.91440023111733</v>
      </c>
      <c r="U29" s="45">
        <v>914.1748</v>
      </c>
      <c r="V29" s="45">
        <f t="shared" si="0"/>
        <v>876.68000000000006</v>
      </c>
      <c r="W29" s="48">
        <f t="shared" si="15"/>
        <v>2.5399783932317432</v>
      </c>
      <c r="X29" s="48">
        <f t="shared" si="30"/>
        <v>0.2574193267472733</v>
      </c>
      <c r="Y29" s="45">
        <f t="shared" si="17"/>
        <v>411.19086607322413</v>
      </c>
      <c r="Z29" s="48">
        <f t="shared" si="27"/>
        <v>8.5989177480293694E-2</v>
      </c>
      <c r="AA29" s="51">
        <f t="shared" si="18"/>
        <v>0.34340850422756697</v>
      </c>
      <c r="AB29" s="52">
        <f t="shared" si="19"/>
        <v>1.2763260477021086</v>
      </c>
      <c r="AC29" s="52">
        <f t="shared" si="20"/>
        <v>0.4779849169007131</v>
      </c>
      <c r="AD29" s="52">
        <f t="shared" si="21"/>
        <v>0.81496265384499078</v>
      </c>
      <c r="AE29" s="47">
        <f t="shared" si="22"/>
        <v>0.60877821214075001</v>
      </c>
      <c r="AF29" s="48">
        <f t="shared" si="23"/>
        <v>0.88582897157064211</v>
      </c>
      <c r="AG29" s="48">
        <f t="shared" si="24"/>
        <v>0.64423925205137611</v>
      </c>
      <c r="AH29" s="48">
        <f>'ECS failure'!AF29</f>
        <v>0.66396086180805081</v>
      </c>
    </row>
    <row r="30" spans="1:34">
      <c r="A30" s="36">
        <f t="shared" si="25"/>
        <v>28000</v>
      </c>
      <c r="B30" s="45">
        <f t="shared" si="1"/>
        <v>1303</v>
      </c>
      <c r="C30" s="46">
        <f t="shared" si="2"/>
        <v>-35.049999999999997</v>
      </c>
      <c r="D30" s="46">
        <f t="shared" si="3"/>
        <v>-10.049999999999997</v>
      </c>
      <c r="E30" s="46">
        <f t="shared" si="29"/>
        <v>-55.05</v>
      </c>
      <c r="F30" s="36">
        <f t="shared" si="28"/>
        <v>0.56000000000000005</v>
      </c>
      <c r="G30" s="47">
        <f t="shared" si="4"/>
        <v>0.72</v>
      </c>
      <c r="H30" s="46">
        <f t="shared" si="5"/>
        <v>-42.738691200000005</v>
      </c>
      <c r="I30" s="48">
        <f t="shared" si="26"/>
        <v>14.500387199999977</v>
      </c>
      <c r="J30" s="49">
        <f t="shared" si="6"/>
        <v>-2674.0146750847161</v>
      </c>
      <c r="K30" s="49">
        <f t="shared" si="7"/>
        <v>14739.199999999997</v>
      </c>
      <c r="L30" s="49">
        <f t="shared" si="8"/>
        <v>11600</v>
      </c>
      <c r="M30" s="49">
        <f t="shared" si="9"/>
        <v>2736.2999999999997</v>
      </c>
      <c r="N30" s="49">
        <f t="shared" si="10"/>
        <v>26401.48532491528</v>
      </c>
      <c r="O30" s="50">
        <f t="shared" si="11"/>
        <v>-18786.054065776952</v>
      </c>
      <c r="P30" s="50">
        <f t="shared" si="12"/>
        <v>3158.3999999999996</v>
      </c>
      <c r="Q30" s="50">
        <f t="shared" si="13"/>
        <v>2560</v>
      </c>
      <c r="R30" s="50">
        <v>0</v>
      </c>
      <c r="S30" s="50">
        <f t="shared" si="14"/>
        <v>-13067.654065776953</v>
      </c>
      <c r="T30" s="45">
        <v>329.35006642346144</v>
      </c>
      <c r="U30" s="45">
        <v>900.28319999999997</v>
      </c>
      <c r="V30" s="45">
        <f t="shared" si="0"/>
        <v>865.68000000000006</v>
      </c>
      <c r="W30" s="48">
        <f t="shared" si="15"/>
        <v>2.733514554214366</v>
      </c>
      <c r="X30" s="48">
        <f t="shared" si="30"/>
        <v>0.25350763904876922</v>
      </c>
      <c r="Y30" s="45">
        <f t="shared" si="17"/>
        <v>406.03151542440639</v>
      </c>
      <c r="Z30" s="48">
        <f t="shared" si="27"/>
        <v>8.5989177480295595E-2</v>
      </c>
      <c r="AA30" s="51">
        <f t="shared" si="18"/>
        <v>0.33949681652906483</v>
      </c>
      <c r="AB30" s="52">
        <f t="shared" si="19"/>
        <v>1.2524423778422809</v>
      </c>
      <c r="AC30" s="52">
        <f t="shared" si="20"/>
        <v>0.50010157159498481</v>
      </c>
      <c r="AD30" s="52">
        <f t="shared" si="21"/>
        <v>0.81496265384499078</v>
      </c>
      <c r="AE30" s="47">
        <f t="shared" si="22"/>
        <v>0.59738625013950175</v>
      </c>
      <c r="AF30" s="48">
        <f t="shared" si="23"/>
        <v>0.88582897157064211</v>
      </c>
      <c r="AG30" s="48">
        <f t="shared" si="24"/>
        <v>0.64423925205137611</v>
      </c>
      <c r="AH30" s="48">
        <f>'ECS failure'!AF30</f>
        <v>0.66396086180805081</v>
      </c>
    </row>
    <row r="31" spans="1:34">
      <c r="A31" s="36">
        <f t="shared" si="25"/>
        <v>30000</v>
      </c>
      <c r="B31" s="45">
        <f t="shared" si="1"/>
        <v>1315</v>
      </c>
      <c r="C31" s="46">
        <f t="shared" si="2"/>
        <v>-38.625</v>
      </c>
      <c r="D31" s="46">
        <f t="shared" si="3"/>
        <v>-13.625</v>
      </c>
      <c r="E31" s="46">
        <f t="shared" si="29"/>
        <v>-58.625</v>
      </c>
      <c r="F31" s="36">
        <f t="shared" si="28"/>
        <v>0.60000000000000009</v>
      </c>
      <c r="G31" s="47">
        <f t="shared" si="4"/>
        <v>0.75</v>
      </c>
      <c r="H31" s="46">
        <f t="shared" si="5"/>
        <v>-44.723780000000005</v>
      </c>
      <c r="I31" s="48">
        <f t="shared" si="26"/>
        <v>12.651906250000025</v>
      </c>
      <c r="J31" s="49">
        <f t="shared" si="6"/>
        <v>-3194.337480969436</v>
      </c>
      <c r="K31" s="49">
        <f t="shared" si="7"/>
        <v>14739.199999999997</v>
      </c>
      <c r="L31" s="49">
        <f t="shared" si="8"/>
        <v>11600</v>
      </c>
      <c r="M31" s="49">
        <f t="shared" si="9"/>
        <v>2761.4999999999995</v>
      </c>
      <c r="N31" s="49">
        <f t="shared" si="10"/>
        <v>25906.362519030561</v>
      </c>
      <c r="O31" s="50">
        <f t="shared" si="11"/>
        <v>-19344.830164792937</v>
      </c>
      <c r="P31" s="50">
        <f t="shared" si="12"/>
        <v>3158.3999999999996</v>
      </c>
      <c r="Q31" s="50">
        <f t="shared" si="13"/>
        <v>2560</v>
      </c>
      <c r="R31" s="50">
        <v>0</v>
      </c>
      <c r="S31" s="50">
        <f t="shared" si="14"/>
        <v>-13626.430164792937</v>
      </c>
      <c r="T31" s="45">
        <v>300.92227808549427</v>
      </c>
      <c r="U31" s="45">
        <v>885.56999999999994</v>
      </c>
      <c r="V31" s="45">
        <f t="shared" si="0"/>
        <v>854.68000000000006</v>
      </c>
      <c r="W31" s="48">
        <f t="shared" si="15"/>
        <v>2.9428529041921014</v>
      </c>
      <c r="X31" s="48">
        <f t="shared" si="30"/>
        <v>0.24936459984193698</v>
      </c>
      <c r="Y31" s="45">
        <f t="shared" si="17"/>
        <v>400.87216477558877</v>
      </c>
      <c r="Z31" s="48">
        <f t="shared" si="27"/>
        <v>8.5989177480293694E-2</v>
      </c>
      <c r="AA31" s="51">
        <f t="shared" si="18"/>
        <v>0.33535377732223071</v>
      </c>
      <c r="AB31" s="52">
        <f t="shared" si="19"/>
        <v>1.2289545787016396</v>
      </c>
      <c r="AC31" s="52">
        <f t="shared" si="20"/>
        <v>0.52148603768821034</v>
      </c>
      <c r="AD31" s="52">
        <f t="shared" si="21"/>
        <v>0.81496265384499078</v>
      </c>
      <c r="AE31" s="47">
        <f t="shared" si="22"/>
        <v>0.58618310937958051</v>
      </c>
      <c r="AF31" s="48">
        <f t="shared" si="23"/>
        <v>0.88582897157064211</v>
      </c>
      <c r="AG31" s="48">
        <f t="shared" si="24"/>
        <v>0.64423925205137611</v>
      </c>
      <c r="AH31" s="48">
        <f>'ECS failure'!AF31</f>
        <v>0.66396086180805081</v>
      </c>
    </row>
    <row r="32" spans="1:34">
      <c r="A32" s="36">
        <f t="shared" si="25"/>
        <v>32000</v>
      </c>
      <c r="B32" s="45">
        <f t="shared" si="1"/>
        <v>1327</v>
      </c>
      <c r="C32" s="46">
        <f t="shared" si="2"/>
        <v>-42.2</v>
      </c>
      <c r="D32" s="46">
        <f t="shared" si="3"/>
        <v>-17.200000000000003</v>
      </c>
      <c r="E32" s="46">
        <f t="shared" si="29"/>
        <v>-62.2</v>
      </c>
      <c r="F32" s="36">
        <f t="shared" si="28"/>
        <v>0.64</v>
      </c>
      <c r="G32" s="47">
        <f t="shared" si="4"/>
        <v>0.78</v>
      </c>
      <c r="H32" s="46">
        <f t="shared" si="5"/>
        <v>-46.647078399999998</v>
      </c>
      <c r="I32" s="48">
        <f t="shared" si="26"/>
        <v>10.829596400000014</v>
      </c>
      <c r="J32" s="49">
        <f t="shared" si="6"/>
        <v>-3707.2934702336979</v>
      </c>
      <c r="K32" s="49">
        <f t="shared" si="7"/>
        <v>14739.199999999997</v>
      </c>
      <c r="L32" s="49">
        <f t="shared" si="8"/>
        <v>11600</v>
      </c>
      <c r="M32" s="49">
        <f t="shared" si="9"/>
        <v>2786.6999999999994</v>
      </c>
      <c r="N32" s="49">
        <f t="shared" si="10"/>
        <v>25418.606529766301</v>
      </c>
      <c r="O32" s="50">
        <f t="shared" si="11"/>
        <v>-19886.213087912383</v>
      </c>
      <c r="P32" s="50">
        <f t="shared" si="12"/>
        <v>3158.3999999999996</v>
      </c>
      <c r="Q32" s="50">
        <f t="shared" si="13"/>
        <v>2560</v>
      </c>
      <c r="R32" s="50">
        <v>0</v>
      </c>
      <c r="S32" s="50">
        <f t="shared" si="14"/>
        <v>-14167.813087912386</v>
      </c>
      <c r="T32" s="45">
        <v>274.51485087529784</v>
      </c>
      <c r="U32" s="45">
        <v>870.03520000000003</v>
      </c>
      <c r="V32" s="45">
        <f t="shared" si="0"/>
        <v>843.68000000000006</v>
      </c>
      <c r="W32" s="48">
        <f t="shared" si="15"/>
        <v>3.1693556732026331</v>
      </c>
      <c r="X32" s="48">
        <f t="shared" si="30"/>
        <v>0.24499020912677674</v>
      </c>
      <c r="Y32" s="45">
        <f t="shared" si="17"/>
        <v>395.71281412677115</v>
      </c>
      <c r="Z32" s="48">
        <f t="shared" si="27"/>
        <v>8.5989177480293694E-2</v>
      </c>
      <c r="AA32" s="51">
        <f t="shared" si="18"/>
        <v>0.33097938660707044</v>
      </c>
      <c r="AB32" s="52">
        <f t="shared" si="19"/>
        <v>1.2058162490401472</v>
      </c>
      <c r="AC32" s="52">
        <f t="shared" si="20"/>
        <v>0.54220486367823895</v>
      </c>
      <c r="AD32" s="52">
        <f t="shared" si="21"/>
        <v>0.81496265384499078</v>
      </c>
      <c r="AE32" s="47">
        <f t="shared" si="22"/>
        <v>0.57514665753515781</v>
      </c>
      <c r="AF32" s="48">
        <f t="shared" si="23"/>
        <v>0.88582897157064211</v>
      </c>
      <c r="AG32" s="48">
        <f t="shared" si="24"/>
        <v>0.64423925205137611</v>
      </c>
      <c r="AH32" s="48">
        <f>'ECS failure'!AF32</f>
        <v>0.66396086180805081</v>
      </c>
    </row>
    <row r="33" spans="1:34">
      <c r="A33" s="36">
        <f t="shared" si="25"/>
        <v>34000</v>
      </c>
      <c r="B33" s="45">
        <f t="shared" si="1"/>
        <v>1339</v>
      </c>
      <c r="C33" s="46">
        <f t="shared" si="2"/>
        <v>-45.774999999999999</v>
      </c>
      <c r="D33" s="46">
        <f t="shared" si="3"/>
        <v>-20.774999999999999</v>
      </c>
      <c r="E33" s="46">
        <f t="shared" si="29"/>
        <v>-65.775000000000006</v>
      </c>
      <c r="F33" s="36">
        <f t="shared" si="28"/>
        <v>0.68</v>
      </c>
      <c r="G33" s="47">
        <f t="shared" si="4"/>
        <v>0.81</v>
      </c>
      <c r="H33" s="46">
        <f t="shared" si="5"/>
        <v>-48.514764000000014</v>
      </c>
      <c r="I33" s="48">
        <f t="shared" si="26"/>
        <v>9.0299827499999878</v>
      </c>
      <c r="J33" s="49">
        <f t="shared" si="6"/>
        <v>-4213.8607810174417</v>
      </c>
      <c r="K33" s="49">
        <f t="shared" si="7"/>
        <v>14739.199999999997</v>
      </c>
      <c r="L33" s="49">
        <f t="shared" si="8"/>
        <v>11600</v>
      </c>
      <c r="M33" s="49">
        <f t="shared" si="9"/>
        <v>2811.8999999999996</v>
      </c>
      <c r="N33" s="49">
        <f t="shared" si="10"/>
        <v>24937.239218982555</v>
      </c>
      <c r="O33" s="50">
        <f t="shared" si="11"/>
        <v>-20411.941747384109</v>
      </c>
      <c r="P33" s="50">
        <f t="shared" si="12"/>
        <v>3158.3999999999996</v>
      </c>
      <c r="Q33" s="50">
        <f t="shared" si="13"/>
        <v>2560</v>
      </c>
      <c r="R33" s="50">
        <v>0</v>
      </c>
      <c r="S33" s="50">
        <f t="shared" si="14"/>
        <v>-14693.541747384108</v>
      </c>
      <c r="T33" s="45">
        <v>250.01605309144961</v>
      </c>
      <c r="U33" s="45">
        <v>853.67880000000002</v>
      </c>
      <c r="V33" s="45">
        <f t="shared" si="0"/>
        <v>832.68000000000006</v>
      </c>
      <c r="W33" s="48">
        <f t="shared" si="15"/>
        <v>3.4144959471372252</v>
      </c>
      <c r="X33" s="48">
        <f t="shared" si="30"/>
        <v>0.24038446690328824</v>
      </c>
      <c r="Y33" s="45">
        <f>V33*100/287/(273.15+24)*$B$9</f>
        <v>390.55346347795347</v>
      </c>
      <c r="Z33" s="48">
        <f>(Y32-Y33)/60</f>
        <v>8.5989177480294637E-2</v>
      </c>
      <c r="AA33" s="51">
        <f t="shared" si="18"/>
        <v>0.32637364438358285</v>
      </c>
      <c r="AB33" s="52">
        <f t="shared" si="19"/>
        <v>1.1829809876177684</v>
      </c>
      <c r="AC33" s="52">
        <f t="shared" si="20"/>
        <v>0.56232459806292034</v>
      </c>
      <c r="AD33" s="52">
        <f t="shared" si="21"/>
        <v>0.81496265384499078</v>
      </c>
      <c r="AE33" s="47">
        <f t="shared" si="22"/>
        <v>0.56425476228040627</v>
      </c>
      <c r="AF33" s="48">
        <f t="shared" si="23"/>
        <v>0.88582897157064211</v>
      </c>
      <c r="AG33" s="48">
        <f t="shared" si="24"/>
        <v>0.64423925205137611</v>
      </c>
      <c r="AH33" s="48">
        <f>'ECS failure'!AF33</f>
        <v>0.66396086180805081</v>
      </c>
    </row>
    <row r="34" spans="1:34">
      <c r="A34" s="36">
        <f t="shared" si="25"/>
        <v>36000</v>
      </c>
      <c r="B34" s="45">
        <f t="shared" si="1"/>
        <v>1351</v>
      </c>
      <c r="C34" s="46">
        <f t="shared" si="2"/>
        <v>-49.349999999999994</v>
      </c>
      <c r="D34" s="46">
        <f t="shared" si="3"/>
        <v>-24.349999999999994</v>
      </c>
      <c r="E34" s="46">
        <f>C34-20</f>
        <v>-69.349999999999994</v>
      </c>
      <c r="F34" s="36">
        <f t="shared" si="28"/>
        <v>0.72000000000000008</v>
      </c>
      <c r="G34" s="47">
        <f t="shared" si="4"/>
        <v>0.84000000000000008</v>
      </c>
      <c r="H34" s="46">
        <f t="shared" si="5"/>
        <v>-50.333014399999996</v>
      </c>
      <c r="I34" s="48">
        <f t="shared" si="26"/>
        <v>7.2495903999999882</v>
      </c>
      <c r="J34" s="49">
        <f t="shared" si="6"/>
        <v>-4715.0175514606062</v>
      </c>
      <c r="K34" s="49">
        <f t="shared" si="7"/>
        <v>14739.199999999997</v>
      </c>
      <c r="L34" s="49">
        <f t="shared" si="8"/>
        <v>11600</v>
      </c>
      <c r="M34" s="49">
        <f>$B$8*B34</f>
        <v>2837.0999999999995</v>
      </c>
      <c r="N34" s="49">
        <f>SUM(J34:M34)</f>
        <v>24461.28244853939</v>
      </c>
      <c r="O34" s="50">
        <f t="shared" si="11"/>
        <v>-20923.755055456895</v>
      </c>
      <c r="P34" s="50">
        <f t="shared" si="12"/>
        <v>3158.3999999999996</v>
      </c>
      <c r="Q34" s="50">
        <f t="shared" si="13"/>
        <v>2560</v>
      </c>
      <c r="R34" s="50">
        <v>0</v>
      </c>
      <c r="S34" s="50">
        <f t="shared" si="14"/>
        <v>-15205.355055456894</v>
      </c>
      <c r="T34" s="45">
        <v>227.31850901301752</v>
      </c>
      <c r="U34" s="45">
        <v>836.50080000000003</v>
      </c>
      <c r="V34" s="45">
        <f t="shared" si="0"/>
        <v>821.68000000000006</v>
      </c>
      <c r="W34" s="48">
        <f t="shared" si="15"/>
        <v>3.6798622498095717</v>
      </c>
      <c r="X34" s="48">
        <f t="shared" si="30"/>
        <v>0.2355473731714717</v>
      </c>
      <c r="Y34" s="45">
        <f>V34*100/287/(273.15+24)*$B$9</f>
        <v>385.39411282913579</v>
      </c>
      <c r="Z34" s="48">
        <f>(Y33-Y34)/60</f>
        <v>8.5989177480294637E-2</v>
      </c>
      <c r="AA34" s="51">
        <f t="shared" si="18"/>
        <v>0.32153655065176634</v>
      </c>
      <c r="AB34" s="52">
        <f t="shared" si="19"/>
        <v>1.1604023931944683</v>
      </c>
      <c r="AC34" s="52">
        <f t="shared" si="20"/>
        <v>0.58191178934010312</v>
      </c>
      <c r="AD34" s="52">
        <f t="shared" si="21"/>
        <v>0.81496265384499078</v>
      </c>
      <c r="AE34" s="47">
        <f t="shared" si="22"/>
        <v>0.55348529128949853</v>
      </c>
      <c r="AF34" s="48">
        <f t="shared" si="23"/>
        <v>0.88582897157064211</v>
      </c>
      <c r="AG34" s="48">
        <f t="shared" si="24"/>
        <v>0.64423925205137611</v>
      </c>
      <c r="AH34" s="48">
        <f>'ECS failure'!AF34</f>
        <v>0.66396086180805081</v>
      </c>
    </row>
    <row r="35" spans="1:34">
      <c r="A35" s="36">
        <f t="shared" si="25"/>
        <v>38000</v>
      </c>
      <c r="B35" s="45">
        <f t="shared" si="1"/>
        <v>1363</v>
      </c>
      <c r="C35" s="46">
        <f t="shared" si="2"/>
        <v>-52.924999999999997</v>
      </c>
      <c r="D35" s="46">
        <f>C35+25</f>
        <v>-27.924999999999997</v>
      </c>
      <c r="E35" s="46">
        <f>C35-20</f>
        <v>-72.924999999999997</v>
      </c>
      <c r="F35" s="36">
        <f>0.00002*A35</f>
        <v>0.76</v>
      </c>
      <c r="G35" s="47">
        <f>0.3+0.000015*A35</f>
        <v>0.87000000000000011</v>
      </c>
      <c r="H35" s="46">
        <f t="shared" si="5"/>
        <v>-52.108007200000003</v>
      </c>
      <c r="I35" s="48">
        <f t="shared" si="26"/>
        <v>5.4849444500000004</v>
      </c>
      <c r="J35" s="49">
        <f t="shared" si="6"/>
        <v>-5211.7419197031486</v>
      </c>
      <c r="K35" s="49">
        <f t="shared" si="7"/>
        <v>14739.199999999997</v>
      </c>
      <c r="L35" s="49">
        <f t="shared" si="8"/>
        <v>11600</v>
      </c>
      <c r="M35" s="49">
        <f t="shared" ref="M35:M36" si="31">$B$8*B35</f>
        <v>2862.2999999999997</v>
      </c>
      <c r="N35" s="49">
        <f t="shared" ref="N35:N36" si="32">SUM(J35:M35)</f>
        <v>23989.758080296848</v>
      </c>
      <c r="O35" s="50">
        <f t="shared" si="11"/>
        <v>-21423.391924379568</v>
      </c>
      <c r="P35" s="50">
        <f t="shared" si="12"/>
        <v>3158.3999999999996</v>
      </c>
      <c r="Q35" s="50">
        <f t="shared" si="13"/>
        <v>2560</v>
      </c>
      <c r="R35" s="50">
        <v>0</v>
      </c>
      <c r="S35" s="50">
        <f t="shared" ref="S35:S36" si="33">SUM(O35:R35)</f>
        <v>-15704.991924379567</v>
      </c>
      <c r="T35" s="45">
        <v>206.319102674833</v>
      </c>
      <c r="U35" s="45">
        <v>818.50119999999993</v>
      </c>
      <c r="V35" s="45">
        <f>V36+11</f>
        <v>810.68000000000006</v>
      </c>
      <c r="W35" s="48">
        <f t="shared" si="15"/>
        <v>3.9671614958988548</v>
      </c>
      <c r="X35" s="48">
        <f t="shared" si="30"/>
        <v>0.23047892793132699</v>
      </c>
      <c r="Y35" s="45">
        <f t="shared" ref="Y35" si="34">V35*100/287/(273.15+24)*$B$9</f>
        <v>380.23476218031817</v>
      </c>
      <c r="Z35" s="48">
        <f t="shared" ref="Z35" si="35">(Y34-Y35)/60</f>
        <v>8.5989177480293694E-2</v>
      </c>
      <c r="AA35" s="51">
        <f t="shared" si="18"/>
        <v>0.31646810541162068</v>
      </c>
      <c r="AB35" s="52">
        <f t="shared" si="19"/>
        <v>1.1380340645302109</v>
      </c>
      <c r="AC35" s="52">
        <f t="shared" si="20"/>
        <v>0.60103298600763744</v>
      </c>
      <c r="AD35" s="52">
        <f t="shared" si="21"/>
        <v>0.81496265384499078</v>
      </c>
      <c r="AE35" s="47">
        <f t="shared" si="22"/>
        <v>0.54281611223660697</v>
      </c>
      <c r="AF35" s="48">
        <f t="shared" si="23"/>
        <v>0.88582897157064211</v>
      </c>
      <c r="AG35" s="48">
        <f t="shared" si="24"/>
        <v>0.64423925205137611</v>
      </c>
      <c r="AH35" s="48">
        <f>'ECS failure'!AF35</f>
        <v>0.66396086180805081</v>
      </c>
    </row>
    <row r="36" spans="1:34">
      <c r="A36" s="36">
        <f t="shared" si="25"/>
        <v>40000</v>
      </c>
      <c r="B36" s="45">
        <f t="shared" si="1"/>
        <v>1375</v>
      </c>
      <c r="C36" s="46">
        <f t="shared" si="2"/>
        <v>-56.5</v>
      </c>
      <c r="D36" s="46">
        <f>C36+25</f>
        <v>-31.5</v>
      </c>
      <c r="E36" s="46">
        <f>C36-20</f>
        <v>-76.5</v>
      </c>
      <c r="F36" s="36">
        <f>0.00002*A36</f>
        <v>0.8</v>
      </c>
      <c r="G36" s="47">
        <f>0.3+0.000015*A36</f>
        <v>0.89999999999999991</v>
      </c>
      <c r="H36" s="46">
        <f t="shared" si="5"/>
        <v>-53.845920000000007</v>
      </c>
      <c r="I36" s="48">
        <f>(D36+273.15)*(1+0.18*G36^2)-273.15</f>
        <v>3.7325699999999529</v>
      </c>
      <c r="J36" s="49">
        <f t="shared" si="6"/>
        <v>-5705.0120238850395</v>
      </c>
      <c r="K36" s="49">
        <f t="shared" si="7"/>
        <v>14739.199999999997</v>
      </c>
      <c r="L36" s="49">
        <f t="shared" si="8"/>
        <v>11600</v>
      </c>
      <c r="M36" s="49">
        <f t="shared" si="31"/>
        <v>2887.4999999999995</v>
      </c>
      <c r="N36" s="49">
        <f t="shared" si="32"/>
        <v>23521.687976114958</v>
      </c>
      <c r="O36" s="50">
        <f t="shared" si="11"/>
        <v>-21912.591266400912</v>
      </c>
      <c r="P36" s="50">
        <f t="shared" si="12"/>
        <v>3158.3999999999996</v>
      </c>
      <c r="Q36" s="50">
        <f t="shared" si="13"/>
        <v>2560</v>
      </c>
      <c r="R36" s="50">
        <v>0</v>
      </c>
      <c r="S36" s="50">
        <f t="shared" si="33"/>
        <v>-16194.191266400914</v>
      </c>
      <c r="T36" s="45">
        <v>186.91888208384285</v>
      </c>
      <c r="U36" s="45">
        <v>799.68000000000006</v>
      </c>
      <c r="V36" s="45">
        <f t="shared" ref="V36" si="36">U36</f>
        <v>799.68000000000006</v>
      </c>
      <c r="W36" s="48">
        <f t="shared" si="15"/>
        <v>4.2782194665667967</v>
      </c>
      <c r="X36" s="48">
        <f t="shared" si="30"/>
        <v>0.22517913118285421</v>
      </c>
      <c r="Y36" s="45">
        <f>V36*100/287/(273.15+24)*$B$9</f>
        <v>375.07541153150049</v>
      </c>
      <c r="Z36" s="48">
        <f>(Y35-Y36)/60</f>
        <v>8.5989177480294637E-2</v>
      </c>
      <c r="AA36" s="51">
        <f t="shared" si="18"/>
        <v>0.31116830866314882</v>
      </c>
      <c r="AB36" s="52">
        <f t="shared" si="19"/>
        <v>1.1158296003849602</v>
      </c>
      <c r="AC36" s="52">
        <f t="shared" si="20"/>
        <v>0.61975473656337221</v>
      </c>
      <c r="AD36" s="52">
        <f t="shared" si="21"/>
        <v>0.81496265384499078</v>
      </c>
      <c r="AE36" s="47">
        <f t="shared" si="22"/>
        <v>0.53222509279590358</v>
      </c>
      <c r="AF36" s="48">
        <f t="shared" si="23"/>
        <v>0.88582897157064211</v>
      </c>
      <c r="AG36" s="48">
        <f t="shared" si="24"/>
        <v>0.64423925205137611</v>
      </c>
      <c r="AH36" s="48">
        <f>'ECS failure'!AF36</f>
        <v>0.66396086180805081</v>
      </c>
    </row>
  </sheetData>
  <mergeCells count="7">
    <mergeCell ref="O13:S13"/>
    <mergeCell ref="G5:H5"/>
    <mergeCell ref="G6:H6"/>
    <mergeCell ref="G7:J7"/>
    <mergeCell ref="G8:H8"/>
    <mergeCell ref="G9:H9"/>
    <mergeCell ref="J13:N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"/>
  <sheetViews>
    <sheetView topLeftCell="F5" zoomScale="70" zoomScaleNormal="70" workbookViewId="0">
      <selection activeCell="AF16" sqref="AF16:AF36"/>
    </sheetView>
  </sheetViews>
  <sheetFormatPr defaultColWidth="11.42578125" defaultRowHeight="14.45"/>
  <cols>
    <col min="1" max="1" width="30.7109375" bestFit="1" customWidth="1"/>
    <col min="7" max="7" width="13" customWidth="1"/>
    <col min="8" max="8" width="10" customWidth="1"/>
    <col min="9" max="9" width="10.140625" customWidth="1"/>
    <col min="24" max="24" width="15.42578125" customWidth="1"/>
    <col min="26" max="26" width="18.7109375" customWidth="1"/>
    <col min="27" max="27" width="15.140625" customWidth="1"/>
  </cols>
  <sheetData>
    <row r="1" spans="1:34">
      <c r="A1" s="34" t="s">
        <v>0</v>
      </c>
      <c r="B1" s="35">
        <v>0.7</v>
      </c>
      <c r="C1" s="34" t="s">
        <v>1</v>
      </c>
      <c r="G1" s="36"/>
      <c r="H1" s="36" t="s">
        <v>2</v>
      </c>
      <c r="I1" s="36" t="s">
        <v>3</v>
      </c>
    </row>
    <row r="2" spans="1:34">
      <c r="A2" s="34" t="s">
        <v>4</v>
      </c>
      <c r="B2" s="75">
        <f>4*PI()*(30+4/2)</f>
        <v>402.12385965949352</v>
      </c>
      <c r="C2" s="34" t="s">
        <v>5</v>
      </c>
      <c r="E2" s="37" t="s">
        <v>6</v>
      </c>
      <c r="G2" s="36" t="s">
        <v>7</v>
      </c>
      <c r="H2" s="38">
        <v>180</v>
      </c>
      <c r="I2" s="38">
        <f>0.2*H2</f>
        <v>36</v>
      </c>
      <c r="Z2" t="s">
        <v>8</v>
      </c>
      <c r="AC2" t="s">
        <v>9</v>
      </c>
      <c r="AD2" s="37">
        <v>3</v>
      </c>
      <c r="AE2" t="s">
        <v>10</v>
      </c>
    </row>
    <row r="3" spans="1:34">
      <c r="A3" s="34" t="s">
        <v>11</v>
      </c>
      <c r="B3" s="75">
        <f>0.7*B2</f>
        <v>281.48670176164546</v>
      </c>
      <c r="C3" s="34" t="s">
        <v>12</v>
      </c>
      <c r="G3" s="36" t="s">
        <v>13</v>
      </c>
      <c r="H3" s="38">
        <v>8</v>
      </c>
      <c r="I3" s="38">
        <v>3</v>
      </c>
      <c r="J3" t="s">
        <v>14</v>
      </c>
      <c r="AC3" t="s">
        <v>15</v>
      </c>
      <c r="AD3" s="37">
        <v>2</v>
      </c>
      <c r="AE3" t="s">
        <v>16</v>
      </c>
    </row>
    <row r="4" spans="1:34">
      <c r="A4" s="34" t="s">
        <v>17</v>
      </c>
      <c r="B4" s="35">
        <v>8</v>
      </c>
      <c r="C4" s="34" t="s">
        <v>18</v>
      </c>
      <c r="AC4" t="s">
        <v>19</v>
      </c>
      <c r="AD4" s="39">
        <f>AD2-AD3*2500/1005</f>
        <v>-1.9751243781094523</v>
      </c>
      <c r="AE4" t="s">
        <v>10</v>
      </c>
    </row>
    <row r="5" spans="1:34">
      <c r="A5" s="34" t="s">
        <v>20</v>
      </c>
      <c r="B5" s="35">
        <f>0.5*B4</f>
        <v>4</v>
      </c>
      <c r="C5" s="34" t="s">
        <v>18</v>
      </c>
      <c r="G5" s="79" t="s">
        <v>21</v>
      </c>
      <c r="H5" s="80"/>
      <c r="I5" s="35">
        <v>30</v>
      </c>
      <c r="J5" s="34" t="s">
        <v>10</v>
      </c>
      <c r="Z5" t="s">
        <v>22</v>
      </c>
      <c r="AC5" t="s">
        <v>9</v>
      </c>
      <c r="AD5" s="37">
        <v>50</v>
      </c>
      <c r="AE5" t="s">
        <v>10</v>
      </c>
    </row>
    <row r="6" spans="1:34">
      <c r="A6" s="34" t="s">
        <v>23</v>
      </c>
      <c r="B6" s="35">
        <f>B4+B5</f>
        <v>12</v>
      </c>
      <c r="C6" s="34" t="s">
        <v>18</v>
      </c>
      <c r="G6" s="79" t="s">
        <v>24</v>
      </c>
      <c r="H6" s="80"/>
      <c r="I6" s="35">
        <v>18</v>
      </c>
      <c r="J6" s="34" t="s">
        <v>10</v>
      </c>
      <c r="AC6" t="s">
        <v>15</v>
      </c>
      <c r="AD6">
        <v>0</v>
      </c>
      <c r="AE6" t="s">
        <v>16</v>
      </c>
      <c r="AF6" t="s">
        <v>25</v>
      </c>
    </row>
    <row r="7" spans="1:34">
      <c r="A7" s="34" t="s">
        <v>26</v>
      </c>
      <c r="B7" s="35">
        <v>6</v>
      </c>
      <c r="C7" s="34" t="s">
        <v>5</v>
      </c>
      <c r="G7" s="79"/>
      <c r="H7" s="81"/>
      <c r="I7" s="81"/>
      <c r="J7" s="80"/>
      <c r="AC7" t="s">
        <v>19</v>
      </c>
      <c r="AD7" s="39">
        <f>AD5-AD6*2500/1005</f>
        <v>50</v>
      </c>
      <c r="AE7" t="s">
        <v>10</v>
      </c>
    </row>
    <row r="8" spans="1:34">
      <c r="A8" s="34" t="s">
        <v>27</v>
      </c>
      <c r="B8" s="35">
        <f>B7*0.5*0.7</f>
        <v>2.0999999999999996</v>
      </c>
      <c r="C8" s="34" t="s">
        <v>5</v>
      </c>
      <c r="G8" s="79" t="s">
        <v>28</v>
      </c>
      <c r="H8" s="80"/>
      <c r="I8" s="34">
        <f>IF(ISBLANK(I5),0,188-4.7*I5)</f>
        <v>47</v>
      </c>
      <c r="J8" s="34" t="s">
        <v>29</v>
      </c>
      <c r="Z8" t="s">
        <v>30</v>
      </c>
      <c r="AC8" t="s">
        <v>9</v>
      </c>
      <c r="AD8" s="37">
        <v>-8.5</v>
      </c>
      <c r="AE8" t="s">
        <v>10</v>
      </c>
    </row>
    <row r="9" spans="1:34">
      <c r="A9" s="34" t="s">
        <v>31</v>
      </c>
      <c r="B9" s="35">
        <v>400</v>
      </c>
      <c r="C9" s="34" t="s">
        <v>32</v>
      </c>
      <c r="G9" s="79" t="s">
        <v>33</v>
      </c>
      <c r="H9" s="80"/>
      <c r="I9" s="34">
        <f>IF(ISBLANK(I6),0,188-4.7*I6)</f>
        <v>103.39999999999999</v>
      </c>
      <c r="J9" s="34" t="s">
        <v>29</v>
      </c>
      <c r="AC9" t="s">
        <v>15</v>
      </c>
      <c r="AD9" s="37">
        <v>2</v>
      </c>
      <c r="AE9" t="s">
        <v>16</v>
      </c>
    </row>
    <row r="10" spans="1:34">
      <c r="AC10" t="s">
        <v>19</v>
      </c>
      <c r="AD10" s="39">
        <f>AD8-AD9*2500/1005</f>
        <v>-13.475124378109452</v>
      </c>
      <c r="AE10" t="s">
        <v>10</v>
      </c>
    </row>
    <row r="13" spans="1:34">
      <c r="A13" s="34"/>
      <c r="B13" s="34"/>
      <c r="C13" s="34"/>
      <c r="D13" s="34"/>
      <c r="E13" s="34"/>
      <c r="F13" s="34"/>
      <c r="G13" s="34"/>
      <c r="H13" s="34"/>
      <c r="I13" s="34"/>
      <c r="J13" s="82" t="s">
        <v>34</v>
      </c>
      <c r="K13" s="83"/>
      <c r="L13" s="83"/>
      <c r="M13" s="83"/>
      <c r="N13" s="84"/>
      <c r="O13" s="76" t="s">
        <v>35</v>
      </c>
      <c r="P13" s="77"/>
      <c r="Q13" s="77"/>
      <c r="R13" s="77"/>
      <c r="S13" s="78"/>
    </row>
    <row r="14" spans="1:34" ht="57.6">
      <c r="A14" s="40" t="s">
        <v>36</v>
      </c>
      <c r="B14" s="40" t="s">
        <v>37</v>
      </c>
      <c r="C14" s="40" t="s">
        <v>38</v>
      </c>
      <c r="D14" s="40" t="s">
        <v>39</v>
      </c>
      <c r="E14" s="40" t="s">
        <v>40</v>
      </c>
      <c r="F14" s="40" t="s">
        <v>41</v>
      </c>
      <c r="G14" s="40" t="s">
        <v>42</v>
      </c>
      <c r="H14" s="40" t="s">
        <v>44</v>
      </c>
      <c r="I14" s="40" t="s">
        <v>43</v>
      </c>
      <c r="J14" s="41" t="s">
        <v>45</v>
      </c>
      <c r="K14" s="41" t="s">
        <v>46</v>
      </c>
      <c r="L14" s="41" t="s">
        <v>47</v>
      </c>
      <c r="M14" s="41" t="s">
        <v>48</v>
      </c>
      <c r="N14" s="41" t="s">
        <v>49</v>
      </c>
      <c r="O14" s="42" t="s">
        <v>45</v>
      </c>
      <c r="P14" s="42" t="s">
        <v>46</v>
      </c>
      <c r="Q14" s="42" t="s">
        <v>47</v>
      </c>
      <c r="R14" s="42" t="s">
        <v>48</v>
      </c>
      <c r="S14" s="42" t="s">
        <v>49</v>
      </c>
      <c r="T14" s="40" t="s">
        <v>50</v>
      </c>
      <c r="U14" s="40" t="s">
        <v>51</v>
      </c>
      <c r="V14" s="40" t="s">
        <v>52</v>
      </c>
      <c r="W14" s="40" t="s">
        <v>53</v>
      </c>
      <c r="X14" s="40" t="s">
        <v>54</v>
      </c>
      <c r="Y14" s="40" t="s">
        <v>55</v>
      </c>
      <c r="Z14" s="40" t="s">
        <v>56</v>
      </c>
      <c r="AA14" s="43" t="s">
        <v>57</v>
      </c>
      <c r="AB14" s="43" t="s">
        <v>58</v>
      </c>
      <c r="AC14" s="43" t="s">
        <v>59</v>
      </c>
      <c r="AD14" s="43" t="s">
        <v>60</v>
      </c>
      <c r="AE14" s="40" t="s">
        <v>61</v>
      </c>
      <c r="AF14" s="40" t="s">
        <v>62</v>
      </c>
      <c r="AG14" s="40"/>
      <c r="AH14" s="40"/>
    </row>
    <row r="15" spans="1:34">
      <c r="A15" s="40" t="s">
        <v>65</v>
      </c>
      <c r="B15" s="40" t="s">
        <v>66</v>
      </c>
      <c r="C15" s="40" t="s">
        <v>10</v>
      </c>
      <c r="D15" s="40" t="s">
        <v>10</v>
      </c>
      <c r="E15" s="40" t="s">
        <v>10</v>
      </c>
      <c r="F15" s="40"/>
      <c r="G15" s="40"/>
      <c r="H15" s="40" t="s">
        <v>10</v>
      </c>
      <c r="I15" s="40" t="s">
        <v>10</v>
      </c>
      <c r="J15" s="41" t="s">
        <v>29</v>
      </c>
      <c r="K15" s="41" t="s">
        <v>29</v>
      </c>
      <c r="L15" s="41" t="s">
        <v>29</v>
      </c>
      <c r="M15" s="41" t="s">
        <v>29</v>
      </c>
      <c r="N15" s="41" t="s">
        <v>29</v>
      </c>
      <c r="O15" s="42" t="s">
        <v>29</v>
      </c>
      <c r="P15" s="42" t="s">
        <v>29</v>
      </c>
      <c r="Q15" s="42" t="s">
        <v>29</v>
      </c>
      <c r="R15" s="42" t="s">
        <v>29</v>
      </c>
      <c r="S15" s="42" t="s">
        <v>29</v>
      </c>
      <c r="T15" s="40" t="s">
        <v>67</v>
      </c>
      <c r="U15" s="40" t="s">
        <v>67</v>
      </c>
      <c r="V15" s="40" t="s">
        <v>67</v>
      </c>
      <c r="W15" s="40"/>
      <c r="X15" s="40" t="s">
        <v>68</v>
      </c>
      <c r="Y15" s="40" t="s">
        <v>69</v>
      </c>
      <c r="Z15" s="40" t="s">
        <v>68</v>
      </c>
      <c r="AA15" s="43" t="s">
        <v>68</v>
      </c>
      <c r="AB15" s="44" t="s">
        <v>68</v>
      </c>
      <c r="AC15" s="44" t="s">
        <v>68</v>
      </c>
      <c r="AD15" s="44" t="s">
        <v>68</v>
      </c>
      <c r="AE15" s="36" t="s">
        <v>68</v>
      </c>
      <c r="AF15" s="36" t="s">
        <v>68</v>
      </c>
      <c r="AG15" s="36"/>
      <c r="AH15" s="36"/>
    </row>
    <row r="16" spans="1:34">
      <c r="A16" s="36">
        <v>0</v>
      </c>
      <c r="B16" s="45">
        <f>1135+240*A16/40000</f>
        <v>1135</v>
      </c>
      <c r="C16" s="46">
        <f>15-A16*71.5/40000</f>
        <v>15</v>
      </c>
      <c r="D16" s="46">
        <f>C16+25</f>
        <v>40</v>
      </c>
      <c r="E16" s="46">
        <v>-40</v>
      </c>
      <c r="F16" s="36">
        <v>0</v>
      </c>
      <c r="G16" s="47">
        <v>0</v>
      </c>
      <c r="H16" s="36">
        <f>(E16+273.15)*(1+0.18*F16^2)-273.15</f>
        <v>-40</v>
      </c>
      <c r="I16" s="48">
        <f>D16*1.2368</f>
        <v>49.471999999999994</v>
      </c>
      <c r="J16" s="49">
        <f>$B$3*(I16-$I$5)</f>
        <v>5481.1090567027586</v>
      </c>
      <c r="K16" s="49">
        <f>$I$8*$H$2+2*$I$8*$H$3</f>
        <v>9212</v>
      </c>
      <c r="L16" s="49">
        <f>400+60*$H$2/2</f>
        <v>5800</v>
      </c>
      <c r="M16" s="49">
        <f>$B$8*B16</f>
        <v>2383.4999999999995</v>
      </c>
      <c r="N16" s="49">
        <f>SUM(J16:M16)</f>
        <v>22876.609056702757</v>
      </c>
      <c r="O16" s="50">
        <f>$B$3*(H16-$I$6)</f>
        <v>-16326.228702175436</v>
      </c>
      <c r="P16" s="50">
        <f>$I$9*$I$2+2*$I$9*$I$3</f>
        <v>4342.7999999999993</v>
      </c>
      <c r="Q16" s="50">
        <f>400+60*$I$2</f>
        <v>2560</v>
      </c>
      <c r="R16" s="50">
        <v>0</v>
      </c>
      <c r="S16" s="50">
        <f>SUM(O16:R16)</f>
        <v>-9423.4287021754371</v>
      </c>
      <c r="T16" s="45">
        <v>1013.25</v>
      </c>
      <c r="U16" s="45">
        <v>1020</v>
      </c>
      <c r="V16" s="45">
        <f t="shared" ref="V16:V34" si="0">V17+11</f>
        <v>1019.6800000000001</v>
      </c>
      <c r="W16" s="48">
        <f>U16/T16</f>
        <v>1.006661732050333</v>
      </c>
      <c r="X16" s="48">
        <f>$B$6*0.0001*U16*100*0.1562*((W16^(-1.429)-W16^(-1.714))/(273.15+24))^0.5</f>
        <v>4.7995837823966235E-2</v>
      </c>
      <c r="Y16" s="45">
        <f>V16*100/287/(273.15+24)*$B$9</f>
        <v>478.26242450785372</v>
      </c>
      <c r="Z16" s="36"/>
      <c r="AA16" s="51">
        <f>X16+Z16</f>
        <v>4.7995837823966235E-2</v>
      </c>
      <c r="AB16" s="52">
        <f>N16/1005/(24-$AD$4)</f>
        <v>0.87633055187522535</v>
      </c>
      <c r="AC16" s="52">
        <f>S16/1005/(24-$AD$5)</f>
        <v>0.3606363835505334</v>
      </c>
      <c r="AD16" s="52">
        <f>(0.4*$H$2+2*0.55*$H$3)/2.2046/60</f>
        <v>0.61084399286340674</v>
      </c>
      <c r="AE16" s="47">
        <f>N16/1005/(24-$AD$10)</f>
        <v>0.6074107947348889</v>
      </c>
      <c r="AF16" s="48">
        <f>AD16/0.92</f>
        <v>0.66396086180805081</v>
      </c>
      <c r="AG16" s="48"/>
      <c r="AH16" s="48"/>
    </row>
    <row r="17" spans="1:34">
      <c r="A17" s="36">
        <f>A16+2000</f>
        <v>2000</v>
      </c>
      <c r="B17" s="45">
        <f t="shared" ref="B17:B36" si="1">1135+240*A17/40000</f>
        <v>1147</v>
      </c>
      <c r="C17" s="46">
        <f t="shared" ref="C17:C36" si="2">15-A17*71.5/40000</f>
        <v>11.425000000000001</v>
      </c>
      <c r="D17" s="46">
        <f t="shared" ref="D17:D34" si="3">C17+25</f>
        <v>36.424999999999997</v>
      </c>
      <c r="E17" s="46">
        <v>-40</v>
      </c>
      <c r="F17" s="36">
        <v>0</v>
      </c>
      <c r="G17" s="47">
        <f t="shared" ref="G17:G34" si="4">0.3+0.000015*A17</f>
        <v>0.33</v>
      </c>
      <c r="H17" s="36">
        <f t="shared" ref="H17:H36" si="5">(E17+273.15)*(1+0.18*F17^2)-273.15</f>
        <v>-40</v>
      </c>
      <c r="I17" s="48">
        <f t="shared" ref="I17:I35" si="6">(D17+273.15)*(1+0.18*G17^2)-273.15</f>
        <v>42.493289149999953</v>
      </c>
      <c r="J17" s="49">
        <f t="shared" ref="J17:J36" si="7">$B$3*(I17-$I$5)</f>
        <v>3516.6947569880381</v>
      </c>
      <c r="K17" s="49">
        <f t="shared" ref="K17:K36" si="8">$I$8*$H$2+2*$I$8*$H$3</f>
        <v>9212</v>
      </c>
      <c r="L17" s="49">
        <f t="shared" ref="L17:L36" si="9">400+60*$H$2/2</f>
        <v>5800</v>
      </c>
      <c r="M17" s="49">
        <f t="shared" ref="M17:M33" si="10">$B$8*B17</f>
        <v>2408.6999999999998</v>
      </c>
      <c r="N17" s="49">
        <f t="shared" ref="N17:N33" si="11">SUM(J17:M17)</f>
        <v>20937.394756988037</v>
      </c>
      <c r="O17" s="50">
        <f t="shared" ref="O17:O36" si="12">$B$3*(H17-$I$6)</f>
        <v>-16326.228702175436</v>
      </c>
      <c r="P17" s="50">
        <f t="shared" ref="P17:P36" si="13">$I$9*$I$2+2*$I$9*$I$3</f>
        <v>4342.7999999999993</v>
      </c>
      <c r="Q17" s="50">
        <f t="shared" ref="Q17:Q36" si="14">400+60*$I$2</f>
        <v>2560</v>
      </c>
      <c r="R17" s="50">
        <v>0</v>
      </c>
      <c r="S17" s="50">
        <f t="shared" ref="S17:S34" si="15">SUM(O17:R17)</f>
        <v>-9423.4287021754371</v>
      </c>
      <c r="T17" s="45">
        <v>942.13333321545463</v>
      </c>
      <c r="U17" s="45">
        <v>1016.7892000000001</v>
      </c>
      <c r="V17" s="45">
        <f t="shared" si="0"/>
        <v>1008.6800000000001</v>
      </c>
      <c r="W17" s="48">
        <f t="shared" ref="W17:W36" si="16">U17/T17</f>
        <v>1.0792412964837457</v>
      </c>
      <c r="X17" s="48">
        <f t="shared" ref="X17:X25" si="17">$B$6*0.0001*U17*100*0.1562*((W17^(-1.429)-W17^(-1.714))/(273.15+24))^0.5</f>
        <v>0.15351565367996281</v>
      </c>
      <c r="Y17" s="45">
        <f t="shared" ref="Y17:Y32" si="18">V17*100/287/(273.15+24)*$B$9</f>
        <v>473.10307385903599</v>
      </c>
      <c r="Z17" s="48">
        <f>(Y16-Y17)/60</f>
        <v>8.5989177480295595E-2</v>
      </c>
      <c r="AA17" s="51">
        <f t="shared" ref="AA17:AA36" si="19">X17+Z17</f>
        <v>0.23950483116025839</v>
      </c>
      <c r="AB17" s="52">
        <f t="shared" ref="AB17:AB36" si="20">N17/1005/(24-$AD$4)</f>
        <v>0.80204538429373817</v>
      </c>
      <c r="AC17" s="52">
        <f t="shared" ref="AC17:AC36" si="21">S17/1005/(24-$AD$5)</f>
        <v>0.3606363835505334</v>
      </c>
      <c r="AD17" s="52">
        <f t="shared" ref="AD17:AD36" si="22">(0.4*$H$2+2*0.55*$H$3)/2.2046/60</f>
        <v>0.61084399286340674</v>
      </c>
      <c r="AE17" s="47">
        <f t="shared" ref="AE17:AE36" si="23">N17/1005/(24-$AD$10)</f>
        <v>0.55592153354100327</v>
      </c>
      <c r="AF17" s="48">
        <f t="shared" ref="AF17:AF36" si="24">AD17/0.92</f>
        <v>0.66396086180805081</v>
      </c>
      <c r="AG17" s="48"/>
      <c r="AH17" s="48"/>
    </row>
    <row r="18" spans="1:34">
      <c r="A18" s="36">
        <f t="shared" ref="A18:A36" si="25">A17+2000</f>
        <v>4000</v>
      </c>
      <c r="B18" s="45">
        <f t="shared" si="1"/>
        <v>1159</v>
      </c>
      <c r="C18" s="46">
        <f t="shared" si="2"/>
        <v>7.85</v>
      </c>
      <c r="D18" s="46">
        <f t="shared" si="3"/>
        <v>32.85</v>
      </c>
      <c r="E18" s="46">
        <v>-40</v>
      </c>
      <c r="F18" s="36">
        <v>0</v>
      </c>
      <c r="G18" s="47">
        <f t="shared" si="4"/>
        <v>0.36</v>
      </c>
      <c r="H18" s="36">
        <f t="shared" si="5"/>
        <v>-40</v>
      </c>
      <c r="I18" s="48">
        <f t="shared" si="6"/>
        <v>39.988368000000037</v>
      </c>
      <c r="J18" s="49">
        <f t="shared" si="7"/>
        <v>2811.5927643015734</v>
      </c>
      <c r="K18" s="49">
        <f t="shared" si="8"/>
        <v>9212</v>
      </c>
      <c r="L18" s="49">
        <f t="shared" si="9"/>
        <v>5800</v>
      </c>
      <c r="M18" s="49">
        <f t="shared" si="10"/>
        <v>2433.8999999999996</v>
      </c>
      <c r="N18" s="49">
        <f t="shared" si="11"/>
        <v>20257.492764301576</v>
      </c>
      <c r="O18" s="50">
        <f t="shared" si="12"/>
        <v>-16326.228702175436</v>
      </c>
      <c r="P18" s="50">
        <f t="shared" si="13"/>
        <v>4342.7999999999993</v>
      </c>
      <c r="Q18" s="50">
        <f t="shared" si="14"/>
        <v>2560</v>
      </c>
      <c r="R18" s="50">
        <v>0</v>
      </c>
      <c r="S18" s="50">
        <f t="shared" si="15"/>
        <v>-9423.4287021754371</v>
      </c>
      <c r="T18" s="45">
        <v>875.11353827419271</v>
      </c>
      <c r="U18" s="45">
        <v>1012.7568</v>
      </c>
      <c r="V18" s="45">
        <f t="shared" si="0"/>
        <v>997.68000000000006</v>
      </c>
      <c r="W18" s="48">
        <f t="shared" si="16"/>
        <v>1.1572861756855606</v>
      </c>
      <c r="X18" s="48">
        <f t="shared" si="17"/>
        <v>0.20033699612253797</v>
      </c>
      <c r="Y18" s="45">
        <f t="shared" si="18"/>
        <v>467.94372321021837</v>
      </c>
      <c r="Z18" s="48">
        <f t="shared" ref="Z18:Z32" si="26">(Y17-Y18)/60</f>
        <v>8.5989177480293694E-2</v>
      </c>
      <c r="AA18" s="51">
        <f t="shared" si="19"/>
        <v>0.28632617360283164</v>
      </c>
      <c r="AB18" s="52">
        <f t="shared" si="20"/>
        <v>0.77600048896002971</v>
      </c>
      <c r="AC18" s="52">
        <f t="shared" si="21"/>
        <v>0.3606363835505334</v>
      </c>
      <c r="AD18" s="52">
        <f t="shared" si="22"/>
        <v>0.61084399286340674</v>
      </c>
      <c r="AE18" s="47">
        <f t="shared" si="23"/>
        <v>0.53786904120282975</v>
      </c>
      <c r="AF18" s="48">
        <f t="shared" si="24"/>
        <v>0.66396086180805081</v>
      </c>
      <c r="AG18" s="48"/>
      <c r="AH18" s="48"/>
    </row>
    <row r="19" spans="1:34">
      <c r="A19" s="36">
        <f t="shared" si="25"/>
        <v>6000</v>
      </c>
      <c r="B19" s="45">
        <f t="shared" si="1"/>
        <v>1171</v>
      </c>
      <c r="C19" s="46">
        <f t="shared" si="2"/>
        <v>4.2750000000000004</v>
      </c>
      <c r="D19" s="46">
        <f t="shared" si="3"/>
        <v>29.274999999999999</v>
      </c>
      <c r="E19" s="46">
        <v>-40</v>
      </c>
      <c r="F19" s="36">
        <v>0</v>
      </c>
      <c r="G19" s="47">
        <f t="shared" si="4"/>
        <v>0.39</v>
      </c>
      <c r="H19" s="36">
        <f t="shared" si="5"/>
        <v>-40</v>
      </c>
      <c r="I19" s="48">
        <f t="shared" si="6"/>
        <v>37.55479164999997</v>
      </c>
      <c r="J19" s="49">
        <f t="shared" si="7"/>
        <v>2126.573384054911</v>
      </c>
      <c r="K19" s="49">
        <f t="shared" si="8"/>
        <v>9212</v>
      </c>
      <c r="L19" s="49">
        <f t="shared" si="9"/>
        <v>5800</v>
      </c>
      <c r="M19" s="49">
        <f t="shared" si="10"/>
        <v>2459.0999999999995</v>
      </c>
      <c r="N19" s="49">
        <f t="shared" si="11"/>
        <v>19597.67338405491</v>
      </c>
      <c r="O19" s="50">
        <f t="shared" si="12"/>
        <v>-16326.228702175436</v>
      </c>
      <c r="P19" s="50">
        <f t="shared" si="13"/>
        <v>4342.7999999999993</v>
      </c>
      <c r="Q19" s="50">
        <f t="shared" si="14"/>
        <v>2560</v>
      </c>
      <c r="R19" s="50">
        <v>0</v>
      </c>
      <c r="S19" s="50">
        <f t="shared" si="15"/>
        <v>-9423.4287021754371</v>
      </c>
      <c r="T19" s="45">
        <v>812.00756195606618</v>
      </c>
      <c r="U19" s="45">
        <v>1007.9028000000001</v>
      </c>
      <c r="V19" s="45">
        <f t="shared" si="0"/>
        <v>986.68000000000006</v>
      </c>
      <c r="W19" s="48">
        <f t="shared" si="16"/>
        <v>1.2412480464738982</v>
      </c>
      <c r="X19" s="48">
        <f t="shared" si="17"/>
        <v>0.2295330702046775</v>
      </c>
      <c r="Y19" s="45">
        <f t="shared" si="18"/>
        <v>462.78437256140074</v>
      </c>
      <c r="Z19" s="48">
        <f t="shared" si="26"/>
        <v>8.5989177480293694E-2</v>
      </c>
      <c r="AA19" s="51">
        <f t="shared" si="19"/>
        <v>0.31552224768497117</v>
      </c>
      <c r="AB19" s="52">
        <f t="shared" si="20"/>
        <v>0.75072489500306105</v>
      </c>
      <c r="AC19" s="52">
        <f t="shared" si="21"/>
        <v>0.3606363835505334</v>
      </c>
      <c r="AD19" s="52">
        <f t="shared" si="22"/>
        <v>0.61084399286340674</v>
      </c>
      <c r="AE19" s="47">
        <f t="shared" si="23"/>
        <v>0.52034977455173992</v>
      </c>
      <c r="AF19" s="48">
        <f t="shared" si="24"/>
        <v>0.66396086180805081</v>
      </c>
      <c r="AG19" s="48"/>
      <c r="AH19" s="48"/>
    </row>
    <row r="20" spans="1:34">
      <c r="A20" s="36">
        <f t="shared" si="25"/>
        <v>8000</v>
      </c>
      <c r="B20" s="45">
        <f t="shared" si="1"/>
        <v>1183</v>
      </c>
      <c r="C20" s="46">
        <f t="shared" si="2"/>
        <v>0.69999999999999929</v>
      </c>
      <c r="D20" s="46">
        <f t="shared" si="3"/>
        <v>25.7</v>
      </c>
      <c r="E20" s="46">
        <v>-40</v>
      </c>
      <c r="F20" s="36">
        <v>0</v>
      </c>
      <c r="G20" s="47">
        <f t="shared" si="4"/>
        <v>0.42</v>
      </c>
      <c r="H20" s="36">
        <f t="shared" si="5"/>
        <v>-40</v>
      </c>
      <c r="I20" s="48">
        <f t="shared" si="6"/>
        <v>35.189085199999965</v>
      </c>
      <c r="J20" s="49">
        <f t="shared" si="7"/>
        <v>1460.6584781081588</v>
      </c>
      <c r="K20" s="49">
        <f t="shared" si="8"/>
        <v>9212</v>
      </c>
      <c r="L20" s="49">
        <f t="shared" si="9"/>
        <v>5800</v>
      </c>
      <c r="M20" s="49">
        <f t="shared" si="10"/>
        <v>2484.2999999999997</v>
      </c>
      <c r="N20" s="49">
        <f t="shared" si="11"/>
        <v>18956.958478108158</v>
      </c>
      <c r="O20" s="50">
        <f t="shared" si="12"/>
        <v>-16326.228702175436</v>
      </c>
      <c r="P20" s="50">
        <f t="shared" si="13"/>
        <v>4342.7999999999993</v>
      </c>
      <c r="Q20" s="50">
        <f t="shared" si="14"/>
        <v>2560</v>
      </c>
      <c r="R20" s="50">
        <v>0</v>
      </c>
      <c r="S20" s="50">
        <f t="shared" si="15"/>
        <v>-9423.4287021754371</v>
      </c>
      <c r="T20" s="45">
        <v>752.63809752060683</v>
      </c>
      <c r="U20" s="45">
        <v>1002.2271999999999</v>
      </c>
      <c r="V20" s="45">
        <f t="shared" si="0"/>
        <v>975.68000000000006</v>
      </c>
      <c r="W20" s="48">
        <f t="shared" si="16"/>
        <v>1.3316190122471969</v>
      </c>
      <c r="X20" s="48">
        <f t="shared" si="17"/>
        <v>0.24864218994885767</v>
      </c>
      <c r="Y20" s="45">
        <f t="shared" si="18"/>
        <v>457.62502191258301</v>
      </c>
      <c r="Z20" s="48">
        <f t="shared" si="26"/>
        <v>8.5989177480295595E-2</v>
      </c>
      <c r="AA20" s="51">
        <f t="shared" si="19"/>
        <v>0.33463136742915328</v>
      </c>
      <c r="AB20" s="52">
        <f t="shared" si="20"/>
        <v>0.72618113304379084</v>
      </c>
      <c r="AC20" s="52">
        <f t="shared" si="21"/>
        <v>0.3606363835505334</v>
      </c>
      <c r="AD20" s="52">
        <f t="shared" si="22"/>
        <v>0.61084399286340674</v>
      </c>
      <c r="AE20" s="47">
        <f t="shared" si="23"/>
        <v>0.50333776244561979</v>
      </c>
      <c r="AF20" s="48">
        <f t="shared" si="24"/>
        <v>0.66396086180805081</v>
      </c>
      <c r="AG20" s="48"/>
      <c r="AH20" s="48"/>
    </row>
    <row r="21" spans="1:34">
      <c r="A21" s="36">
        <f t="shared" si="25"/>
        <v>10000</v>
      </c>
      <c r="B21" s="45">
        <f t="shared" si="1"/>
        <v>1195</v>
      </c>
      <c r="C21" s="46">
        <f t="shared" si="2"/>
        <v>-2.875</v>
      </c>
      <c r="D21" s="46">
        <f t="shared" si="3"/>
        <v>22.125</v>
      </c>
      <c r="E21" s="46">
        <v>-40</v>
      </c>
      <c r="F21" s="36">
        <v>0</v>
      </c>
      <c r="G21" s="47">
        <f t="shared" si="4"/>
        <v>0.44999999999999996</v>
      </c>
      <c r="H21" s="36">
        <f t="shared" si="5"/>
        <v>-40</v>
      </c>
      <c r="I21" s="48">
        <f t="shared" si="6"/>
        <v>32.887773750000008</v>
      </c>
      <c r="J21" s="49">
        <f t="shared" si="7"/>
        <v>812.86990832136075</v>
      </c>
      <c r="K21" s="49">
        <f t="shared" si="8"/>
        <v>9212</v>
      </c>
      <c r="L21" s="49">
        <f t="shared" si="9"/>
        <v>5800</v>
      </c>
      <c r="M21" s="49">
        <f t="shared" si="10"/>
        <v>2509.4999999999995</v>
      </c>
      <c r="N21" s="49">
        <f t="shared" si="11"/>
        <v>18334.369908321361</v>
      </c>
      <c r="O21" s="50">
        <f t="shared" si="12"/>
        <v>-16326.228702175436</v>
      </c>
      <c r="P21" s="50">
        <f t="shared" si="13"/>
        <v>4342.7999999999993</v>
      </c>
      <c r="Q21" s="50">
        <f t="shared" si="14"/>
        <v>2560</v>
      </c>
      <c r="R21" s="50">
        <v>0</v>
      </c>
      <c r="S21" s="50">
        <f t="shared" si="15"/>
        <v>-9423.4287021754371</v>
      </c>
      <c r="T21" s="45">
        <v>696.83348284608155</v>
      </c>
      <c r="U21" s="45">
        <v>995.73</v>
      </c>
      <c r="V21" s="45">
        <f t="shared" si="0"/>
        <v>964.68000000000006</v>
      </c>
      <c r="W21" s="48">
        <f t="shared" si="16"/>
        <v>1.4289353547322863</v>
      </c>
      <c r="X21" s="48">
        <f t="shared" si="17"/>
        <v>0.26092892893281372</v>
      </c>
      <c r="Y21" s="45">
        <f t="shared" si="18"/>
        <v>452.46567126376539</v>
      </c>
      <c r="Z21" s="48">
        <f t="shared" si="26"/>
        <v>8.5989177480293694E-2</v>
      </c>
      <c r="AA21" s="51">
        <f t="shared" si="19"/>
        <v>0.34691810641310739</v>
      </c>
      <c r="AB21" s="52">
        <f t="shared" si="20"/>
        <v>0.70233173370317414</v>
      </c>
      <c r="AC21" s="52">
        <f t="shared" si="21"/>
        <v>0.3606363835505334</v>
      </c>
      <c r="AD21" s="52">
        <f t="shared" si="22"/>
        <v>0.61084399286340674</v>
      </c>
      <c r="AE21" s="47">
        <f t="shared" si="23"/>
        <v>0.48680703374235268</v>
      </c>
      <c r="AF21" s="48">
        <f t="shared" si="24"/>
        <v>0.66396086180805081</v>
      </c>
      <c r="AG21" s="48"/>
      <c r="AH21" s="48"/>
    </row>
    <row r="22" spans="1:34">
      <c r="A22" s="36">
        <f t="shared" si="25"/>
        <v>12000</v>
      </c>
      <c r="B22" s="45">
        <f t="shared" si="1"/>
        <v>1207</v>
      </c>
      <c r="C22" s="46">
        <f t="shared" si="2"/>
        <v>-6.4499999999999993</v>
      </c>
      <c r="D22" s="46">
        <f t="shared" si="3"/>
        <v>18.55</v>
      </c>
      <c r="E22" s="46">
        <v>-40</v>
      </c>
      <c r="F22" s="36">
        <f t="shared" ref="F22:F34" si="27">0.00002*A22</f>
        <v>0.24000000000000002</v>
      </c>
      <c r="G22" s="47">
        <f t="shared" si="4"/>
        <v>0.48</v>
      </c>
      <c r="H22" s="46">
        <f t="shared" si="5"/>
        <v>-37.582700800000026</v>
      </c>
      <c r="I22" s="48">
        <f t="shared" si="6"/>
        <v>30.647382399999969</v>
      </c>
      <c r="J22" s="49">
        <f t="shared" si="7"/>
        <v>182.22953655452969</v>
      </c>
      <c r="K22" s="49">
        <f t="shared" si="8"/>
        <v>9212</v>
      </c>
      <c r="L22" s="49">
        <f t="shared" si="9"/>
        <v>5800</v>
      </c>
      <c r="M22" s="49">
        <f t="shared" si="10"/>
        <v>2534.6999999999994</v>
      </c>
      <c r="N22" s="49">
        <f t="shared" si="11"/>
        <v>17728.929536554529</v>
      </c>
      <c r="O22" s="50">
        <f t="shared" si="12"/>
        <v>-15645.791123196381</v>
      </c>
      <c r="P22" s="50">
        <f t="shared" si="13"/>
        <v>4342.7999999999993</v>
      </c>
      <c r="Q22" s="50">
        <f t="shared" si="14"/>
        <v>2560</v>
      </c>
      <c r="R22" s="50">
        <v>0</v>
      </c>
      <c r="S22" s="50">
        <f t="shared" si="15"/>
        <v>-8742.9911231963815</v>
      </c>
      <c r="T22" s="45">
        <v>644.42759894186963</v>
      </c>
      <c r="U22" s="45">
        <v>988.41120000000001</v>
      </c>
      <c r="V22" s="45">
        <f t="shared" si="0"/>
        <v>953.68000000000006</v>
      </c>
      <c r="W22" s="48">
        <f t="shared" si="16"/>
        <v>1.5337816096376706</v>
      </c>
      <c r="X22" s="48">
        <f t="shared" si="17"/>
        <v>0.26822133134317983</v>
      </c>
      <c r="Y22" s="45">
        <f t="shared" si="18"/>
        <v>447.30632061494777</v>
      </c>
      <c r="Z22" s="48">
        <f t="shared" si="26"/>
        <v>8.5989177480293694E-2</v>
      </c>
      <c r="AA22" s="51">
        <f t="shared" si="19"/>
        <v>0.35421050882347349</v>
      </c>
      <c r="AB22" s="52">
        <f t="shared" si="20"/>
        <v>0.6791392276021655</v>
      </c>
      <c r="AC22" s="52">
        <f t="shared" si="21"/>
        <v>0.33459590980468357</v>
      </c>
      <c r="AD22" s="52">
        <f t="shared" si="22"/>
        <v>0.61084399286340674</v>
      </c>
      <c r="AE22" s="47">
        <f t="shared" si="23"/>
        <v>0.47073161729982155</v>
      </c>
      <c r="AF22" s="48">
        <f t="shared" si="24"/>
        <v>0.66396086180805081</v>
      </c>
      <c r="AG22" s="48"/>
      <c r="AH22" s="48"/>
    </row>
    <row r="23" spans="1:34">
      <c r="A23" s="36">
        <f t="shared" si="25"/>
        <v>14000</v>
      </c>
      <c r="B23" s="45">
        <f t="shared" si="1"/>
        <v>1219</v>
      </c>
      <c r="C23" s="46">
        <f t="shared" si="2"/>
        <v>-10.024999999999999</v>
      </c>
      <c r="D23" s="46">
        <f t="shared" si="3"/>
        <v>14.975000000000001</v>
      </c>
      <c r="E23" s="46">
        <v>-40</v>
      </c>
      <c r="F23" s="36">
        <f t="shared" si="27"/>
        <v>0.28000000000000003</v>
      </c>
      <c r="G23" s="47">
        <f t="shared" si="4"/>
        <v>0.51</v>
      </c>
      <c r="H23" s="46">
        <f t="shared" si="5"/>
        <v>-36.709787200000022</v>
      </c>
      <c r="I23" s="48">
        <f t="shared" si="6"/>
        <v>28.464436250000006</v>
      </c>
      <c r="J23" s="49">
        <f t="shared" si="7"/>
        <v>-432.24077533224232</v>
      </c>
      <c r="K23" s="49">
        <f t="shared" si="8"/>
        <v>9212</v>
      </c>
      <c r="L23" s="49">
        <f t="shared" si="9"/>
        <v>5800</v>
      </c>
      <c r="M23" s="49">
        <f t="shared" si="10"/>
        <v>2559.8999999999996</v>
      </c>
      <c r="N23" s="49">
        <f t="shared" si="11"/>
        <v>17139.659224667757</v>
      </c>
      <c r="O23" s="50">
        <f t="shared" si="12"/>
        <v>-15400.077553009494</v>
      </c>
      <c r="P23" s="50">
        <f t="shared" si="13"/>
        <v>4342.7999999999993</v>
      </c>
      <c r="Q23" s="50">
        <f t="shared" si="14"/>
        <v>2560</v>
      </c>
      <c r="R23" s="50">
        <v>0</v>
      </c>
      <c r="S23" s="50">
        <f t="shared" si="15"/>
        <v>-8497.277553009495</v>
      </c>
      <c r="T23" s="45">
        <v>595.25976883820124</v>
      </c>
      <c r="U23" s="45">
        <v>980.27080000000001</v>
      </c>
      <c r="V23" s="45">
        <f t="shared" si="0"/>
        <v>942.68000000000006</v>
      </c>
      <c r="W23" s="48">
        <f t="shared" si="16"/>
        <v>1.646794981480513</v>
      </c>
      <c r="X23" s="48">
        <f t="shared" si="17"/>
        <v>0.27169267491969262</v>
      </c>
      <c r="Y23" s="45">
        <f t="shared" si="18"/>
        <v>442.14696996613003</v>
      </c>
      <c r="Z23" s="48">
        <f t="shared" si="26"/>
        <v>8.5989177480295595E-2</v>
      </c>
      <c r="AA23" s="51">
        <f t="shared" si="19"/>
        <v>0.35768185239998823</v>
      </c>
      <c r="AB23" s="52">
        <f t="shared" si="20"/>
        <v>0.6565661453617222</v>
      </c>
      <c r="AC23" s="52">
        <f t="shared" si="21"/>
        <v>0.32519240539645983</v>
      </c>
      <c r="AD23" s="52">
        <f t="shared" si="22"/>
        <v>0.61084399286340674</v>
      </c>
      <c r="AE23" s="47">
        <f t="shared" si="23"/>
        <v>0.45508554197591122</v>
      </c>
      <c r="AF23" s="48">
        <f t="shared" si="24"/>
        <v>0.66396086180805081</v>
      </c>
      <c r="AG23" s="48"/>
      <c r="AH23" s="48"/>
    </row>
    <row r="24" spans="1:34">
      <c r="A24" s="36">
        <f t="shared" si="25"/>
        <v>16000</v>
      </c>
      <c r="B24" s="45">
        <f t="shared" si="1"/>
        <v>1231</v>
      </c>
      <c r="C24" s="46">
        <f t="shared" si="2"/>
        <v>-13.600000000000001</v>
      </c>
      <c r="D24" s="46">
        <f t="shared" si="3"/>
        <v>11.399999999999999</v>
      </c>
      <c r="E24" s="46">
        <v>-40</v>
      </c>
      <c r="F24" s="36">
        <f t="shared" si="27"/>
        <v>0.32</v>
      </c>
      <c r="G24" s="47">
        <f t="shared" si="4"/>
        <v>0.54</v>
      </c>
      <c r="H24" s="46">
        <f t="shared" si="5"/>
        <v>-35.702579200000002</v>
      </c>
      <c r="I24" s="48">
        <f t="shared" si="6"/>
        <v>26.335460399999988</v>
      </c>
      <c r="J24" s="49">
        <f t="shared" si="7"/>
        <v>-1031.5191654789428</v>
      </c>
      <c r="K24" s="49">
        <f t="shared" si="8"/>
        <v>9212</v>
      </c>
      <c r="L24" s="49">
        <f t="shared" si="9"/>
        <v>5800</v>
      </c>
      <c r="M24" s="49">
        <f t="shared" si="10"/>
        <v>2585.0999999999995</v>
      </c>
      <c r="N24" s="49">
        <f t="shared" si="11"/>
        <v>16565.580834521057</v>
      </c>
      <c r="O24" s="50">
        <f t="shared" si="12"/>
        <v>-15116.561895101546</v>
      </c>
      <c r="P24" s="50">
        <f t="shared" si="13"/>
        <v>4342.7999999999993</v>
      </c>
      <c r="Q24" s="50">
        <f t="shared" si="14"/>
        <v>2560</v>
      </c>
      <c r="R24" s="50">
        <v>0</v>
      </c>
      <c r="S24" s="50">
        <f t="shared" si="15"/>
        <v>-8213.7618951015465</v>
      </c>
      <c r="T24" s="45">
        <v>549.1746568573825</v>
      </c>
      <c r="U24" s="45">
        <v>971.30880000000002</v>
      </c>
      <c r="V24" s="45">
        <f t="shared" si="0"/>
        <v>931.68000000000006</v>
      </c>
      <c r="W24" s="48">
        <f t="shared" si="16"/>
        <v>1.7686701086285621</v>
      </c>
      <c r="X24" s="48">
        <f t="shared" si="17"/>
        <v>0.27216282643059758</v>
      </c>
      <c r="Y24" s="45">
        <f t="shared" si="18"/>
        <v>436.98761931731241</v>
      </c>
      <c r="Z24" s="48">
        <f t="shared" si="26"/>
        <v>8.5989177480293694E-2</v>
      </c>
      <c r="AA24" s="51">
        <f t="shared" si="19"/>
        <v>0.3581520039108913</v>
      </c>
      <c r="AB24" s="52">
        <f t="shared" si="20"/>
        <v>0.63457501760279855</v>
      </c>
      <c r="AC24" s="52">
        <f t="shared" si="21"/>
        <v>0.31434220800235541</v>
      </c>
      <c r="AD24" s="52">
        <f t="shared" si="22"/>
        <v>0.61084399286340674</v>
      </c>
      <c r="AE24" s="47">
        <f t="shared" si="23"/>
        <v>0.4398428366285046</v>
      </c>
      <c r="AF24" s="48">
        <f t="shared" si="24"/>
        <v>0.66396086180805081</v>
      </c>
      <c r="AG24" s="48"/>
      <c r="AH24" s="48"/>
    </row>
    <row r="25" spans="1:34">
      <c r="A25" s="36">
        <f t="shared" si="25"/>
        <v>18000</v>
      </c>
      <c r="B25" s="45">
        <f t="shared" si="1"/>
        <v>1243</v>
      </c>
      <c r="C25" s="46">
        <f t="shared" si="2"/>
        <v>-17.174999999999997</v>
      </c>
      <c r="D25" s="46">
        <f t="shared" si="3"/>
        <v>7.8250000000000028</v>
      </c>
      <c r="E25" s="46">
        <f t="shared" ref="E25:E33" si="28">C25-20</f>
        <v>-37.174999999999997</v>
      </c>
      <c r="F25" s="36">
        <f t="shared" si="27"/>
        <v>0.36000000000000004</v>
      </c>
      <c r="G25" s="47">
        <f t="shared" si="4"/>
        <v>0.57000000000000006</v>
      </c>
      <c r="H25" s="46">
        <f t="shared" si="5"/>
        <v>-31.670175200000017</v>
      </c>
      <c r="I25" s="48">
        <f t="shared" si="6"/>
        <v>24.256979949999959</v>
      </c>
      <c r="J25" s="49">
        <f t="shared" si="7"/>
        <v>-1616.5837720255117</v>
      </c>
      <c r="K25" s="49">
        <f t="shared" si="8"/>
        <v>9212</v>
      </c>
      <c r="L25" s="49">
        <f t="shared" si="9"/>
        <v>5800</v>
      </c>
      <c r="M25" s="49">
        <f t="shared" si="10"/>
        <v>2610.2999999999997</v>
      </c>
      <c r="N25" s="49">
        <f t="shared" si="11"/>
        <v>16005.716227974488</v>
      </c>
      <c r="O25" s="50">
        <f t="shared" si="12"/>
        <v>-13981.493792971083</v>
      </c>
      <c r="P25" s="50">
        <f t="shared" si="13"/>
        <v>4342.7999999999993</v>
      </c>
      <c r="Q25" s="50">
        <f t="shared" si="14"/>
        <v>2560</v>
      </c>
      <c r="R25" s="50">
        <v>0</v>
      </c>
      <c r="S25" s="50">
        <f t="shared" si="15"/>
        <v>-7078.6937929710839</v>
      </c>
      <c r="T25" s="45">
        <v>506.02216827076944</v>
      </c>
      <c r="U25" s="45">
        <v>961.52519999999993</v>
      </c>
      <c r="V25" s="45">
        <f t="shared" si="0"/>
        <v>920.68000000000006</v>
      </c>
      <c r="W25" s="48">
        <f t="shared" si="16"/>
        <v>1.9001641830946299</v>
      </c>
      <c r="X25" s="48">
        <f t="shared" si="17"/>
        <v>0.27023864892188332</v>
      </c>
      <c r="Y25" s="45">
        <f t="shared" si="18"/>
        <v>431.82826866849479</v>
      </c>
      <c r="Z25" s="48">
        <f t="shared" si="26"/>
        <v>8.5989177480293694E-2</v>
      </c>
      <c r="AA25" s="51">
        <f t="shared" si="19"/>
        <v>0.35622782640217698</v>
      </c>
      <c r="AB25" s="52">
        <f t="shared" si="20"/>
        <v>0.61312837494635086</v>
      </c>
      <c r="AC25" s="52">
        <f t="shared" si="21"/>
        <v>0.27090293888140393</v>
      </c>
      <c r="AD25" s="52">
        <f t="shared" si="22"/>
        <v>0.61084399286340674</v>
      </c>
      <c r="AE25" s="47">
        <f t="shared" si="23"/>
        <v>0.42497753011548589</v>
      </c>
      <c r="AF25" s="48">
        <f t="shared" si="24"/>
        <v>0.66396086180805081</v>
      </c>
      <c r="AG25" s="48"/>
      <c r="AH25" s="48"/>
    </row>
    <row r="26" spans="1:34">
      <c r="A26" s="36">
        <f t="shared" si="25"/>
        <v>20000</v>
      </c>
      <c r="B26" s="45">
        <f t="shared" si="1"/>
        <v>1255</v>
      </c>
      <c r="C26" s="46">
        <f t="shared" si="2"/>
        <v>-20.75</v>
      </c>
      <c r="D26" s="46">
        <f t="shared" si="3"/>
        <v>4.25</v>
      </c>
      <c r="E26" s="46">
        <f t="shared" si="28"/>
        <v>-40.75</v>
      </c>
      <c r="F26" s="36">
        <f t="shared" si="27"/>
        <v>0.4</v>
      </c>
      <c r="G26" s="47">
        <f t="shared" si="4"/>
        <v>0.6</v>
      </c>
      <c r="H26" s="46">
        <f t="shared" si="5"/>
        <v>-34.056880000000007</v>
      </c>
      <c r="I26" s="48">
        <f t="shared" si="6"/>
        <v>22.225520000000017</v>
      </c>
      <c r="J26" s="49">
        <f t="shared" si="7"/>
        <v>-2188.4127331118725</v>
      </c>
      <c r="K26" s="49">
        <f t="shared" si="8"/>
        <v>9212</v>
      </c>
      <c r="L26" s="49">
        <f t="shared" si="9"/>
        <v>5800</v>
      </c>
      <c r="M26" s="49">
        <f t="shared" si="10"/>
        <v>2635.4999999999995</v>
      </c>
      <c r="N26" s="49">
        <f t="shared" si="11"/>
        <v>15459.087266888127</v>
      </c>
      <c r="O26" s="50">
        <f t="shared" si="12"/>
        <v>-14653.319455201769</v>
      </c>
      <c r="P26" s="50">
        <f t="shared" si="13"/>
        <v>4342.7999999999993</v>
      </c>
      <c r="Q26" s="50">
        <f t="shared" si="14"/>
        <v>2560</v>
      </c>
      <c r="R26" s="50">
        <v>0</v>
      </c>
      <c r="S26" s="50">
        <f t="shared" si="15"/>
        <v>-7750.5194552017692</v>
      </c>
      <c r="T26" s="45">
        <v>465.65734934583594</v>
      </c>
      <c r="U26" s="45">
        <v>950.92</v>
      </c>
      <c r="V26" s="45">
        <f t="shared" si="0"/>
        <v>909.68000000000006</v>
      </c>
      <c r="W26" s="48">
        <f t="shared" si="16"/>
        <v>2.0421024200216533</v>
      </c>
      <c r="X26" s="48">
        <f t="shared" ref="X26:X36" si="29">$B$6*0.0001*U26*100*0.04045/(273.15+24)^0.5</f>
        <v>0.26776628079281678</v>
      </c>
      <c r="Y26" s="45">
        <f t="shared" si="18"/>
        <v>426.66891801967716</v>
      </c>
      <c r="Z26" s="48">
        <f t="shared" si="26"/>
        <v>8.5989177480293694E-2</v>
      </c>
      <c r="AA26" s="51">
        <f t="shared" si="19"/>
        <v>0.3537554582731105</v>
      </c>
      <c r="AB26" s="52">
        <f t="shared" si="20"/>
        <v>0.59218874801333565</v>
      </c>
      <c r="AC26" s="52">
        <f t="shared" si="21"/>
        <v>0.2966138329583532</v>
      </c>
      <c r="AD26" s="52">
        <f t="shared" si="22"/>
        <v>0.61084399286340674</v>
      </c>
      <c r="AE26" s="47">
        <f t="shared" si="23"/>
        <v>0.4104636512947395</v>
      </c>
      <c r="AF26" s="48">
        <f t="shared" si="24"/>
        <v>0.66396086180805081</v>
      </c>
      <c r="AG26" s="48"/>
      <c r="AH26" s="48"/>
    </row>
    <row r="27" spans="1:34">
      <c r="A27" s="36">
        <f t="shared" si="25"/>
        <v>22000</v>
      </c>
      <c r="B27" s="45">
        <f t="shared" si="1"/>
        <v>1267</v>
      </c>
      <c r="C27" s="46">
        <f t="shared" si="2"/>
        <v>-24.325000000000003</v>
      </c>
      <c r="D27" s="46">
        <f t="shared" si="3"/>
        <v>0.67499999999999716</v>
      </c>
      <c r="E27" s="46">
        <f t="shared" si="28"/>
        <v>-44.325000000000003</v>
      </c>
      <c r="F27" s="36">
        <f t="shared" si="27"/>
        <v>0.44000000000000006</v>
      </c>
      <c r="G27" s="47">
        <f t="shared" si="4"/>
        <v>0.63</v>
      </c>
      <c r="H27" s="46">
        <f t="shared" si="5"/>
        <v>-36.350906399999985</v>
      </c>
      <c r="I27" s="48">
        <f t="shared" si="6"/>
        <v>20.237605650000035</v>
      </c>
      <c r="J27" s="49">
        <f t="shared" si="7"/>
        <v>-2747.9841868780131</v>
      </c>
      <c r="K27" s="49">
        <f t="shared" si="8"/>
        <v>9212</v>
      </c>
      <c r="L27" s="49">
        <f t="shared" si="9"/>
        <v>5800</v>
      </c>
      <c r="M27" s="49">
        <f t="shared" si="10"/>
        <v>2660.6999999999994</v>
      </c>
      <c r="N27" s="49">
        <f t="shared" si="11"/>
        <v>14924.715813121986</v>
      </c>
      <c r="O27" s="50">
        <f t="shared" si="12"/>
        <v>-15299.057380291904</v>
      </c>
      <c r="P27" s="50">
        <f t="shared" si="13"/>
        <v>4342.7999999999993</v>
      </c>
      <c r="Q27" s="50">
        <f t="shared" si="14"/>
        <v>2560</v>
      </c>
      <c r="R27" s="50">
        <v>0</v>
      </c>
      <c r="S27" s="50">
        <f t="shared" si="15"/>
        <v>-8396.2573802919051</v>
      </c>
      <c r="T27" s="45">
        <v>427.94028778781853</v>
      </c>
      <c r="U27" s="45">
        <v>939.4932</v>
      </c>
      <c r="V27" s="45">
        <f t="shared" si="0"/>
        <v>898.68000000000006</v>
      </c>
      <c r="W27" s="48">
        <f t="shared" si="16"/>
        <v>2.1953838580064229</v>
      </c>
      <c r="X27" s="48">
        <f t="shared" si="29"/>
        <v>0.26454864761929703</v>
      </c>
      <c r="Y27" s="45">
        <f t="shared" si="18"/>
        <v>421.50956737085937</v>
      </c>
      <c r="Z27" s="48">
        <f t="shared" si="26"/>
        <v>8.5989177480296539E-2</v>
      </c>
      <c r="AA27" s="51">
        <f t="shared" si="19"/>
        <v>0.35053782509959358</v>
      </c>
      <c r="AB27" s="52">
        <f t="shared" si="20"/>
        <v>0.57171866742470734</v>
      </c>
      <c r="AC27" s="52">
        <f t="shared" si="21"/>
        <v>0.32132634444285901</v>
      </c>
      <c r="AD27" s="52">
        <f t="shared" si="22"/>
        <v>0.61084399286340674</v>
      </c>
      <c r="AE27" s="47">
        <f t="shared" si="23"/>
        <v>0.3962752290241483</v>
      </c>
      <c r="AF27" s="48">
        <f t="shared" si="24"/>
        <v>0.66396086180805081</v>
      </c>
      <c r="AG27" s="48"/>
      <c r="AH27" s="48"/>
    </row>
    <row r="28" spans="1:34">
      <c r="A28" s="36">
        <f t="shared" si="25"/>
        <v>24000</v>
      </c>
      <c r="B28" s="45">
        <f t="shared" si="1"/>
        <v>1279</v>
      </c>
      <c r="C28" s="46">
        <f t="shared" si="2"/>
        <v>-27.9</v>
      </c>
      <c r="D28" s="46">
        <f t="shared" si="3"/>
        <v>-2.8999999999999986</v>
      </c>
      <c r="E28" s="46">
        <f t="shared" si="28"/>
        <v>-47.9</v>
      </c>
      <c r="F28" s="36">
        <f t="shared" si="27"/>
        <v>0.48000000000000004</v>
      </c>
      <c r="G28" s="47">
        <f t="shared" si="4"/>
        <v>0.65999999999999992</v>
      </c>
      <c r="H28" s="46">
        <f t="shared" si="5"/>
        <v>-38.55843200000001</v>
      </c>
      <c r="I28" s="48">
        <f t="shared" si="6"/>
        <v>18.289762000000053</v>
      </c>
      <c r="J28" s="49">
        <f t="shared" si="7"/>
        <v>-3296.2762714638729</v>
      </c>
      <c r="K28" s="49">
        <f t="shared" si="8"/>
        <v>9212</v>
      </c>
      <c r="L28" s="49">
        <f t="shared" si="9"/>
        <v>5800</v>
      </c>
      <c r="M28" s="49">
        <f t="shared" si="10"/>
        <v>2685.8999999999996</v>
      </c>
      <c r="N28" s="49">
        <f t="shared" si="11"/>
        <v>14401.623728536126</v>
      </c>
      <c r="O28" s="50">
        <f t="shared" si="12"/>
        <v>-15920.446480490307</v>
      </c>
      <c r="P28" s="50">
        <f t="shared" si="13"/>
        <v>4342.7999999999993</v>
      </c>
      <c r="Q28" s="50">
        <f t="shared" si="14"/>
        <v>2560</v>
      </c>
      <c r="R28" s="50">
        <v>0</v>
      </c>
      <c r="S28" s="50">
        <f t="shared" si="15"/>
        <v>-9017.646480490308</v>
      </c>
      <c r="T28" s="45">
        <v>392.73601358053776</v>
      </c>
      <c r="U28" s="45">
        <v>927.24479999999994</v>
      </c>
      <c r="V28" s="45">
        <f t="shared" si="0"/>
        <v>887.68000000000006</v>
      </c>
      <c r="W28" s="48">
        <f>U28/T28</f>
        <v>2.3609874519690597</v>
      </c>
      <c r="X28" s="48">
        <f t="shared" si="29"/>
        <v>0.26109966293744918</v>
      </c>
      <c r="Y28" s="45">
        <f t="shared" si="18"/>
        <v>416.35021672204175</v>
      </c>
      <c r="Z28" s="48">
        <f t="shared" si="26"/>
        <v>8.5989177480293694E-2</v>
      </c>
      <c r="AA28" s="51">
        <f t="shared" si="19"/>
        <v>0.34708884041774291</v>
      </c>
      <c r="AB28" s="52">
        <f t="shared" si="20"/>
        <v>0.55168066380142222</v>
      </c>
      <c r="AC28" s="52">
        <f t="shared" si="21"/>
        <v>0.34510702183277109</v>
      </c>
      <c r="AD28" s="52">
        <f t="shared" si="22"/>
        <v>0.61084399286340674</v>
      </c>
      <c r="AE28" s="47">
        <f t="shared" si="23"/>
        <v>0.38238629216159642</v>
      </c>
      <c r="AF28" s="48">
        <f t="shared" si="24"/>
        <v>0.66396086180805081</v>
      </c>
      <c r="AG28" s="48"/>
      <c r="AH28" s="48"/>
    </row>
    <row r="29" spans="1:34">
      <c r="A29" s="36">
        <f t="shared" si="25"/>
        <v>26000</v>
      </c>
      <c r="B29" s="45">
        <f t="shared" si="1"/>
        <v>1291</v>
      </c>
      <c r="C29" s="46">
        <f t="shared" si="2"/>
        <v>-31.475000000000001</v>
      </c>
      <c r="D29" s="46">
        <f t="shared" si="3"/>
        <v>-6.4750000000000014</v>
      </c>
      <c r="E29" s="46">
        <f t="shared" si="28"/>
        <v>-51.475000000000001</v>
      </c>
      <c r="F29" s="36">
        <f t="shared" si="27"/>
        <v>0.52</v>
      </c>
      <c r="G29" s="47">
        <f t="shared" si="4"/>
        <v>0.69</v>
      </c>
      <c r="H29" s="46">
        <f t="shared" si="5"/>
        <v>-40.685634399999998</v>
      </c>
      <c r="I29" s="48">
        <f t="shared" si="6"/>
        <v>16.378514150000001</v>
      </c>
      <c r="J29" s="49">
        <f t="shared" si="7"/>
        <v>-3834.2671250094236</v>
      </c>
      <c r="K29" s="49">
        <f t="shared" si="8"/>
        <v>9212</v>
      </c>
      <c r="L29" s="49">
        <f t="shared" si="9"/>
        <v>5800</v>
      </c>
      <c r="M29" s="49">
        <f t="shared" si="10"/>
        <v>2711.0999999999995</v>
      </c>
      <c r="N29" s="49">
        <f t="shared" si="11"/>
        <v>13888.832874990574</v>
      </c>
      <c r="O29" s="50">
        <f t="shared" si="12"/>
        <v>-16519.225668045761</v>
      </c>
      <c r="P29" s="50">
        <f t="shared" si="13"/>
        <v>4342.7999999999993</v>
      </c>
      <c r="Q29" s="50">
        <f t="shared" si="14"/>
        <v>2560</v>
      </c>
      <c r="R29" s="50">
        <v>0</v>
      </c>
      <c r="S29" s="50">
        <f t="shared" si="15"/>
        <v>-9616.425668045762</v>
      </c>
      <c r="T29" s="45">
        <v>359.91440023111733</v>
      </c>
      <c r="U29" s="45">
        <v>914.1748</v>
      </c>
      <c r="V29" s="45">
        <f t="shared" si="0"/>
        <v>876.68000000000006</v>
      </c>
      <c r="W29" s="48">
        <f t="shared" si="16"/>
        <v>2.5399783932317432</v>
      </c>
      <c r="X29" s="48">
        <f t="shared" si="29"/>
        <v>0.2574193267472733</v>
      </c>
      <c r="Y29" s="45">
        <f t="shared" si="18"/>
        <v>411.19086607322413</v>
      </c>
      <c r="Z29" s="48">
        <f t="shared" si="26"/>
        <v>8.5989177480293694E-2</v>
      </c>
      <c r="AA29" s="51">
        <f t="shared" si="19"/>
        <v>0.34340850422756697</v>
      </c>
      <c r="AB29" s="52">
        <f t="shared" si="20"/>
        <v>0.53203726776443494</v>
      </c>
      <c r="AC29" s="52">
        <f t="shared" si="21"/>
        <v>0.36802241362593807</v>
      </c>
      <c r="AD29" s="52">
        <f t="shared" si="22"/>
        <v>0.61084399286340674</v>
      </c>
      <c r="AE29" s="47">
        <f t="shared" si="23"/>
        <v>0.36877086956496707</v>
      </c>
      <c r="AF29" s="48">
        <f t="shared" si="24"/>
        <v>0.66396086180805081</v>
      </c>
      <c r="AG29" s="48"/>
      <c r="AH29" s="48"/>
    </row>
    <row r="30" spans="1:34">
      <c r="A30" s="36">
        <f t="shared" si="25"/>
        <v>28000</v>
      </c>
      <c r="B30" s="45">
        <f t="shared" si="1"/>
        <v>1303</v>
      </c>
      <c r="C30" s="46">
        <f t="shared" si="2"/>
        <v>-35.049999999999997</v>
      </c>
      <c r="D30" s="46">
        <f t="shared" si="3"/>
        <v>-10.049999999999997</v>
      </c>
      <c r="E30" s="46">
        <f t="shared" si="28"/>
        <v>-55.05</v>
      </c>
      <c r="F30" s="36">
        <f t="shared" si="27"/>
        <v>0.56000000000000005</v>
      </c>
      <c r="G30" s="47">
        <f t="shared" si="4"/>
        <v>0.72</v>
      </c>
      <c r="H30" s="46">
        <f t="shared" si="5"/>
        <v>-42.738691200000005</v>
      </c>
      <c r="I30" s="48">
        <f t="shared" si="6"/>
        <v>14.500387199999977</v>
      </c>
      <c r="J30" s="49">
        <f t="shared" si="7"/>
        <v>-4362.9348856545894</v>
      </c>
      <c r="K30" s="49">
        <f t="shared" si="8"/>
        <v>9212</v>
      </c>
      <c r="L30" s="49">
        <f t="shared" si="9"/>
        <v>5800</v>
      </c>
      <c r="M30" s="49">
        <f t="shared" si="10"/>
        <v>2736.2999999999997</v>
      </c>
      <c r="N30" s="49">
        <f t="shared" si="11"/>
        <v>13385.36511434541</v>
      </c>
      <c r="O30" s="50">
        <f t="shared" si="12"/>
        <v>-17097.133855207081</v>
      </c>
      <c r="P30" s="50">
        <f t="shared" si="13"/>
        <v>4342.7999999999993</v>
      </c>
      <c r="Q30" s="50">
        <f t="shared" si="14"/>
        <v>2560</v>
      </c>
      <c r="R30" s="50">
        <v>0</v>
      </c>
      <c r="S30" s="50">
        <f t="shared" si="15"/>
        <v>-10194.333855207082</v>
      </c>
      <c r="T30" s="45">
        <v>329.35006642346144</v>
      </c>
      <c r="U30" s="45">
        <v>900.28319999999997</v>
      </c>
      <c r="V30" s="45">
        <f t="shared" si="0"/>
        <v>865.68000000000006</v>
      </c>
      <c r="W30" s="48">
        <f t="shared" si="16"/>
        <v>2.733514554214366</v>
      </c>
      <c r="X30" s="48">
        <f t="shared" si="29"/>
        <v>0.25350763904876922</v>
      </c>
      <c r="Y30" s="45">
        <f t="shared" si="18"/>
        <v>406.03151542440639</v>
      </c>
      <c r="Z30" s="48">
        <f t="shared" si="26"/>
        <v>8.5989177480295595E-2</v>
      </c>
      <c r="AA30" s="51">
        <f t="shared" si="19"/>
        <v>0.33949681652906483</v>
      </c>
      <c r="AB30" s="52">
        <f t="shared" si="20"/>
        <v>0.51275100993470257</v>
      </c>
      <c r="AC30" s="52">
        <f t="shared" si="21"/>
        <v>0.39013906832020978</v>
      </c>
      <c r="AD30" s="52">
        <f t="shared" si="22"/>
        <v>0.61084399286340674</v>
      </c>
      <c r="AE30" s="47">
        <f t="shared" si="23"/>
        <v>0.35540299009214493</v>
      </c>
      <c r="AF30" s="48">
        <f t="shared" si="24"/>
        <v>0.66396086180805081</v>
      </c>
      <c r="AG30" s="48"/>
      <c r="AH30" s="48"/>
    </row>
    <row r="31" spans="1:34">
      <c r="A31" s="36">
        <f t="shared" si="25"/>
        <v>30000</v>
      </c>
      <c r="B31" s="45">
        <f t="shared" si="1"/>
        <v>1315</v>
      </c>
      <c r="C31" s="46">
        <f t="shared" si="2"/>
        <v>-38.625</v>
      </c>
      <c r="D31" s="46">
        <f t="shared" si="3"/>
        <v>-13.625</v>
      </c>
      <c r="E31" s="46">
        <f t="shared" si="28"/>
        <v>-58.625</v>
      </c>
      <c r="F31" s="36">
        <f t="shared" si="27"/>
        <v>0.60000000000000009</v>
      </c>
      <c r="G31" s="47">
        <f t="shared" si="4"/>
        <v>0.75</v>
      </c>
      <c r="H31" s="46">
        <f t="shared" si="5"/>
        <v>-44.723780000000005</v>
      </c>
      <c r="I31" s="48">
        <f t="shared" si="6"/>
        <v>12.651906250000025</v>
      </c>
      <c r="J31" s="49">
        <f t="shared" si="7"/>
        <v>-4883.2576915393083</v>
      </c>
      <c r="K31" s="49">
        <f t="shared" si="8"/>
        <v>9212</v>
      </c>
      <c r="L31" s="49">
        <f t="shared" si="9"/>
        <v>5800</v>
      </c>
      <c r="M31" s="49">
        <f t="shared" si="10"/>
        <v>2761.4999999999995</v>
      </c>
      <c r="N31" s="49">
        <f t="shared" si="11"/>
        <v>12890.242308460693</v>
      </c>
      <c r="O31" s="50">
        <f t="shared" si="12"/>
        <v>-17655.909954223065</v>
      </c>
      <c r="P31" s="50">
        <f t="shared" si="13"/>
        <v>4342.7999999999993</v>
      </c>
      <c r="Q31" s="50">
        <f t="shared" si="14"/>
        <v>2560</v>
      </c>
      <c r="R31" s="50">
        <v>0</v>
      </c>
      <c r="S31" s="50">
        <f t="shared" si="15"/>
        <v>-10753.109954223066</v>
      </c>
      <c r="T31" s="45">
        <v>300.92227808549427</v>
      </c>
      <c r="U31" s="45">
        <v>885.56999999999994</v>
      </c>
      <c r="V31" s="45">
        <f t="shared" si="0"/>
        <v>854.68000000000006</v>
      </c>
      <c r="W31" s="48">
        <f t="shared" si="16"/>
        <v>2.9428529041921014</v>
      </c>
      <c r="X31" s="48">
        <f t="shared" si="29"/>
        <v>0.24936459984193698</v>
      </c>
      <c r="Y31" s="45">
        <f t="shared" si="18"/>
        <v>400.87216477558877</v>
      </c>
      <c r="Z31" s="48">
        <f t="shared" si="26"/>
        <v>8.5989177480293694E-2</v>
      </c>
      <c r="AA31" s="51">
        <f t="shared" si="19"/>
        <v>0.33535377732223071</v>
      </c>
      <c r="AB31" s="52">
        <f t="shared" si="20"/>
        <v>0.49378442093318109</v>
      </c>
      <c r="AC31" s="52">
        <f t="shared" si="21"/>
        <v>0.41152353441343537</v>
      </c>
      <c r="AD31" s="52">
        <f t="shared" si="22"/>
        <v>0.61084399286340674</v>
      </c>
      <c r="AE31" s="47">
        <f t="shared" si="23"/>
        <v>0.34225668260101405</v>
      </c>
      <c r="AF31" s="48">
        <f t="shared" si="24"/>
        <v>0.66396086180805081</v>
      </c>
      <c r="AG31" s="48"/>
      <c r="AH31" s="48"/>
    </row>
    <row r="32" spans="1:34">
      <c r="A32" s="36">
        <f t="shared" si="25"/>
        <v>32000</v>
      </c>
      <c r="B32" s="45">
        <f t="shared" si="1"/>
        <v>1327</v>
      </c>
      <c r="C32" s="46">
        <f t="shared" si="2"/>
        <v>-42.2</v>
      </c>
      <c r="D32" s="46">
        <f t="shared" si="3"/>
        <v>-17.200000000000003</v>
      </c>
      <c r="E32" s="46">
        <f t="shared" si="28"/>
        <v>-62.2</v>
      </c>
      <c r="F32" s="36">
        <f t="shared" si="27"/>
        <v>0.64</v>
      </c>
      <c r="G32" s="47">
        <f t="shared" si="4"/>
        <v>0.78</v>
      </c>
      <c r="H32" s="46">
        <f t="shared" si="5"/>
        <v>-46.647078399999998</v>
      </c>
      <c r="I32" s="48">
        <f t="shared" si="6"/>
        <v>10.829596400000014</v>
      </c>
      <c r="J32" s="49">
        <f t="shared" si="7"/>
        <v>-5396.2136808035702</v>
      </c>
      <c r="K32" s="49">
        <f t="shared" si="8"/>
        <v>9212</v>
      </c>
      <c r="L32" s="49">
        <f t="shared" si="9"/>
        <v>5800</v>
      </c>
      <c r="M32" s="49">
        <f t="shared" si="10"/>
        <v>2786.6999999999994</v>
      </c>
      <c r="N32" s="49">
        <f t="shared" si="11"/>
        <v>12402.486319196429</v>
      </c>
      <c r="O32" s="50">
        <f t="shared" si="12"/>
        <v>-18197.292877342512</v>
      </c>
      <c r="P32" s="50">
        <f t="shared" si="13"/>
        <v>4342.7999999999993</v>
      </c>
      <c r="Q32" s="50">
        <f t="shared" si="14"/>
        <v>2560</v>
      </c>
      <c r="R32" s="50">
        <v>0</v>
      </c>
      <c r="S32" s="50">
        <f t="shared" si="15"/>
        <v>-11294.492877342513</v>
      </c>
      <c r="T32" s="45">
        <v>274.51485087529784</v>
      </c>
      <c r="U32" s="45">
        <v>870.03520000000003</v>
      </c>
      <c r="V32" s="45">
        <f t="shared" si="0"/>
        <v>843.68000000000006</v>
      </c>
      <c r="W32" s="48">
        <f t="shared" si="16"/>
        <v>3.1693556732026331</v>
      </c>
      <c r="X32" s="48">
        <f t="shared" si="29"/>
        <v>0.24499020912677674</v>
      </c>
      <c r="Y32" s="45">
        <f t="shared" si="18"/>
        <v>395.71281412677115</v>
      </c>
      <c r="Z32" s="48">
        <f t="shared" si="26"/>
        <v>8.5989177480293694E-2</v>
      </c>
      <c r="AA32" s="51">
        <f t="shared" si="19"/>
        <v>0.33097938660707044</v>
      </c>
      <c r="AB32" s="52">
        <f t="shared" si="20"/>
        <v>0.47510003138082474</v>
      </c>
      <c r="AC32" s="52">
        <f t="shared" si="21"/>
        <v>0.43224236040346392</v>
      </c>
      <c r="AD32" s="52">
        <f t="shared" si="22"/>
        <v>0.61084399286340674</v>
      </c>
      <c r="AE32" s="47">
        <f t="shared" si="23"/>
        <v>0.3293059759494571</v>
      </c>
      <c r="AF32" s="48">
        <f t="shared" si="24"/>
        <v>0.66396086180805081</v>
      </c>
      <c r="AG32" s="48"/>
      <c r="AH32" s="48"/>
    </row>
    <row r="33" spans="1:34">
      <c r="A33" s="36">
        <f t="shared" si="25"/>
        <v>34000</v>
      </c>
      <c r="B33" s="45">
        <f t="shared" si="1"/>
        <v>1339</v>
      </c>
      <c r="C33" s="46">
        <f t="shared" si="2"/>
        <v>-45.774999999999999</v>
      </c>
      <c r="D33" s="46">
        <f t="shared" si="3"/>
        <v>-20.774999999999999</v>
      </c>
      <c r="E33" s="46">
        <f t="shared" si="28"/>
        <v>-65.775000000000006</v>
      </c>
      <c r="F33" s="36">
        <f t="shared" si="27"/>
        <v>0.68</v>
      </c>
      <c r="G33" s="47">
        <f t="shared" si="4"/>
        <v>0.81</v>
      </c>
      <c r="H33" s="46">
        <f t="shared" si="5"/>
        <v>-48.514764000000014</v>
      </c>
      <c r="I33" s="48">
        <f t="shared" si="6"/>
        <v>9.0299827499999878</v>
      </c>
      <c r="J33" s="49">
        <f t="shared" si="7"/>
        <v>-5902.780991587314</v>
      </c>
      <c r="K33" s="49">
        <f t="shared" si="8"/>
        <v>9212</v>
      </c>
      <c r="L33" s="49">
        <f t="shared" si="9"/>
        <v>5800</v>
      </c>
      <c r="M33" s="49">
        <f t="shared" si="10"/>
        <v>2811.8999999999996</v>
      </c>
      <c r="N33" s="49">
        <f t="shared" si="11"/>
        <v>11921.119008412685</v>
      </c>
      <c r="O33" s="50">
        <f t="shared" si="12"/>
        <v>-18723.021536814234</v>
      </c>
      <c r="P33" s="50">
        <f t="shared" si="13"/>
        <v>4342.7999999999993</v>
      </c>
      <c r="Q33" s="50">
        <f t="shared" si="14"/>
        <v>2560</v>
      </c>
      <c r="R33" s="50">
        <v>0</v>
      </c>
      <c r="S33" s="50">
        <f t="shared" si="15"/>
        <v>-11820.221536814235</v>
      </c>
      <c r="T33" s="45">
        <v>250.01605309144961</v>
      </c>
      <c r="U33" s="45">
        <v>853.67880000000002</v>
      </c>
      <c r="V33" s="45">
        <f t="shared" si="0"/>
        <v>832.68000000000006</v>
      </c>
      <c r="W33" s="48">
        <f t="shared" si="16"/>
        <v>3.4144959471372252</v>
      </c>
      <c r="X33" s="48">
        <f t="shared" si="29"/>
        <v>0.24038446690328824</v>
      </c>
      <c r="Y33" s="45">
        <f>V33*100/287/(273.15+24)*$B$9</f>
        <v>390.55346347795347</v>
      </c>
      <c r="Z33" s="48">
        <f>(Y32-Y33)/60</f>
        <v>8.5989177480294637E-2</v>
      </c>
      <c r="AA33" s="51">
        <f t="shared" si="19"/>
        <v>0.32637364438358285</v>
      </c>
      <c r="AB33" s="52">
        <f t="shared" si="20"/>
        <v>0.45666037189858971</v>
      </c>
      <c r="AC33" s="52">
        <f t="shared" si="21"/>
        <v>0.45236209478814526</v>
      </c>
      <c r="AD33" s="52">
        <f t="shared" si="22"/>
        <v>0.61084399286340674</v>
      </c>
      <c r="AE33" s="47">
        <f t="shared" si="23"/>
        <v>0.31652489899535835</v>
      </c>
      <c r="AF33" s="48">
        <f t="shared" si="24"/>
        <v>0.66396086180805081</v>
      </c>
      <c r="AG33" s="48"/>
      <c r="AH33" s="48"/>
    </row>
    <row r="34" spans="1:34">
      <c r="A34" s="36">
        <f t="shared" si="25"/>
        <v>36000</v>
      </c>
      <c r="B34" s="45">
        <f t="shared" si="1"/>
        <v>1351</v>
      </c>
      <c r="C34" s="46">
        <f t="shared" si="2"/>
        <v>-49.349999999999994</v>
      </c>
      <c r="D34" s="46">
        <f t="shared" si="3"/>
        <v>-24.349999999999994</v>
      </c>
      <c r="E34" s="46">
        <f>C34-20</f>
        <v>-69.349999999999994</v>
      </c>
      <c r="F34" s="36">
        <f t="shared" si="27"/>
        <v>0.72000000000000008</v>
      </c>
      <c r="G34" s="47">
        <f t="shared" si="4"/>
        <v>0.84000000000000008</v>
      </c>
      <c r="H34" s="46">
        <f t="shared" si="5"/>
        <v>-50.333014399999996</v>
      </c>
      <c r="I34" s="48">
        <f t="shared" si="6"/>
        <v>7.2495903999999882</v>
      </c>
      <c r="J34" s="49">
        <f t="shared" si="7"/>
        <v>-6403.9377620304795</v>
      </c>
      <c r="K34" s="49">
        <f t="shared" si="8"/>
        <v>9212</v>
      </c>
      <c r="L34" s="49">
        <f t="shared" si="9"/>
        <v>5800</v>
      </c>
      <c r="M34" s="49">
        <f>$B$8*B34</f>
        <v>2837.0999999999995</v>
      </c>
      <c r="N34" s="49">
        <f>SUM(J34:M34)</f>
        <v>11445.162237969518</v>
      </c>
      <c r="O34" s="50">
        <f t="shared" si="12"/>
        <v>-19234.834844887024</v>
      </c>
      <c r="P34" s="50">
        <f t="shared" si="13"/>
        <v>4342.7999999999993</v>
      </c>
      <c r="Q34" s="50">
        <f t="shared" si="14"/>
        <v>2560</v>
      </c>
      <c r="R34" s="50">
        <v>0</v>
      </c>
      <c r="S34" s="50">
        <f t="shared" si="15"/>
        <v>-12332.034844887025</v>
      </c>
      <c r="T34" s="45">
        <v>227.31850901301752</v>
      </c>
      <c r="U34" s="45">
        <v>836.50080000000003</v>
      </c>
      <c r="V34" s="45">
        <f t="shared" si="0"/>
        <v>821.68000000000006</v>
      </c>
      <c r="W34" s="48">
        <f t="shared" si="16"/>
        <v>3.6798622498095717</v>
      </c>
      <c r="X34" s="48">
        <f t="shared" si="29"/>
        <v>0.2355473731714717</v>
      </c>
      <c r="Y34" s="45">
        <f>V34*100/287/(273.15+24)*$B$9</f>
        <v>385.39411282913579</v>
      </c>
      <c r="Z34" s="48">
        <f>(Y33-Y34)/60</f>
        <v>8.5989177480294637E-2</v>
      </c>
      <c r="AA34" s="51">
        <f t="shared" si="19"/>
        <v>0.32153655065176634</v>
      </c>
      <c r="AB34" s="52">
        <f t="shared" si="20"/>
        <v>0.4384279731074322</v>
      </c>
      <c r="AC34" s="52">
        <f t="shared" si="21"/>
        <v>0.47194928606532816</v>
      </c>
      <c r="AD34" s="52">
        <f t="shared" si="22"/>
        <v>0.61084399286340674</v>
      </c>
      <c r="AE34" s="47">
        <f t="shared" si="23"/>
        <v>0.30388748059660181</v>
      </c>
      <c r="AF34" s="48">
        <f t="shared" si="24"/>
        <v>0.66396086180805081</v>
      </c>
      <c r="AG34" s="48"/>
      <c r="AH34" s="48"/>
    </row>
    <row r="35" spans="1:34">
      <c r="A35" s="36">
        <f t="shared" si="25"/>
        <v>38000</v>
      </c>
      <c r="B35" s="45">
        <f t="shared" si="1"/>
        <v>1363</v>
      </c>
      <c r="C35" s="46">
        <f t="shared" si="2"/>
        <v>-52.924999999999997</v>
      </c>
      <c r="D35" s="46">
        <f>C35+25</f>
        <v>-27.924999999999997</v>
      </c>
      <c r="E35" s="46">
        <f>C35-20</f>
        <v>-72.924999999999997</v>
      </c>
      <c r="F35" s="36">
        <f>0.00002*A35</f>
        <v>0.76</v>
      </c>
      <c r="G35" s="47">
        <f>0.3+0.000015*A35</f>
        <v>0.87000000000000011</v>
      </c>
      <c r="H35" s="46">
        <f t="shared" si="5"/>
        <v>-52.108007200000003</v>
      </c>
      <c r="I35" s="48">
        <f t="shared" si="6"/>
        <v>5.4849444500000004</v>
      </c>
      <c r="J35" s="49">
        <f t="shared" si="7"/>
        <v>-6900.6621302730209</v>
      </c>
      <c r="K35" s="49">
        <f t="shared" si="8"/>
        <v>9212</v>
      </c>
      <c r="L35" s="49">
        <f t="shared" si="9"/>
        <v>5800</v>
      </c>
      <c r="M35" s="49">
        <f t="shared" ref="M35:M36" si="30">$B$8*B35</f>
        <v>2862.2999999999997</v>
      </c>
      <c r="N35" s="49">
        <f t="shared" ref="N35:N36" si="31">SUM(J35:M35)</f>
        <v>10973.637869726979</v>
      </c>
      <c r="O35" s="50">
        <f t="shared" si="12"/>
        <v>-19734.471713809693</v>
      </c>
      <c r="P35" s="50">
        <f t="shared" si="13"/>
        <v>4342.7999999999993</v>
      </c>
      <c r="Q35" s="50">
        <f t="shared" si="14"/>
        <v>2560</v>
      </c>
      <c r="R35" s="50">
        <v>0</v>
      </c>
      <c r="S35" s="50">
        <f t="shared" ref="S35:S36" si="32">SUM(O35:R35)</f>
        <v>-12831.671713809694</v>
      </c>
      <c r="T35" s="45">
        <v>206.319102674833</v>
      </c>
      <c r="U35" s="45">
        <v>818.50119999999993</v>
      </c>
      <c r="V35" s="45">
        <f>V36+11</f>
        <v>810.68000000000006</v>
      </c>
      <c r="W35" s="48">
        <f t="shared" si="16"/>
        <v>3.9671614958988548</v>
      </c>
      <c r="X35" s="48">
        <f t="shared" si="29"/>
        <v>0.23047892793132699</v>
      </c>
      <c r="Y35" s="45">
        <f t="shared" ref="Y35:Y36" si="33">V35*100/287/(273.15+24)*$B$9</f>
        <v>380.23476218031817</v>
      </c>
      <c r="Z35" s="48">
        <f t="shared" ref="Z35" si="34">(Y34-Y35)/60</f>
        <v>8.5989177480293694E-2</v>
      </c>
      <c r="AA35" s="51">
        <f t="shared" si="19"/>
        <v>0.31646810541162068</v>
      </c>
      <c r="AB35" s="52">
        <f t="shared" si="20"/>
        <v>0.42036536562830795</v>
      </c>
      <c r="AC35" s="52">
        <f t="shared" si="21"/>
        <v>0.49107048273286236</v>
      </c>
      <c r="AD35" s="52">
        <f t="shared" si="22"/>
        <v>0.61084399286340674</v>
      </c>
      <c r="AE35" s="47">
        <f t="shared" si="23"/>
        <v>0.29136774961107142</v>
      </c>
      <c r="AF35" s="48">
        <f t="shared" si="24"/>
        <v>0.66396086180805081</v>
      </c>
      <c r="AG35" s="48"/>
      <c r="AH35" s="48"/>
    </row>
    <row r="36" spans="1:34">
      <c r="A36" s="36">
        <f t="shared" si="25"/>
        <v>40000</v>
      </c>
      <c r="B36" s="45">
        <f t="shared" si="1"/>
        <v>1375</v>
      </c>
      <c r="C36" s="46">
        <f t="shared" si="2"/>
        <v>-56.5</v>
      </c>
      <c r="D36" s="46">
        <f>C36+25</f>
        <v>-31.5</v>
      </c>
      <c r="E36" s="46">
        <f>C36-20</f>
        <v>-76.5</v>
      </c>
      <c r="F36" s="36">
        <f>0.00002*A36</f>
        <v>0.8</v>
      </c>
      <c r="G36" s="47">
        <f>0.3+0.000015*A36</f>
        <v>0.89999999999999991</v>
      </c>
      <c r="H36" s="46">
        <f t="shared" si="5"/>
        <v>-53.845920000000007</v>
      </c>
      <c r="I36" s="48">
        <f>(D36+273.15)*(1+0.18*G36^2)-273.15</f>
        <v>3.7325699999999529</v>
      </c>
      <c r="J36" s="49">
        <f t="shared" si="7"/>
        <v>-7393.9322344549118</v>
      </c>
      <c r="K36" s="49">
        <f t="shared" si="8"/>
        <v>9212</v>
      </c>
      <c r="L36" s="49">
        <f t="shared" si="9"/>
        <v>5800</v>
      </c>
      <c r="M36" s="49">
        <f t="shared" si="30"/>
        <v>2887.4999999999995</v>
      </c>
      <c r="N36" s="49">
        <f t="shared" si="31"/>
        <v>10505.567765545087</v>
      </c>
      <c r="O36" s="50">
        <f t="shared" si="12"/>
        <v>-20223.671055831041</v>
      </c>
      <c r="P36" s="50">
        <f t="shared" si="13"/>
        <v>4342.7999999999993</v>
      </c>
      <c r="Q36" s="50">
        <f t="shared" si="14"/>
        <v>2560</v>
      </c>
      <c r="R36" s="50">
        <v>0</v>
      </c>
      <c r="S36" s="50">
        <f t="shared" si="32"/>
        <v>-13320.871055831041</v>
      </c>
      <c r="T36" s="45">
        <v>186.91888208384285</v>
      </c>
      <c r="U36" s="45">
        <v>799.68000000000006</v>
      </c>
      <c r="V36" s="45">
        <f t="shared" ref="V36" si="35">U36</f>
        <v>799.68000000000006</v>
      </c>
      <c r="W36" s="48">
        <f t="shared" si="16"/>
        <v>4.2782194665667967</v>
      </c>
      <c r="X36" s="48">
        <f t="shared" si="29"/>
        <v>0.22517913118285421</v>
      </c>
      <c r="Y36" s="45">
        <f t="shared" si="33"/>
        <v>375.07541153150049</v>
      </c>
      <c r="Z36" s="48">
        <f>(Y35-Y36)/60</f>
        <v>8.5989177480294637E-2</v>
      </c>
      <c r="AA36" s="51">
        <f t="shared" si="19"/>
        <v>0.31116830866314882</v>
      </c>
      <c r="AB36" s="52">
        <f t="shared" si="20"/>
        <v>0.40243508008217149</v>
      </c>
      <c r="AC36" s="52">
        <f t="shared" si="21"/>
        <v>0.50979223328859713</v>
      </c>
      <c r="AD36" s="52">
        <f t="shared" si="22"/>
        <v>0.61084399286340674</v>
      </c>
      <c r="AE36" s="47">
        <f t="shared" si="23"/>
        <v>0.27893973489665014</v>
      </c>
      <c r="AF36" s="48">
        <f t="shared" si="24"/>
        <v>0.66396086180805081</v>
      </c>
      <c r="AG36" s="48"/>
      <c r="AH36" s="48"/>
    </row>
  </sheetData>
  <mergeCells count="7">
    <mergeCell ref="O13:S13"/>
    <mergeCell ref="G5:H5"/>
    <mergeCell ref="G6:H6"/>
    <mergeCell ref="G7:J7"/>
    <mergeCell ref="G8:H8"/>
    <mergeCell ref="G9:H9"/>
    <mergeCell ref="J13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tabSelected="1" zoomScale="140" zoomScaleNormal="140" workbookViewId="0">
      <selection activeCell="P7" sqref="P7"/>
    </sheetView>
  </sheetViews>
  <sheetFormatPr defaultColWidth="11.42578125" defaultRowHeight="14.45"/>
  <cols>
    <col min="1" max="1" width="5.28515625" customWidth="1"/>
    <col min="2" max="2" width="21" bestFit="1" customWidth="1"/>
  </cols>
  <sheetData>
    <row r="1" spans="1:16">
      <c r="B1" t="s">
        <v>70</v>
      </c>
      <c r="C1" s="53">
        <f>(273.15-15)*(1+0.2*0.4^2)-273.15</f>
        <v>-6.7391999999999825</v>
      </c>
      <c r="D1" t="s">
        <v>10</v>
      </c>
      <c r="E1" s="53">
        <f>(273.15-15)*(1+0.2*0.4^2)</f>
        <v>266.41079999999999</v>
      </c>
      <c r="F1" t="s">
        <v>71</v>
      </c>
    </row>
    <row r="2" spans="1:16">
      <c r="B2" t="s">
        <v>72</v>
      </c>
      <c r="C2" s="37">
        <v>230</v>
      </c>
      <c r="D2" t="s">
        <v>10</v>
      </c>
    </row>
    <row r="3" spans="1:16">
      <c r="B3" t="s">
        <v>73</v>
      </c>
      <c r="C3" s="37">
        <f>C2-20</f>
        <v>210</v>
      </c>
      <c r="D3" t="s">
        <v>10</v>
      </c>
    </row>
    <row r="5" spans="1:16">
      <c r="B5" s="34" t="s">
        <v>74</v>
      </c>
      <c r="C5" s="54">
        <v>0.5</v>
      </c>
      <c r="D5" s="54">
        <f>C5+0.1</f>
        <v>0.6</v>
      </c>
      <c r="E5" s="54">
        <f>D5+0.1</f>
        <v>0.7</v>
      </c>
      <c r="F5" s="54">
        <f>E5+0.1</f>
        <v>0.79999999999999993</v>
      </c>
      <c r="G5" s="54">
        <f>F5+0.1</f>
        <v>0.89999999999999991</v>
      </c>
      <c r="H5" s="54">
        <f>G5+0.1</f>
        <v>0.99999999999999989</v>
      </c>
    </row>
    <row r="6" spans="1:16">
      <c r="B6" s="34" t="s">
        <v>75</v>
      </c>
      <c r="C6" s="55">
        <f>15*(2.5*2500*C10+150*0.4*(40-$C$1))</f>
        <v>88940.279999999984</v>
      </c>
      <c r="D6" s="55">
        <f t="shared" ref="D6:H6" si="0">15*(2.5*2500*D10+150*0.4*(40-$C$1))</f>
        <v>98315.279999999984</v>
      </c>
      <c r="E6" s="55">
        <f t="shared" si="0"/>
        <v>107690.27999999998</v>
      </c>
      <c r="F6" s="55">
        <f t="shared" si="0"/>
        <v>117065.27999999998</v>
      </c>
      <c r="G6" s="55">
        <f t="shared" si="0"/>
        <v>126440.27999999998</v>
      </c>
      <c r="H6" s="55">
        <f t="shared" si="0"/>
        <v>135815.27999999997</v>
      </c>
    </row>
    <row r="7" spans="1:16" ht="15">
      <c r="B7" s="34" t="s">
        <v>76</v>
      </c>
      <c r="C7" s="55">
        <f t="shared" ref="C7:H7" si="1">C6/0.9</f>
        <v>98822.533333333311</v>
      </c>
      <c r="D7" s="55">
        <f t="shared" si="1"/>
        <v>109239.19999999998</v>
      </c>
      <c r="E7" s="55">
        <f t="shared" si="1"/>
        <v>119655.86666666664</v>
      </c>
      <c r="F7" s="55">
        <f t="shared" si="1"/>
        <v>130072.53333333331</v>
      </c>
      <c r="G7" s="55">
        <f t="shared" si="1"/>
        <v>140489.19999999998</v>
      </c>
      <c r="H7" s="55">
        <f t="shared" si="1"/>
        <v>150905.86666666664</v>
      </c>
      <c r="P7" s="90"/>
    </row>
    <row r="8" spans="1:16">
      <c r="B8" s="34"/>
      <c r="C8" s="56"/>
      <c r="D8" s="56"/>
      <c r="E8" s="56"/>
      <c r="F8" s="56"/>
      <c r="G8" s="56"/>
      <c r="H8" s="56"/>
    </row>
    <row r="9" spans="1:16">
      <c r="B9" s="34"/>
      <c r="C9" s="85" t="s">
        <v>77</v>
      </c>
      <c r="D9" s="86"/>
      <c r="E9" s="86"/>
      <c r="F9" s="86"/>
      <c r="G9" s="86"/>
      <c r="H9" s="87"/>
    </row>
    <row r="10" spans="1:16">
      <c r="A10" s="57"/>
      <c r="B10" s="58"/>
      <c r="C10" s="59">
        <v>0.5</v>
      </c>
      <c r="D10" s="59">
        <f>C10+0.1</f>
        <v>0.6</v>
      </c>
      <c r="E10" s="59">
        <f>D10+0.1</f>
        <v>0.7</v>
      </c>
      <c r="F10" s="59">
        <f>E10+0.1</f>
        <v>0.79999999999999993</v>
      </c>
      <c r="G10" s="59">
        <f>F10+0.1</f>
        <v>0.89999999999999991</v>
      </c>
      <c r="H10" s="59">
        <f>G10+0.1</f>
        <v>0.99999999999999989</v>
      </c>
    </row>
    <row r="11" spans="1:16" ht="16.5" customHeight="1">
      <c r="A11" s="88" t="s">
        <v>78</v>
      </c>
      <c r="B11" s="58">
        <v>0.5</v>
      </c>
      <c r="C11" s="60">
        <f>C$7/(1010*$B11*($C$3-$C$1))</f>
        <v>0.90287398319492651</v>
      </c>
      <c r="D11" s="60">
        <f t="shared" ref="D11:G11" si="2">D$7/(1010*$B11*($C$3-$C$1))</f>
        <v>0.9980439510930762</v>
      </c>
      <c r="E11" s="60">
        <f t="shared" si="2"/>
        <v>1.0932139189912258</v>
      </c>
      <c r="F11" s="60">
        <f t="shared" si="2"/>
        <v>1.1883838868893755</v>
      </c>
      <c r="G11" s="60">
        <f t="shared" si="2"/>
        <v>1.2835538547875252</v>
      </c>
      <c r="H11" s="60">
        <f>H$7/(1010*$B11*($C$3-$C$1))</f>
        <v>1.3787238226856746</v>
      </c>
      <c r="I11" s="61"/>
    </row>
    <row r="12" spans="1:16">
      <c r="A12" s="89"/>
      <c r="B12" s="58">
        <f t="shared" ref="B12:B21" si="3">B11+0.05</f>
        <v>0.55000000000000004</v>
      </c>
      <c r="C12" s="60">
        <f t="shared" ref="C12:H21" si="4">C$7/(1010*$B12*($C$3-$C$1))</f>
        <v>0.82079453017720594</v>
      </c>
      <c r="D12" s="60">
        <f t="shared" si="4"/>
        <v>0.90731268281188748</v>
      </c>
      <c r="E12" s="60">
        <f t="shared" si="4"/>
        <v>0.99383083544656892</v>
      </c>
      <c r="F12" s="60">
        <f t="shared" si="4"/>
        <v>1.0803489880812505</v>
      </c>
      <c r="G12" s="60">
        <f t="shared" si="4"/>
        <v>1.1668671407159319</v>
      </c>
      <c r="H12" s="60">
        <f t="shared" si="4"/>
        <v>1.2533852933506133</v>
      </c>
    </row>
    <row r="13" spans="1:16">
      <c r="A13" s="89"/>
      <c r="B13" s="58">
        <f t="shared" si="3"/>
        <v>0.60000000000000009</v>
      </c>
      <c r="C13" s="60">
        <f t="shared" si="4"/>
        <v>0.75239498599577193</v>
      </c>
      <c r="D13" s="60">
        <f t="shared" si="4"/>
        <v>0.83170329257756326</v>
      </c>
      <c r="E13" s="60">
        <f t="shared" si="4"/>
        <v>0.91101159915935448</v>
      </c>
      <c r="F13" s="60">
        <f t="shared" si="4"/>
        <v>0.99031990574114581</v>
      </c>
      <c r="G13" s="60">
        <f t="shared" si="4"/>
        <v>1.0696282123229373</v>
      </c>
      <c r="H13" s="60">
        <f t="shared" si="4"/>
        <v>1.1489365189047285</v>
      </c>
    </row>
    <row r="14" spans="1:16">
      <c r="A14" s="89"/>
      <c r="B14" s="58">
        <f t="shared" si="3"/>
        <v>0.65000000000000013</v>
      </c>
      <c r="C14" s="60">
        <f t="shared" si="4"/>
        <v>0.69451844861148182</v>
      </c>
      <c r="D14" s="60">
        <f t="shared" si="4"/>
        <v>0.76772611622544307</v>
      </c>
      <c r="E14" s="60">
        <f t="shared" si="4"/>
        <v>0.8409337838394042</v>
      </c>
      <c r="F14" s="60">
        <f t="shared" si="4"/>
        <v>0.91414145145336545</v>
      </c>
      <c r="G14" s="62">
        <f t="shared" si="4"/>
        <v>0.9873491190673267</v>
      </c>
      <c r="H14" s="60">
        <f t="shared" si="4"/>
        <v>1.0605567866812879</v>
      </c>
    </row>
    <row r="15" spans="1:16">
      <c r="A15" s="89"/>
      <c r="B15" s="58">
        <f t="shared" si="3"/>
        <v>0.70000000000000018</v>
      </c>
      <c r="C15" s="60">
        <f t="shared" si="4"/>
        <v>0.64490998799637578</v>
      </c>
      <c r="D15" s="60">
        <f t="shared" si="4"/>
        <v>0.71288853649505413</v>
      </c>
      <c r="E15" s="60">
        <f t="shared" si="4"/>
        <v>0.78086708499373236</v>
      </c>
      <c r="F15" s="60">
        <f t="shared" si="4"/>
        <v>0.8488456334924106</v>
      </c>
      <c r="G15" s="60">
        <f t="shared" si="4"/>
        <v>0.91682418199108895</v>
      </c>
      <c r="H15" s="60">
        <f t="shared" si="4"/>
        <v>0.98480273048976719</v>
      </c>
    </row>
    <row r="16" spans="1:16">
      <c r="A16" s="89"/>
      <c r="B16" s="58">
        <f t="shared" si="3"/>
        <v>0.75000000000000022</v>
      </c>
      <c r="C16" s="60">
        <f t="shared" si="4"/>
        <v>0.60191598879661745</v>
      </c>
      <c r="D16" s="60">
        <f t="shared" si="4"/>
        <v>0.66536263406205054</v>
      </c>
      <c r="E16" s="60">
        <f t="shared" si="4"/>
        <v>0.72880927932748352</v>
      </c>
      <c r="F16" s="60">
        <f t="shared" si="4"/>
        <v>0.7922559245929166</v>
      </c>
      <c r="G16" s="60">
        <f t="shared" si="4"/>
        <v>0.85570256985834969</v>
      </c>
      <c r="H16" s="60">
        <f t="shared" si="4"/>
        <v>0.91914921512378267</v>
      </c>
    </row>
    <row r="17" spans="1:8">
      <c r="A17" s="89"/>
      <c r="B17" s="58">
        <f t="shared" si="3"/>
        <v>0.80000000000000027</v>
      </c>
      <c r="C17" s="60">
        <f t="shared" si="4"/>
        <v>0.56429623949682894</v>
      </c>
      <c r="D17" s="60">
        <f t="shared" si="4"/>
        <v>0.62377746943317236</v>
      </c>
      <c r="E17" s="60">
        <f t="shared" si="4"/>
        <v>0.68325869936951589</v>
      </c>
      <c r="F17" s="60">
        <f t="shared" si="4"/>
        <v>0.7427399293058593</v>
      </c>
      <c r="G17" s="60">
        <f t="shared" si="4"/>
        <v>0.80222115924220283</v>
      </c>
      <c r="H17" s="60">
        <f t="shared" si="4"/>
        <v>0.86170238917854636</v>
      </c>
    </row>
    <row r="18" spans="1:8">
      <c r="A18" s="89"/>
      <c r="B18" s="58">
        <f t="shared" si="3"/>
        <v>0.85000000000000031</v>
      </c>
      <c r="C18" s="60">
        <f t="shared" si="4"/>
        <v>0.53110234305583892</v>
      </c>
      <c r="D18" s="60">
        <f t="shared" si="4"/>
        <v>0.58708467711357393</v>
      </c>
      <c r="E18" s="60">
        <f t="shared" si="4"/>
        <v>0.64306701117130893</v>
      </c>
      <c r="F18" s="60">
        <f t="shared" si="4"/>
        <v>0.69904934522904405</v>
      </c>
      <c r="G18" s="60">
        <f t="shared" si="4"/>
        <v>0.75503167928677906</v>
      </c>
      <c r="H18" s="60">
        <f t="shared" si="4"/>
        <v>0.81101401334451406</v>
      </c>
    </row>
    <row r="19" spans="1:8">
      <c r="A19" s="89"/>
      <c r="B19" s="58">
        <f t="shared" si="3"/>
        <v>0.90000000000000036</v>
      </c>
      <c r="C19" s="60">
        <f t="shared" si="4"/>
        <v>0.50159665733051451</v>
      </c>
      <c r="D19" s="60">
        <f t="shared" si="4"/>
        <v>0.55446886171837539</v>
      </c>
      <c r="E19" s="60">
        <f t="shared" si="4"/>
        <v>0.60734106610623628</v>
      </c>
      <c r="F19" s="60">
        <f t="shared" si="4"/>
        <v>0.66021327049409717</v>
      </c>
      <c r="G19" s="60">
        <f t="shared" si="4"/>
        <v>0.71308547488195806</v>
      </c>
      <c r="H19" s="60">
        <f t="shared" si="4"/>
        <v>0.76595767926981884</v>
      </c>
    </row>
    <row r="20" spans="1:8">
      <c r="A20" s="89"/>
      <c r="B20" s="58">
        <f t="shared" si="3"/>
        <v>0.9500000000000004</v>
      </c>
      <c r="C20" s="60">
        <f t="shared" si="4"/>
        <v>0.47519683326048739</v>
      </c>
      <c r="D20" s="60">
        <f t="shared" si="4"/>
        <v>0.52528629004898719</v>
      </c>
      <c r="E20" s="60">
        <f t="shared" si="4"/>
        <v>0.57537574683748693</v>
      </c>
      <c r="F20" s="60">
        <f t="shared" si="4"/>
        <v>0.62546520362598668</v>
      </c>
      <c r="G20" s="60">
        <f t="shared" si="4"/>
        <v>0.67555466041448653</v>
      </c>
      <c r="H20" s="60">
        <f t="shared" si="4"/>
        <v>0.72564411720298627</v>
      </c>
    </row>
    <row r="21" spans="1:8">
      <c r="A21" s="89"/>
      <c r="B21" s="58">
        <f t="shared" si="3"/>
        <v>1.0000000000000004</v>
      </c>
      <c r="C21" s="60">
        <f t="shared" si="4"/>
        <v>0.45143699159746303</v>
      </c>
      <c r="D21" s="60">
        <f t="shared" si="4"/>
        <v>0.49902197554653782</v>
      </c>
      <c r="E21" s="60">
        <f t="shared" si="4"/>
        <v>0.54660695949561255</v>
      </c>
      <c r="F21" s="60">
        <f t="shared" si="4"/>
        <v>0.5941919434446874</v>
      </c>
      <c r="G21" s="60">
        <f t="shared" si="4"/>
        <v>0.64177692739376224</v>
      </c>
      <c r="H21" s="60">
        <f t="shared" si="4"/>
        <v>0.68936191134283697</v>
      </c>
    </row>
    <row r="23" spans="1:8">
      <c r="F23" s="61"/>
    </row>
  </sheetData>
  <mergeCells count="2">
    <mergeCell ref="C9:H9"/>
    <mergeCell ref="A11:A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120" zoomScaleNormal="120" workbookViewId="0">
      <selection activeCell="C4" sqref="C4"/>
    </sheetView>
  </sheetViews>
  <sheetFormatPr defaultColWidth="11.42578125" defaultRowHeight="14.45"/>
  <cols>
    <col min="1" max="1" width="29.5703125" bestFit="1" customWidth="1"/>
    <col min="2" max="2" width="13.28515625" customWidth="1"/>
    <col min="3" max="3" width="11.140625" customWidth="1"/>
    <col min="4" max="4" width="11.7109375" customWidth="1"/>
  </cols>
  <sheetData>
    <row r="1" spans="1:8">
      <c r="B1" s="34" t="s">
        <v>79</v>
      </c>
      <c r="C1" s="63">
        <v>0.25</v>
      </c>
    </row>
    <row r="3" spans="1:8">
      <c r="D3" s="64"/>
      <c r="E3" s="64"/>
      <c r="H3" s="64"/>
    </row>
    <row r="4" spans="1:8">
      <c r="A4" s="34" t="s">
        <v>80</v>
      </c>
      <c r="B4" s="34" t="s">
        <v>68</v>
      </c>
      <c r="C4" s="65">
        <f>ECS!AH27</f>
        <v>0.66396086180805081</v>
      </c>
      <c r="D4" s="66">
        <f>IF(ISBLANK(C6),"",C4/$C$6)</f>
        <v>0.40208129878563315</v>
      </c>
      <c r="E4" s="64" t="s">
        <v>81</v>
      </c>
      <c r="G4" s="67"/>
      <c r="H4" s="66"/>
    </row>
    <row r="5" spans="1:8">
      <c r="A5" s="34" t="s">
        <v>82</v>
      </c>
      <c r="B5" s="34" t="s">
        <v>68</v>
      </c>
      <c r="C5" s="65">
        <f>WIPS!G14</f>
        <v>0.9873491190673267</v>
      </c>
      <c r="D5" s="66">
        <f>IF(ISBLANK(C6),"",C5/$C$6)</f>
        <v>0.59791870121436685</v>
      </c>
      <c r="E5" s="64" t="s">
        <v>83</v>
      </c>
      <c r="G5" s="67"/>
      <c r="H5" s="66"/>
    </row>
    <row r="6" spans="1:8">
      <c r="A6" s="34" t="s">
        <v>84</v>
      </c>
      <c r="B6" s="34" t="s">
        <v>68</v>
      </c>
      <c r="C6" s="65">
        <f>C5+C4</f>
        <v>1.6513099808753775</v>
      </c>
      <c r="D6" s="64"/>
      <c r="E6" s="64"/>
      <c r="G6" s="67"/>
      <c r="H6" s="64"/>
    </row>
    <row r="7" spans="1:8">
      <c r="C7" s="64"/>
      <c r="D7" s="64"/>
      <c r="E7" s="64"/>
      <c r="G7" s="64"/>
      <c r="H7" s="64"/>
    </row>
    <row r="8" spans="1:8">
      <c r="C8" s="64"/>
      <c r="D8" s="64"/>
      <c r="E8" s="64"/>
      <c r="G8" s="64"/>
      <c r="H8" s="64"/>
    </row>
    <row r="9" spans="1:8">
      <c r="C9" s="36" t="s">
        <v>85</v>
      </c>
      <c r="D9" s="47" t="s">
        <v>86</v>
      </c>
      <c r="E9" s="64"/>
      <c r="H9" s="64"/>
    </row>
    <row r="10" spans="1:8">
      <c r="A10" s="34" t="s">
        <v>87</v>
      </c>
      <c r="B10" s="34" t="s">
        <v>88</v>
      </c>
      <c r="C10" s="68">
        <f>38/14.5</f>
        <v>2.6206896551724137</v>
      </c>
      <c r="D10" s="68">
        <f>100/14.5+0.428</f>
        <v>7.3245517241379305</v>
      </c>
      <c r="E10" s="39"/>
      <c r="G10" s="64"/>
      <c r="H10" s="64"/>
    </row>
    <row r="11" spans="1:8">
      <c r="A11" s="34" t="s">
        <v>89</v>
      </c>
      <c r="B11" s="34" t="s">
        <v>71</v>
      </c>
      <c r="C11" s="63">
        <f>180+273.15</f>
        <v>453.15</v>
      </c>
      <c r="D11" s="73">
        <f>(900-32)*5/9+273.15</f>
        <v>755.37222222222226</v>
      </c>
      <c r="E11" s="69"/>
    </row>
    <row r="12" spans="1:8">
      <c r="A12" s="34" t="s">
        <v>90</v>
      </c>
      <c r="B12" s="34" t="s">
        <v>91</v>
      </c>
      <c r="C12" s="68">
        <f>C10*10^5/C11/287</f>
        <v>2.0150773122193533</v>
      </c>
      <c r="D12" s="68">
        <f>D10*10^5/D11/287</f>
        <v>3.3786106234806756</v>
      </c>
      <c r="E12" s="64"/>
      <c r="G12" s="64"/>
      <c r="H12" s="64"/>
    </row>
    <row r="13" spans="1:8">
      <c r="A13" s="34" t="s">
        <v>92</v>
      </c>
      <c r="B13" s="34"/>
      <c r="C13" s="63">
        <v>0.25</v>
      </c>
      <c r="D13" s="63">
        <f>C1</f>
        <v>0.25</v>
      </c>
    </row>
    <row r="14" spans="1:8">
      <c r="A14" s="34" t="s">
        <v>93</v>
      </c>
      <c r="B14" s="34" t="s">
        <v>94</v>
      </c>
      <c r="C14" s="70">
        <f>C13*SQRT(1.4*287*C11)</f>
        <v>106.67581438639219</v>
      </c>
      <c r="D14" s="70">
        <f>D13*SQRT(1.4*287*D11)</f>
        <v>137.72902718946196</v>
      </c>
      <c r="E14" s="39"/>
      <c r="G14" s="39"/>
      <c r="H14" s="39"/>
    </row>
    <row r="15" spans="1:8">
      <c r="A15" s="34" t="s">
        <v>95</v>
      </c>
      <c r="B15" s="34" t="s">
        <v>5</v>
      </c>
      <c r="C15" s="71">
        <f>C6/C12/C14</f>
        <v>7.6819402607721807E-3</v>
      </c>
      <c r="D15" s="71">
        <f>C6/D12/D14</f>
        <v>3.5486648321575755E-3</v>
      </c>
      <c r="G15" s="72"/>
      <c r="H15" s="72"/>
    </row>
    <row r="16" spans="1:8">
      <c r="A16" s="34" t="s">
        <v>96</v>
      </c>
      <c r="B16" s="34" t="s">
        <v>97</v>
      </c>
      <c r="C16" s="70">
        <f>SQRT(4*C15/PI())*1000</f>
        <v>98.898686140455325</v>
      </c>
      <c r="D16" s="70">
        <f>SQRT(4*D15/PI())*1000</f>
        <v>67.218304019917028</v>
      </c>
      <c r="E16" s="39"/>
      <c r="G16" s="39"/>
      <c r="H16" s="39"/>
    </row>
    <row r="17" spans="1:8">
      <c r="A17" s="34" t="s">
        <v>96</v>
      </c>
      <c r="B17" s="34" t="s">
        <v>98</v>
      </c>
      <c r="C17" s="68">
        <f>C16/25.4</f>
        <v>3.8936490606478475</v>
      </c>
      <c r="D17" s="68">
        <f>D16/25.4</f>
        <v>2.6463899220439777</v>
      </c>
      <c r="E17" s="64"/>
      <c r="G17" s="64"/>
      <c r="H17" s="64"/>
    </row>
    <row r="18" spans="1:8">
      <c r="A18" s="34" t="s">
        <v>99</v>
      </c>
      <c r="B18" s="34" t="s">
        <v>98</v>
      </c>
      <c r="C18" s="63">
        <v>4</v>
      </c>
      <c r="D18" s="63">
        <v>3</v>
      </c>
    </row>
    <row r="19" spans="1:8">
      <c r="A19" s="34" t="s">
        <v>100</v>
      </c>
      <c r="B19" s="34" t="s">
        <v>67</v>
      </c>
      <c r="C19" s="70">
        <f>0.5*C12*C14^2/100</f>
        <v>114.6551724137931</v>
      </c>
      <c r="D19" s="70">
        <f>0.5*D12*D14^2/100</f>
        <v>320.44913793103433</v>
      </c>
      <c r="E19" s="39"/>
      <c r="G19" s="39"/>
      <c r="H19" s="39"/>
    </row>
    <row r="20" spans="1:8">
      <c r="C20" s="39"/>
      <c r="D20" s="39"/>
      <c r="E20" s="39"/>
      <c r="G20" s="39"/>
      <c r="H20" s="39"/>
    </row>
    <row r="21" spans="1:8">
      <c r="A21" s="34" t="s">
        <v>101</v>
      </c>
      <c r="B21" s="34" t="s">
        <v>10</v>
      </c>
      <c r="C21" s="63">
        <f>C11-273.15</f>
        <v>180</v>
      </c>
      <c r="D21" s="73">
        <f>D11-273.15</f>
        <v>482.22222222222229</v>
      </c>
    </row>
    <row r="22" spans="1:8">
      <c r="A22" s="34" t="s">
        <v>102</v>
      </c>
      <c r="B22" s="34" t="s">
        <v>10</v>
      </c>
      <c r="C22" s="63">
        <v>230</v>
      </c>
      <c r="D22" s="63">
        <v>230</v>
      </c>
    </row>
    <row r="23" spans="1:8">
      <c r="A23" s="34" t="s">
        <v>103</v>
      </c>
      <c r="B23" s="34"/>
      <c r="C23" s="74" t="s">
        <v>104</v>
      </c>
      <c r="D23" s="68">
        <f>(D21-D22)/(D21-10)</f>
        <v>0.53411764705882359</v>
      </c>
    </row>
    <row r="24" spans="1:8">
      <c r="C24" s="67"/>
    </row>
    <row r="25" spans="1:8">
      <c r="A25" s="34" t="s">
        <v>105</v>
      </c>
      <c r="B25" s="34" t="s">
        <v>68</v>
      </c>
      <c r="C25" s="65">
        <f>D23*C6</f>
        <v>0.88199380154990759</v>
      </c>
    </row>
    <row r="27" spans="1:8">
      <c r="A27" s="34" t="s">
        <v>106</v>
      </c>
      <c r="B27" s="34" t="s">
        <v>107</v>
      </c>
      <c r="C27" s="73">
        <f>C6*1060*(D21-D22)/1000</f>
        <v>441.48689733137053</v>
      </c>
    </row>
    <row r="28" spans="1:8">
      <c r="A28" s="34" t="s">
        <v>108</v>
      </c>
      <c r="B28" s="34" t="s">
        <v>107</v>
      </c>
      <c r="C28" s="73">
        <f>C25*1060*(D21-10)/1000</f>
        <v>441.48689733137053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"/>
  <sheetViews>
    <sheetView topLeftCell="A16" zoomScale="120" zoomScaleNormal="120" workbookViewId="0">
      <selection activeCell="C34" sqref="C34"/>
    </sheetView>
  </sheetViews>
  <sheetFormatPr defaultColWidth="11.42578125" defaultRowHeight="14.45"/>
  <cols>
    <col min="1" max="1" width="25.7109375" bestFit="1" customWidth="1"/>
    <col min="5" max="5" width="11.42578125" customWidth="1"/>
    <col min="6" max="6" width="73" customWidth="1"/>
  </cols>
  <sheetData>
    <row r="1" spans="1:6">
      <c r="A1" s="13" t="s">
        <v>109</v>
      </c>
      <c r="B1" s="14"/>
      <c r="C1" s="14" t="s">
        <v>110</v>
      </c>
      <c r="D1" s="14"/>
      <c r="E1" s="14" t="s">
        <v>111</v>
      </c>
      <c r="F1" s="15" t="s">
        <v>112</v>
      </c>
    </row>
    <row r="2" spans="1:6">
      <c r="A2" s="16"/>
      <c r="B2" s="17"/>
      <c r="C2" s="17"/>
      <c r="D2" s="17"/>
      <c r="E2" s="17"/>
      <c r="F2" s="18"/>
    </row>
    <row r="3" spans="1:6">
      <c r="A3" s="16" t="s">
        <v>113</v>
      </c>
      <c r="B3" s="17" t="s">
        <v>10</v>
      </c>
      <c r="C3" s="17">
        <v>3</v>
      </c>
      <c r="D3" s="17"/>
      <c r="E3" s="17">
        <v>3</v>
      </c>
      <c r="F3" s="18" t="s">
        <v>114</v>
      </c>
    </row>
    <row r="4" spans="1:6">
      <c r="A4" s="16" t="s">
        <v>115</v>
      </c>
      <c r="B4" s="17" t="s">
        <v>10</v>
      </c>
      <c r="C4" s="17">
        <v>60</v>
      </c>
      <c r="D4" s="17"/>
      <c r="E4" s="17">
        <v>60</v>
      </c>
      <c r="F4" s="18" t="s">
        <v>116</v>
      </c>
    </row>
    <row r="5" spans="1:6">
      <c r="A5" s="16" t="s">
        <v>117</v>
      </c>
      <c r="B5" s="17" t="s">
        <v>88</v>
      </c>
      <c r="C5" s="17">
        <v>6.7</v>
      </c>
      <c r="D5" s="17"/>
      <c r="E5" s="17">
        <v>4.8</v>
      </c>
      <c r="F5" s="18" t="s">
        <v>118</v>
      </c>
    </row>
    <row r="6" spans="1:6">
      <c r="A6" s="16" t="s">
        <v>119</v>
      </c>
      <c r="B6" s="17" t="s">
        <v>88</v>
      </c>
      <c r="C6" s="17">
        <v>30</v>
      </c>
      <c r="D6" s="17"/>
      <c r="E6" s="17">
        <v>26</v>
      </c>
      <c r="F6" s="18" t="s">
        <v>118</v>
      </c>
    </row>
    <row r="7" spans="1:6">
      <c r="A7" s="16" t="s">
        <v>120</v>
      </c>
      <c r="B7" s="17" t="s">
        <v>88</v>
      </c>
      <c r="C7" s="17">
        <f>C5-0.5</f>
        <v>6.2</v>
      </c>
      <c r="D7" s="17"/>
      <c r="E7" s="17">
        <f>E5-0.5</f>
        <v>4.3</v>
      </c>
      <c r="F7" s="18" t="s">
        <v>118</v>
      </c>
    </row>
    <row r="8" spans="1:6">
      <c r="A8" s="16" t="s">
        <v>121</v>
      </c>
      <c r="B8" s="17" t="s">
        <v>88</v>
      </c>
      <c r="C8" s="17">
        <f>C6+0.2</f>
        <v>30.2</v>
      </c>
      <c r="D8" s="17"/>
      <c r="E8" s="17">
        <f>E6+0.2</f>
        <v>26.2</v>
      </c>
      <c r="F8" s="18" t="s">
        <v>118</v>
      </c>
    </row>
    <row r="9" spans="1:6">
      <c r="A9" s="16" t="s">
        <v>122</v>
      </c>
      <c r="B9" s="17"/>
      <c r="C9" s="19">
        <f>C8/C7</f>
        <v>4.870967741935484</v>
      </c>
      <c r="D9" s="19"/>
      <c r="E9" s="19">
        <f t="shared" ref="E9" si="0">E8/E7</f>
        <v>6.0930232558139537</v>
      </c>
      <c r="F9" s="18"/>
    </row>
    <row r="10" spans="1:6">
      <c r="A10" s="16" t="s">
        <v>123</v>
      </c>
      <c r="B10" s="17"/>
      <c r="C10" s="20">
        <v>0.67</v>
      </c>
      <c r="D10" s="17"/>
      <c r="E10" s="20">
        <v>0.63</v>
      </c>
      <c r="F10" s="18" t="s">
        <v>124</v>
      </c>
    </row>
    <row r="11" spans="1:6">
      <c r="A11" s="16" t="s">
        <v>125</v>
      </c>
      <c r="B11" s="17"/>
      <c r="C11" s="20">
        <v>0.92</v>
      </c>
      <c r="D11" s="17"/>
      <c r="E11" s="20">
        <v>0.91</v>
      </c>
      <c r="F11" s="18" t="s">
        <v>126</v>
      </c>
    </row>
    <row r="12" spans="1:6">
      <c r="A12" s="16"/>
      <c r="B12" s="17"/>
      <c r="C12" s="17"/>
      <c r="D12" s="17"/>
      <c r="E12" s="17"/>
      <c r="F12" s="18"/>
    </row>
    <row r="13" spans="1:6">
      <c r="A13" s="16" t="s">
        <v>127</v>
      </c>
      <c r="B13" s="17" t="s">
        <v>128</v>
      </c>
      <c r="C13" s="17">
        <v>285</v>
      </c>
      <c r="D13" s="17"/>
      <c r="E13" s="17">
        <v>475</v>
      </c>
      <c r="F13" s="18" t="s">
        <v>118</v>
      </c>
    </row>
    <row r="14" spans="1:6">
      <c r="A14" s="16" t="s">
        <v>129</v>
      </c>
      <c r="B14" s="17" t="s">
        <v>128</v>
      </c>
      <c r="C14" s="17">
        <v>372</v>
      </c>
      <c r="D14" s="17"/>
      <c r="E14" s="17">
        <v>1490</v>
      </c>
      <c r="F14" s="18" t="s">
        <v>118</v>
      </c>
    </row>
    <row r="15" spans="1:6">
      <c r="A15" s="16" t="s">
        <v>130</v>
      </c>
      <c r="B15" s="17" t="s">
        <v>128</v>
      </c>
      <c r="C15" s="17">
        <f>C14-C13</f>
        <v>87</v>
      </c>
      <c r="D15" s="17"/>
      <c r="E15" s="17">
        <f>E14-E13</f>
        <v>1015</v>
      </c>
      <c r="F15" s="18"/>
    </row>
    <row r="16" spans="1:6" ht="15.75" customHeight="1">
      <c r="A16" s="16" t="s">
        <v>131</v>
      </c>
      <c r="B16" s="17" t="s">
        <v>128</v>
      </c>
      <c r="C16" s="17">
        <v>36</v>
      </c>
      <c r="D16" s="17"/>
      <c r="E16" s="17">
        <v>305</v>
      </c>
      <c r="F16" s="21" t="s">
        <v>118</v>
      </c>
    </row>
    <row r="17" spans="1:6">
      <c r="A17" s="16" t="s">
        <v>132</v>
      </c>
      <c r="B17" s="17" t="s">
        <v>128</v>
      </c>
      <c r="C17" s="22">
        <f>C16/C10</f>
        <v>53.731343283582085</v>
      </c>
      <c r="D17" s="22"/>
      <c r="E17" s="22">
        <f>E16/E10</f>
        <v>484.1269841269841</v>
      </c>
      <c r="F17" s="18"/>
    </row>
    <row r="18" spans="1:6">
      <c r="A18" s="16" t="s">
        <v>133</v>
      </c>
      <c r="B18" s="17" t="s">
        <v>128</v>
      </c>
      <c r="C18" s="22">
        <f>C14+C17</f>
        <v>425.73134328358208</v>
      </c>
      <c r="D18" s="22"/>
      <c r="E18" s="22">
        <f>1490+E17</f>
        <v>1974.1269841269841</v>
      </c>
      <c r="F18" s="18"/>
    </row>
    <row r="19" spans="1:6">
      <c r="A19" s="16" t="s">
        <v>134</v>
      </c>
      <c r="B19" s="17"/>
      <c r="C19" s="19">
        <f>C15/C17</f>
        <v>1.6191666666666669</v>
      </c>
      <c r="D19" s="19"/>
      <c r="E19" s="19">
        <f>E15/E17</f>
        <v>2.0965573770491805</v>
      </c>
      <c r="F19" s="18"/>
    </row>
    <row r="20" spans="1:6" ht="15" thickBot="1">
      <c r="A20" s="16"/>
      <c r="B20" s="17"/>
      <c r="C20" s="19"/>
      <c r="D20" s="19"/>
      <c r="E20" s="19"/>
      <c r="F20" s="18"/>
    </row>
    <row r="21" spans="1:6">
      <c r="A21" s="1" t="s">
        <v>135</v>
      </c>
      <c r="B21" s="2"/>
      <c r="C21" s="2"/>
      <c r="D21" s="2"/>
      <c r="E21" s="2"/>
      <c r="F21" s="3"/>
    </row>
    <row r="22" spans="1:6">
      <c r="A22" s="4"/>
      <c r="B22" s="5"/>
      <c r="C22" s="5"/>
      <c r="D22" s="5"/>
      <c r="E22" s="5"/>
      <c r="F22" s="6"/>
    </row>
    <row r="23" spans="1:6">
      <c r="A23" s="4" t="s">
        <v>136</v>
      </c>
      <c r="B23" s="5" t="s">
        <v>68</v>
      </c>
      <c r="C23" s="7">
        <f>7000/(1005*(25-8))</f>
        <v>0.40971612525607259</v>
      </c>
      <c r="D23" s="5"/>
      <c r="E23" s="5"/>
      <c r="F23" s="6" t="s">
        <v>114</v>
      </c>
    </row>
    <row r="24" spans="1:6">
      <c r="A24" s="4" t="s">
        <v>137</v>
      </c>
      <c r="B24" s="5" t="s">
        <v>91</v>
      </c>
      <c r="C24" s="7">
        <f>101300/287/(273.15+25)</f>
        <v>1.1838392502896786</v>
      </c>
      <c r="D24" s="5"/>
      <c r="E24" s="5"/>
      <c r="F24" s="6" t="s">
        <v>138</v>
      </c>
    </row>
    <row r="25" spans="1:6">
      <c r="A25" s="4" t="s">
        <v>139</v>
      </c>
      <c r="B25" s="5" t="s">
        <v>140</v>
      </c>
      <c r="C25" s="8">
        <f>C23/(101300/287/(273.15+25))*1000</f>
        <v>346.09101291059358</v>
      </c>
      <c r="D25" s="5"/>
      <c r="E25" s="5"/>
      <c r="F25" s="6"/>
    </row>
    <row r="26" spans="1:6">
      <c r="A26" s="4" t="s">
        <v>141</v>
      </c>
      <c r="B26" s="5" t="s">
        <v>29</v>
      </c>
      <c r="C26" s="8">
        <f>C25*15/10/0.5</f>
        <v>1038.2730387317808</v>
      </c>
      <c r="D26" s="5"/>
      <c r="E26" s="5"/>
      <c r="F26" s="6" t="s">
        <v>142</v>
      </c>
    </row>
    <row r="27" spans="1:6">
      <c r="A27" s="4" t="s">
        <v>143</v>
      </c>
      <c r="B27" s="5" t="s">
        <v>10</v>
      </c>
      <c r="C27" s="7">
        <f>C26/(1005*C23)</f>
        <v>2.5215202369200389</v>
      </c>
      <c r="D27" s="5"/>
      <c r="E27" s="5"/>
      <c r="F27" s="6"/>
    </row>
    <row r="28" spans="1:6" ht="15" thickBot="1">
      <c r="A28" s="9" t="s">
        <v>144</v>
      </c>
      <c r="B28" s="10" t="s">
        <v>29</v>
      </c>
      <c r="C28" s="11">
        <f>7000+C26</f>
        <v>8038.2730387317806</v>
      </c>
      <c r="D28" s="10"/>
      <c r="E28" s="10"/>
      <c r="F28" s="12"/>
    </row>
    <row r="29" spans="1:6">
      <c r="A29" s="13" t="s">
        <v>109</v>
      </c>
      <c r="B29" s="14"/>
      <c r="C29" s="14" t="s">
        <v>110</v>
      </c>
      <c r="D29" s="14"/>
      <c r="E29" s="14" t="s">
        <v>111</v>
      </c>
      <c r="F29" s="15" t="s">
        <v>112</v>
      </c>
    </row>
    <row r="30" spans="1:6">
      <c r="A30" s="16" t="s">
        <v>145</v>
      </c>
      <c r="B30" s="17" t="s">
        <v>146</v>
      </c>
      <c r="C30" s="22">
        <f>C28/C15</f>
        <v>92.393942973928517</v>
      </c>
      <c r="D30" s="22"/>
      <c r="E30" s="22">
        <f>C28/E15</f>
        <v>7.9194808263367298</v>
      </c>
      <c r="F30" s="18" t="s">
        <v>147</v>
      </c>
    </row>
    <row r="31" spans="1:6">
      <c r="A31" s="23" t="s">
        <v>148</v>
      </c>
      <c r="B31" s="24" t="s">
        <v>149</v>
      </c>
      <c r="C31" s="25">
        <f>60000*C30/(C11*50*29.2)</f>
        <v>4127.1862555358175</v>
      </c>
      <c r="D31" s="25"/>
      <c r="E31" s="17"/>
      <c r="F31" s="18"/>
    </row>
    <row r="32" spans="1:6">
      <c r="A32" s="16" t="s">
        <v>150</v>
      </c>
      <c r="B32" s="17" t="s">
        <v>149</v>
      </c>
      <c r="C32" s="25">
        <f>60000*C30/(C11*90*29.2)</f>
        <v>2292.8812530754544</v>
      </c>
      <c r="D32" s="25"/>
      <c r="E32" s="17"/>
      <c r="F32" s="18"/>
    </row>
    <row r="33" spans="1:6">
      <c r="A33" s="16" t="s">
        <v>151</v>
      </c>
      <c r="B33" s="17" t="s">
        <v>152</v>
      </c>
      <c r="C33" s="25">
        <f>60000*C30/(C11*4000*29.2)</f>
        <v>51.589828194197722</v>
      </c>
      <c r="D33" s="17"/>
      <c r="E33" s="19">
        <f>60000*E30/E11/4000/3.3</f>
        <v>39.557846285398249</v>
      </c>
      <c r="F33" s="18" t="s">
        <v>153</v>
      </c>
    </row>
    <row r="34" spans="1:6">
      <c r="A34" s="16"/>
      <c r="B34" s="17"/>
      <c r="C34" s="17"/>
      <c r="D34" s="17"/>
      <c r="E34" s="17"/>
      <c r="F34" s="18"/>
    </row>
    <row r="35" spans="1:6">
      <c r="A35" s="16" t="s">
        <v>154</v>
      </c>
      <c r="B35" s="17" t="s">
        <v>29</v>
      </c>
      <c r="C35" s="22">
        <f>C30*C17</f>
        <v>4964.45066725586</v>
      </c>
      <c r="D35" s="22"/>
      <c r="E35" s="22">
        <f>E30*E17</f>
        <v>3834.0343683058768</v>
      </c>
      <c r="F35" s="18"/>
    </row>
    <row r="36" spans="1:6">
      <c r="A36" s="16"/>
      <c r="B36" s="17"/>
      <c r="C36" s="17"/>
      <c r="D36" s="17"/>
      <c r="E36" s="17"/>
      <c r="F36" s="18"/>
    </row>
    <row r="37" spans="1:6">
      <c r="A37" s="16" t="s">
        <v>155</v>
      </c>
      <c r="B37" s="17"/>
      <c r="C37" s="26">
        <f>C28/C35</f>
        <v>1.6191666666666669</v>
      </c>
      <c r="D37" s="26"/>
      <c r="E37" s="26">
        <f>C28/E35</f>
        <v>2.0965573770491805</v>
      </c>
      <c r="F37" s="18"/>
    </row>
    <row r="38" spans="1:6">
      <c r="A38" s="16"/>
      <c r="B38" s="17"/>
      <c r="C38" s="26"/>
      <c r="D38" s="26"/>
      <c r="E38" s="26"/>
      <c r="F38" s="18"/>
    </row>
    <row r="39" spans="1:6">
      <c r="A39" s="16" t="s">
        <v>156</v>
      </c>
      <c r="B39" s="17" t="s">
        <v>29</v>
      </c>
      <c r="C39" s="25">
        <f>C28+C35</f>
        <v>13002.723705987641</v>
      </c>
      <c r="D39" s="25"/>
      <c r="E39" s="25">
        <f>C28+E35</f>
        <v>11872.307407037657</v>
      </c>
      <c r="F39" s="18" t="s">
        <v>157</v>
      </c>
    </row>
    <row r="40" spans="1:6" ht="15" thickBot="1">
      <c r="A40" s="16"/>
      <c r="B40" s="17"/>
      <c r="C40" s="25"/>
      <c r="D40" s="25"/>
      <c r="E40" s="25"/>
      <c r="F40" s="18"/>
    </row>
    <row r="41" spans="1:6">
      <c r="A41" s="1" t="s">
        <v>158</v>
      </c>
      <c r="B41" s="2"/>
      <c r="C41" s="31"/>
      <c r="D41" s="31"/>
      <c r="E41" s="31"/>
      <c r="F41" s="3"/>
    </row>
    <row r="42" spans="1:6">
      <c r="A42" s="4" t="s">
        <v>159</v>
      </c>
      <c r="B42" s="5" t="s">
        <v>68</v>
      </c>
      <c r="C42" s="7">
        <f>C39/1005/15</f>
        <v>0.86253556921974406</v>
      </c>
      <c r="D42" s="7"/>
      <c r="E42" s="7">
        <f>E39/1005/15</f>
        <v>0.78754941340216633</v>
      </c>
      <c r="F42" s="6"/>
    </row>
    <row r="43" spans="1:6">
      <c r="A43" s="4" t="s">
        <v>160</v>
      </c>
      <c r="B43" s="5" t="s">
        <v>91</v>
      </c>
      <c r="C43" s="7">
        <f>100300/287/(273.15+55)</f>
        <v>1.0649926921114621</v>
      </c>
      <c r="D43" s="7"/>
      <c r="E43" s="7">
        <f>100300/287/(273.15+55)</f>
        <v>1.0649926921114621</v>
      </c>
      <c r="F43" s="6" t="s">
        <v>161</v>
      </c>
    </row>
    <row r="44" spans="1:6">
      <c r="A44" s="4" t="s">
        <v>162</v>
      </c>
      <c r="B44" s="5" t="s">
        <v>140</v>
      </c>
      <c r="C44" s="8">
        <f>C42/C43*1000</f>
        <v>809.89811067123378</v>
      </c>
      <c r="D44" s="8"/>
      <c r="E44" s="8">
        <f>E42/E43*1000</f>
        <v>739.48809154808873</v>
      </c>
      <c r="F44" s="6"/>
    </row>
    <row r="45" spans="1:6">
      <c r="A45" s="4" t="s">
        <v>163</v>
      </c>
      <c r="B45" s="5" t="s">
        <v>29</v>
      </c>
      <c r="C45" s="8">
        <f>C44*10/10/0.5</f>
        <v>1619.7962213424676</v>
      </c>
      <c r="D45" s="8"/>
      <c r="E45" s="8">
        <f>E44*10/10/0.5</f>
        <v>1478.9761830961775</v>
      </c>
      <c r="F45" s="6" t="s">
        <v>142</v>
      </c>
    </row>
    <row r="46" spans="1:6">
      <c r="A46" s="4"/>
      <c r="B46" s="5"/>
      <c r="C46" s="5"/>
      <c r="D46" s="5"/>
      <c r="E46" s="5"/>
      <c r="F46" s="6"/>
    </row>
    <row r="47" spans="1:6">
      <c r="A47" s="4" t="s">
        <v>164</v>
      </c>
      <c r="B47" s="5" t="s">
        <v>29</v>
      </c>
      <c r="C47" s="32">
        <f>C45+C35+C26</f>
        <v>7622.5199273301077</v>
      </c>
      <c r="D47" s="32"/>
      <c r="E47" s="32">
        <f>E45+E35+C26</f>
        <v>6351.2835901338349</v>
      </c>
      <c r="F47" s="6"/>
    </row>
    <row r="48" spans="1:6" ht="15" thickBot="1">
      <c r="A48" s="9"/>
      <c r="B48" s="10"/>
      <c r="C48" s="33"/>
      <c r="D48" s="33"/>
      <c r="E48" s="33"/>
      <c r="F48" s="12"/>
    </row>
    <row r="50" spans="1:6" ht="15" thickBot="1">
      <c r="A50" s="27" t="s">
        <v>165</v>
      </c>
      <c r="B50" s="28"/>
      <c r="C50" s="29">
        <f>C28/C47</f>
        <v>1.054542738538605</v>
      </c>
      <c r="D50" s="29"/>
      <c r="E50" s="29">
        <f>C28/E47</f>
        <v>1.2656139384515182</v>
      </c>
      <c r="F50" s="30" t="s">
        <v>166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="235" zoomScaleNormal="235" workbookViewId="0">
      <selection activeCell="C7" sqref="C7"/>
    </sheetView>
  </sheetViews>
  <sheetFormatPr defaultColWidth="9.140625" defaultRowHeight="14.45"/>
  <cols>
    <col min="1" max="1" width="17.5703125" bestFit="1" customWidth="1"/>
    <col min="4" max="4" width="5.85546875" customWidth="1"/>
  </cols>
  <sheetData>
    <row r="1" spans="1:5">
      <c r="C1" t="s">
        <v>167</v>
      </c>
      <c r="E1" t="s">
        <v>168</v>
      </c>
    </row>
    <row r="2" spans="1:5">
      <c r="A2" t="s">
        <v>169</v>
      </c>
      <c r="B2" t="s">
        <v>68</v>
      </c>
      <c r="C2" s="37">
        <v>1.5</v>
      </c>
      <c r="E2" s="37">
        <v>1.5</v>
      </c>
    </row>
    <row r="3" spans="1:5">
      <c r="A3" t="s">
        <v>170</v>
      </c>
      <c r="B3" t="s">
        <v>67</v>
      </c>
      <c r="C3" s="37">
        <f>1013+2</f>
        <v>1015</v>
      </c>
      <c r="E3" s="37">
        <f>1013+4</f>
        <v>1017</v>
      </c>
    </row>
    <row r="4" spans="1:5">
      <c r="A4" t="s">
        <v>171</v>
      </c>
      <c r="B4" t="s">
        <v>67</v>
      </c>
      <c r="C4" s="37">
        <v>1013</v>
      </c>
      <c r="E4" s="37">
        <v>1013</v>
      </c>
    </row>
    <row r="5" spans="1:5">
      <c r="A5" t="s">
        <v>172</v>
      </c>
      <c r="C5" s="37">
        <f>C3/C4</f>
        <v>1.001974333662389</v>
      </c>
      <c r="E5" s="37">
        <f>E3/E4</f>
        <v>1.0039486673247779</v>
      </c>
    </row>
    <row r="6" spans="1:5">
      <c r="A6" t="s">
        <v>173</v>
      </c>
      <c r="B6" t="s">
        <v>5</v>
      </c>
      <c r="C6" s="37">
        <f>C2/(C3*100*0.1562*((C5^(-1.429)-C5^(-1.714))/(273.15+24))^0.5)</f>
        <v>6.8894825103386514E-2</v>
      </c>
      <c r="E6" s="37">
        <f>E2/(E3*100*0.1562*((E5^(-1.429)-E5^(-1.714))/(273.15+24))^0.5)</f>
        <v>4.8719437336543846E-2</v>
      </c>
    </row>
    <row r="7" spans="1:5">
      <c r="A7" t="s">
        <v>174</v>
      </c>
      <c r="B7" t="s">
        <v>5</v>
      </c>
      <c r="C7" s="37">
        <f>C6/0.8</f>
        <v>8.6118531379233143E-2</v>
      </c>
      <c r="E7" s="37">
        <f>E6/0.8</f>
        <v>6.0899296670679802E-2</v>
      </c>
    </row>
    <row r="8" spans="1:5">
      <c r="A8" t="s">
        <v>175</v>
      </c>
      <c r="B8" t="s">
        <v>176</v>
      </c>
      <c r="C8" s="37">
        <f>2*(C7/PI())^0.5</f>
        <v>0.33113368854067932</v>
      </c>
      <c r="E8" s="37">
        <f>2*(E7/PI())^0.5</f>
        <v>0.27845896065249537</v>
      </c>
    </row>
    <row r="9" spans="1:5">
      <c r="A9" t="s">
        <v>175</v>
      </c>
      <c r="B9" t="s">
        <v>98</v>
      </c>
      <c r="C9" s="37">
        <f>C8/0.0254</f>
        <v>13.036759391365328</v>
      </c>
      <c r="E9" s="37">
        <f>E8/0.0254</f>
        <v>10.962951206791157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LIEBHERR-AEROSPACE TOULOUSE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Lavergne David (LTS)</dc:creator>
  <cp:keywords/>
  <dc:description/>
  <cp:lastModifiedBy>Akash Sharma</cp:lastModifiedBy>
  <cp:revision/>
  <dcterms:created xsi:type="dcterms:W3CDTF">2012-10-08T07:08:26Z</dcterms:created>
  <dcterms:modified xsi:type="dcterms:W3CDTF">2023-03-06T20:25:42Z</dcterms:modified>
  <cp:category/>
  <cp:contentStatus/>
</cp:coreProperties>
</file>