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605" windowHeight="13860"/>
  </bookViews>
  <sheets>
    <sheet name="15 year model" sheetId="1" r:id="rId1"/>
    <sheet name="20 year model" sheetId="4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6" i="1" l="1"/>
  <c r="H77" i="1"/>
  <c r="H78" i="1"/>
  <c r="D162" i="1"/>
  <c r="E162" i="1"/>
  <c r="F162" i="1"/>
  <c r="F78" i="1"/>
  <c r="F77" i="1"/>
  <c r="F145" i="1"/>
  <c r="K145" i="1"/>
  <c r="K140" i="1"/>
  <c r="M140" i="1"/>
  <c r="H140" i="1"/>
  <c r="I140" i="1"/>
  <c r="F140" i="1"/>
  <c r="G140" i="1"/>
  <c r="E140" i="1"/>
  <c r="J145" i="1"/>
  <c r="J140" i="1"/>
  <c r="L140" i="1"/>
  <c r="N140" i="1"/>
  <c r="E78" i="1"/>
  <c r="E77" i="1"/>
  <c r="M145" i="1"/>
  <c r="G145" i="1"/>
  <c r="L145" i="1"/>
  <c r="N145" i="1"/>
  <c r="E76" i="1"/>
  <c r="K123" i="1"/>
  <c r="D78" i="1"/>
  <c r="D77" i="1"/>
  <c r="D123" i="1"/>
  <c r="F123" i="1"/>
  <c r="J123" i="1"/>
  <c r="L123" i="1"/>
  <c r="H123" i="1"/>
  <c r="G123" i="1"/>
  <c r="E123" i="1"/>
  <c r="I123" i="1"/>
  <c r="M123" i="1"/>
  <c r="D76" i="1"/>
  <c r="D115" i="1"/>
  <c r="E115" i="1"/>
  <c r="F115" i="1"/>
  <c r="C78" i="1"/>
  <c r="D114" i="1"/>
  <c r="E114" i="1"/>
  <c r="F114" i="1"/>
  <c r="C77" i="1"/>
  <c r="B78" i="1"/>
  <c r="B77" i="1"/>
  <c r="E3" i="1"/>
  <c r="B5" i="1"/>
  <c r="E5" i="1"/>
  <c r="E20" i="1"/>
  <c r="E22" i="1"/>
  <c r="F5" i="1"/>
  <c r="F20" i="1"/>
  <c r="F22" i="1"/>
  <c r="B7" i="1"/>
  <c r="B8" i="1"/>
  <c r="G8" i="1"/>
  <c r="G20" i="1"/>
  <c r="G22" i="1"/>
  <c r="B11" i="1"/>
  <c r="H11" i="1"/>
  <c r="H20" i="1"/>
  <c r="H22" i="1"/>
  <c r="B13" i="1"/>
  <c r="I13" i="1"/>
  <c r="I20" i="1"/>
  <c r="I22" i="1"/>
  <c r="B10" i="1"/>
  <c r="B14" i="1"/>
  <c r="B15" i="1"/>
  <c r="J15" i="1"/>
  <c r="J20" i="1"/>
  <c r="J22" i="1"/>
  <c r="K22" i="1"/>
  <c r="L22" i="1"/>
  <c r="E31" i="1"/>
  <c r="D31" i="1"/>
  <c r="F31" i="1"/>
  <c r="L20" i="1"/>
  <c r="E34" i="1"/>
  <c r="E39" i="1"/>
  <c r="E40" i="1"/>
  <c r="E41" i="1"/>
  <c r="E35" i="1"/>
  <c r="D56" i="1"/>
  <c r="F44" i="1"/>
  <c r="E44" i="1"/>
  <c r="G44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B76" i="1"/>
  <c r="E47" i="1"/>
  <c r="E50" i="1"/>
  <c r="C4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D163" i="1"/>
  <c r="E163" i="1"/>
  <c r="F163" i="1"/>
  <c r="C170" i="1"/>
  <c r="D170" i="1"/>
  <c r="E170" i="1"/>
  <c r="B184" i="1"/>
  <c r="D47" i="1"/>
  <c r="D50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F144" i="1"/>
  <c r="K144" i="1"/>
  <c r="H139" i="1"/>
  <c r="K139" i="1"/>
  <c r="M139" i="1"/>
  <c r="I139" i="1"/>
  <c r="F139" i="1"/>
  <c r="G139" i="1"/>
  <c r="E139" i="1"/>
  <c r="J144" i="1"/>
  <c r="J139" i="1"/>
  <c r="L139" i="1"/>
  <c r="N139" i="1"/>
  <c r="C169" i="1"/>
  <c r="D169" i="1"/>
  <c r="E169" i="1"/>
  <c r="D161" i="1"/>
  <c r="E161" i="1"/>
  <c r="F161" i="1"/>
  <c r="B185" i="1"/>
  <c r="E48" i="4"/>
  <c r="E51" i="4"/>
  <c r="C4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D117" i="4"/>
  <c r="E117" i="4"/>
  <c r="F117" i="4"/>
  <c r="K124" i="4"/>
  <c r="F146" i="4"/>
  <c r="K146" i="4"/>
  <c r="K141" i="4"/>
  <c r="M141" i="4"/>
  <c r="H141" i="4"/>
  <c r="I141" i="4"/>
  <c r="F141" i="4"/>
  <c r="G141" i="4"/>
  <c r="E141" i="4"/>
  <c r="J146" i="4"/>
  <c r="J141" i="4"/>
  <c r="L141" i="4"/>
  <c r="N141" i="4"/>
  <c r="D164" i="4"/>
  <c r="E164" i="4"/>
  <c r="F164" i="4"/>
  <c r="C171" i="4"/>
  <c r="D171" i="4"/>
  <c r="E171" i="4"/>
  <c r="B185" i="4"/>
  <c r="M176" i="4"/>
  <c r="E3" i="4"/>
  <c r="B5" i="4"/>
  <c r="E5" i="4"/>
  <c r="E20" i="4"/>
  <c r="F5" i="4"/>
  <c r="F20" i="4"/>
  <c r="B7" i="4"/>
  <c r="B8" i="4"/>
  <c r="G8" i="4"/>
  <c r="G20" i="4"/>
  <c r="B11" i="4"/>
  <c r="H11" i="4"/>
  <c r="H20" i="4"/>
  <c r="B13" i="4"/>
  <c r="I13" i="4"/>
  <c r="I20" i="4"/>
  <c r="B10" i="4"/>
  <c r="B14" i="4"/>
  <c r="B15" i="4"/>
  <c r="J15" i="4"/>
  <c r="J20" i="4"/>
  <c r="L20" i="4"/>
  <c r="E36" i="4"/>
  <c r="J33" i="4"/>
  <c r="K47" i="4"/>
  <c r="E22" i="4"/>
  <c r="F22" i="4"/>
  <c r="G22" i="4"/>
  <c r="H22" i="4"/>
  <c r="I22" i="4"/>
  <c r="J22" i="4"/>
  <c r="K22" i="4"/>
  <c r="L22" i="4"/>
  <c r="F45" i="4"/>
  <c r="E45" i="4"/>
  <c r="G45" i="4"/>
  <c r="J36" i="4"/>
  <c r="K49" i="4"/>
  <c r="E40" i="4"/>
  <c r="E41" i="4"/>
  <c r="E42" i="4"/>
  <c r="J35" i="4"/>
  <c r="K48" i="4"/>
  <c r="M144" i="1"/>
  <c r="G144" i="1"/>
  <c r="E144" i="1"/>
  <c r="L144" i="1"/>
  <c r="N144" i="1"/>
  <c r="D122" i="1"/>
  <c r="H122" i="1"/>
  <c r="G122" i="1"/>
  <c r="E122" i="1"/>
  <c r="I122" i="1"/>
  <c r="F122" i="1"/>
  <c r="J122" i="1"/>
  <c r="L122" i="1"/>
  <c r="M122" i="1"/>
  <c r="F141" i="1"/>
  <c r="F146" i="1"/>
  <c r="K146" i="1"/>
  <c r="H141" i="1"/>
  <c r="K141" i="1"/>
  <c r="M141" i="1"/>
  <c r="I141" i="1"/>
  <c r="G141" i="1"/>
  <c r="E141" i="1"/>
  <c r="J146" i="1"/>
  <c r="J141" i="1"/>
  <c r="L141" i="1"/>
  <c r="N141" i="1"/>
  <c r="F142" i="4"/>
  <c r="F147" i="4"/>
  <c r="K147" i="4"/>
  <c r="H142" i="4"/>
  <c r="K142" i="4"/>
  <c r="M142" i="4"/>
  <c r="I142" i="4"/>
  <c r="G142" i="4"/>
  <c r="E142" i="4"/>
  <c r="J147" i="4"/>
  <c r="J142" i="4"/>
  <c r="L142" i="4"/>
  <c r="N142" i="4"/>
  <c r="F145" i="4"/>
  <c r="K145" i="4"/>
  <c r="H140" i="4"/>
  <c r="K140" i="4"/>
  <c r="M140" i="4"/>
  <c r="I140" i="4"/>
  <c r="F140" i="4"/>
  <c r="G140" i="4"/>
  <c r="E140" i="4"/>
  <c r="J145" i="4"/>
  <c r="J140" i="4"/>
  <c r="L140" i="4"/>
  <c r="N140" i="4"/>
  <c r="M146" i="1"/>
  <c r="G146" i="1"/>
  <c r="L146" i="1"/>
  <c r="N146" i="1"/>
  <c r="M146" i="4"/>
  <c r="G146" i="4"/>
  <c r="L146" i="4"/>
  <c r="N146" i="4"/>
  <c r="M147" i="4"/>
  <c r="G147" i="4"/>
  <c r="L147" i="4"/>
  <c r="N147" i="4"/>
  <c r="M145" i="4"/>
  <c r="G145" i="4"/>
  <c r="E145" i="4"/>
  <c r="L145" i="4"/>
  <c r="N145" i="4"/>
  <c r="D123" i="4"/>
  <c r="H123" i="4"/>
  <c r="G123" i="4"/>
  <c r="E123" i="4"/>
  <c r="I123" i="4"/>
  <c r="H43" i="4"/>
  <c r="F42" i="4"/>
  <c r="K36" i="4"/>
  <c r="J29" i="4"/>
  <c r="J30" i="4"/>
  <c r="E31" i="4"/>
  <c r="D31" i="4"/>
  <c r="F31" i="4"/>
  <c r="J31" i="4"/>
  <c r="E35" i="4"/>
  <c r="J32" i="4"/>
  <c r="J34" i="4"/>
  <c r="K35" i="4"/>
  <c r="K37" i="4"/>
  <c r="L35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A22" i="4"/>
  <c r="W57" i="4"/>
  <c r="X57" i="4"/>
  <c r="B77" i="4"/>
  <c r="D125" i="4"/>
  <c r="E125" i="4"/>
  <c r="D124" i="4"/>
  <c r="E124" i="4"/>
  <c r="F125" i="4"/>
  <c r="F124" i="4"/>
  <c r="F123" i="4"/>
  <c r="H124" i="4"/>
  <c r="H125" i="4"/>
  <c r="C170" i="4"/>
  <c r="D170" i="4"/>
  <c r="E170" i="4"/>
  <c r="D163" i="4"/>
  <c r="E163" i="4"/>
  <c r="F163" i="4"/>
  <c r="D162" i="4"/>
  <c r="E162" i="4"/>
  <c r="F162" i="4"/>
  <c r="J125" i="4"/>
  <c r="L125" i="4"/>
  <c r="J124" i="4"/>
  <c r="L124" i="4"/>
  <c r="J123" i="4"/>
  <c r="L123" i="4"/>
  <c r="D48" i="4"/>
  <c r="D51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D115" i="4"/>
  <c r="E115" i="4"/>
  <c r="F115" i="4"/>
  <c r="K123" i="4"/>
  <c r="B186" i="4"/>
  <c r="H153" i="4"/>
  <c r="H152" i="4"/>
  <c r="H154" i="4"/>
  <c r="O141" i="4"/>
  <c r="G125" i="4"/>
  <c r="I125" i="4"/>
  <c r="M125" i="4"/>
  <c r="K125" i="4"/>
  <c r="G124" i="4"/>
  <c r="I124" i="4"/>
  <c r="M124" i="4"/>
  <c r="M123" i="4"/>
  <c r="G117" i="4"/>
  <c r="D116" i="4"/>
  <c r="E116" i="4"/>
  <c r="G116" i="4"/>
  <c r="F116" i="4"/>
  <c r="G115" i="4"/>
  <c r="C79" i="4"/>
  <c r="D79" i="4"/>
  <c r="E79" i="4"/>
  <c r="F79" i="4"/>
  <c r="G79" i="4"/>
  <c r="H79" i="4"/>
  <c r="D77" i="4"/>
  <c r="E77" i="4"/>
  <c r="H77" i="4"/>
  <c r="I79" i="4"/>
  <c r="C78" i="4"/>
  <c r="D78" i="4"/>
  <c r="E78" i="4"/>
  <c r="F78" i="4"/>
  <c r="G78" i="4"/>
  <c r="H78" i="4"/>
  <c r="I78" i="4"/>
  <c r="B72" i="4"/>
  <c r="E72" i="4"/>
  <c r="E74" i="4"/>
  <c r="G74" i="4"/>
  <c r="F74" i="4"/>
  <c r="E73" i="4"/>
  <c r="F73" i="4"/>
  <c r="AK57" i="4"/>
  <c r="AL57" i="4"/>
  <c r="AL58" i="4"/>
  <c r="AL59" i="4"/>
  <c r="K43" i="4"/>
  <c r="K44" i="4"/>
  <c r="K45" i="4"/>
  <c r="K46" i="4"/>
  <c r="K50" i="4"/>
  <c r="I36" i="4"/>
  <c r="J49" i="4"/>
  <c r="I35" i="4"/>
  <c r="J48" i="4"/>
  <c r="I33" i="4"/>
  <c r="J47" i="4"/>
  <c r="I32" i="4"/>
  <c r="J46" i="4"/>
  <c r="J45" i="4"/>
  <c r="H45" i="4"/>
  <c r="J44" i="4"/>
  <c r="J43" i="4"/>
  <c r="L32" i="4"/>
  <c r="D23" i="4"/>
  <c r="B17" i="4"/>
  <c r="B16" i="4"/>
  <c r="H44" i="1"/>
  <c r="I78" i="1"/>
  <c r="I77" i="1"/>
  <c r="H152" i="1"/>
  <c r="H151" i="1"/>
  <c r="H153" i="1"/>
  <c r="O140" i="1"/>
  <c r="D124" i="1"/>
  <c r="F124" i="1"/>
  <c r="J124" i="1"/>
  <c r="L124" i="1"/>
  <c r="H124" i="1"/>
  <c r="G124" i="1"/>
  <c r="E124" i="1"/>
  <c r="I124" i="1"/>
  <c r="M124" i="1"/>
  <c r="J35" i="1"/>
  <c r="L32" i="1"/>
  <c r="J34" i="1"/>
  <c r="J29" i="1"/>
  <c r="J30" i="1"/>
  <c r="J31" i="1"/>
  <c r="J32" i="1"/>
  <c r="J33" i="1"/>
  <c r="K34" i="1"/>
  <c r="K47" i="1"/>
  <c r="K42" i="1"/>
  <c r="K43" i="1"/>
  <c r="K44" i="1"/>
  <c r="K45" i="1"/>
  <c r="K46" i="1"/>
  <c r="K48" i="1"/>
  <c r="K49" i="1"/>
  <c r="J43" i="1"/>
  <c r="J44" i="1"/>
  <c r="I32" i="1"/>
  <c r="J45" i="1"/>
  <c r="I33" i="1"/>
  <c r="J46" i="1"/>
  <c r="I34" i="1"/>
  <c r="J47" i="1"/>
  <c r="I35" i="1"/>
  <c r="J48" i="1"/>
  <c r="J42" i="1"/>
  <c r="K35" i="1"/>
  <c r="K36" i="1"/>
  <c r="L34" i="1"/>
  <c r="D23" i="1"/>
  <c r="K124" i="1"/>
  <c r="K122" i="1"/>
  <c r="G115" i="1"/>
  <c r="D116" i="1"/>
  <c r="E116" i="1"/>
  <c r="G116" i="1"/>
  <c r="G114" i="1"/>
  <c r="F116" i="1"/>
  <c r="AK56" i="1"/>
  <c r="AL56" i="1"/>
  <c r="AL57" i="1"/>
  <c r="AL58" i="1"/>
  <c r="B71" i="1"/>
  <c r="E71" i="1"/>
  <c r="E73" i="1"/>
  <c r="G73" i="1"/>
  <c r="F73" i="1"/>
  <c r="E72" i="1"/>
  <c r="F72" i="1"/>
  <c r="A22" i="1"/>
  <c r="B17" i="1"/>
  <c r="B16" i="1"/>
</calcChain>
</file>

<file path=xl/sharedStrings.xml><?xml version="1.0" encoding="utf-8"?>
<sst xmlns="http://schemas.openxmlformats.org/spreadsheetml/2006/main" count="372" uniqueCount="189">
  <si>
    <t>Number of Meter Gateways</t>
  </si>
  <si>
    <t>T1410</t>
  </si>
  <si>
    <t>T6320</t>
  </si>
  <si>
    <t>T7320</t>
  </si>
  <si>
    <t>Helpers per MG</t>
  </si>
  <si>
    <t>Number of Helpers</t>
  </si>
  <si>
    <t>Avg MG per PTP/PTMP Cluster</t>
  </si>
  <si>
    <t>PTP/PTMP Clusters</t>
  </si>
  <si>
    <t>PTP/PTMP Served Gateways</t>
  </si>
  <si>
    <t>% of links PTMP range</t>
  </si>
  <si>
    <t>% of links PTP only range</t>
  </si>
  <si>
    <t>PTMP Client Radios</t>
  </si>
  <si>
    <t>Avg PTMP Clients per Master</t>
  </si>
  <si>
    <t>PTMP Master Radios</t>
  </si>
  <si>
    <t>PTP Links</t>
  </si>
  <si>
    <t>PTP radios</t>
  </si>
  <si>
    <t>PTMP Client</t>
  </si>
  <si>
    <t>PTMP Master</t>
  </si>
  <si>
    <t>PTP</t>
  </si>
  <si>
    <t>Tower Mounted (PTP+PTMP) radios</t>
  </si>
  <si>
    <t>Mast Mounted Radios (clear of trees)</t>
  </si>
  <si>
    <t>Backhaul Network</t>
  </si>
  <si>
    <t>Tropos</t>
  </si>
  <si>
    <t>Leased Line Replacement</t>
  </si>
  <si>
    <t>Susbstation Automation</t>
  </si>
  <si>
    <t>-</t>
  </si>
  <si>
    <t>total</t>
  </si>
  <si>
    <t>Public Wireless Network (Average Data Use)</t>
  </si>
  <si>
    <t>Public Wireless Network (High Data Use)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</si>
  <si>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</si>
  <si>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</si>
  <si>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</si>
  <si>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</si>
  <si>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</si>
  <si>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</si>
  <si>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</si>
  <si>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</si>
  <si>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</si>
  <si>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</si>
  <si>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</si>
  <si>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</si>
  <si>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</si>
  <si>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</si>
  <si>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</si>
  <si>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Total</t>
  </si>
  <si>
    <t>Tropos Control</t>
  </si>
  <si>
    <t>Server License (10 Licenses included)</t>
  </si>
  <si>
    <t>License per device (router)</t>
  </si>
  <si>
    <t>Totals</t>
  </si>
  <si>
    <t>Control for Network</t>
  </si>
  <si>
    <t>Tropos Professional Services</t>
  </si>
  <si>
    <t>Design, Engineering Support, Project Management, network tuning</t>
  </si>
  <si>
    <t>Installation (optional)</t>
  </si>
  <si>
    <t>Cost per device</t>
  </si>
  <si>
    <t>Tropos Support</t>
  </si>
  <si>
    <t>Dual Radio</t>
  </si>
  <si>
    <t>Standard Support Single Radio (includes 1410 and PTP/PTMP radios)</t>
  </si>
  <si>
    <t>15 year model</t>
  </si>
  <si>
    <t>Cost per device (per 1 yr contract)</t>
  </si>
  <si>
    <t>Total/yr</t>
  </si>
  <si>
    <t>Replacement Cost</t>
  </si>
  <si>
    <t>Field Failure Rate</t>
  </si>
  <si>
    <t>field failure rate (based on MTBF and 1B field operational hrs)</t>
  </si>
  <si>
    <t>estimated number of devices replaced per year</t>
  </si>
  <si>
    <t>average cost per device</t>
  </si>
  <si>
    <t>annual replacement cost (off warranty)</t>
  </si>
  <si>
    <t>Cost of Cellular Modem</t>
  </si>
  <si>
    <t>Cost per month of M2M plan - Avg Data Use (60Mb/mo/collector)</t>
  </si>
  <si>
    <t>Cost per month of M2M plan - High Data Use (</t>
  </si>
  <si>
    <t>MB per day per meter at 15 min read (1kb per read</t>
  </si>
  <si>
    <t>=data per month in mb</t>
  </si>
  <si>
    <t>=data per month in GB</t>
  </si>
  <si>
    <t>Cost of Cellular Modems for 3300 collectors</t>
  </si>
  <si>
    <t>Cost of data plans per month (average data)</t>
  </si>
  <si>
    <t>Cost of data plans per month (high data)</t>
  </si>
  <si>
    <t>Cost of data plans per year (average data)</t>
  </si>
  <si>
    <t>Cost of data plans per year (high data)</t>
  </si>
  <si>
    <t>Leased Line Replacement Model</t>
  </si>
  <si>
    <t>Hypothetical 1000 distribution substations</t>
  </si>
  <si>
    <t>800 connected by leased line</t>
  </si>
  <si>
    <t>Different levels of replaced leased lines shown</t>
  </si>
  <si>
    <t>Cost per leased line per month</t>
  </si>
  <si>
    <t>Savings per month</t>
  </si>
  <si>
    <t>Number of Substations</t>
  </si>
  <si>
    <t>Savings per year</t>
  </si>
  <si>
    <t>Savings over 15 years</t>
  </si>
  <si>
    <t>Savings over 20 years</t>
  </si>
  <si>
    <t>Substation Automation Communications</t>
  </si>
  <si>
    <t>Number of Distribution Substations</t>
  </si>
  <si>
    <t xml:space="preserve">Cost of trenching in average substation 100x1x1 trench </t>
  </si>
  <si>
    <t>Number of devices per substation to automate</t>
  </si>
  <si>
    <t>Number of Tropos 1410 Bridges Necessary to Connect Devices</t>
  </si>
  <si>
    <t>Cost of Tropos 1410 Client</t>
  </si>
  <si>
    <t>Cost of Tropos Devices</t>
  </si>
  <si>
    <t>Cost of Tropos Support</t>
  </si>
  <si>
    <t>Cost of Tropos Control Licenses</t>
  </si>
  <si>
    <t>Cost of Services</t>
  </si>
  <si>
    <t>Total Tropos Costs</t>
  </si>
  <si>
    <t>Annual Cost</t>
  </si>
  <si>
    <t>Cost of Trenching Alone</t>
  </si>
  <si>
    <t>Distiribution Automation  Model</t>
  </si>
  <si>
    <t>Tower Construction Costs (150-200 ft tower)</t>
  </si>
  <si>
    <t xml:space="preserve">Cost of WiMax Base Station </t>
  </si>
  <si>
    <t>Cost of WiMax Client Unit</t>
  </si>
  <si>
    <t>Tower Costs</t>
  </si>
  <si>
    <t>Tower Construction Cost (150-200 foot tower)</t>
  </si>
  <si>
    <t>New Towers Needed for Tropos Architecture</t>
  </si>
  <si>
    <t>Towers per substation for full WiMax coverage</t>
  </si>
  <si>
    <t>Number of towers already built and used in Tropos Design</t>
  </si>
  <si>
    <t>Towers Needed (assume use of existing towers)</t>
  </si>
  <si>
    <t>tower costs for wimax</t>
  </si>
  <si>
    <t>Assumed number of feeders per substation</t>
  </si>
  <si>
    <t>Assumed number of devices to automate per feeder</t>
  </si>
  <si>
    <t>Base Station Costs</t>
  </si>
  <si>
    <t>Base stations per substation (assume 4 per tower)</t>
  </si>
  <si>
    <t>WiMax</t>
  </si>
  <si>
    <t>Tropos Needs 100 towers total for design</t>
  </si>
  <si>
    <t>Cost of Tropos Client Units</t>
  </si>
  <si>
    <t>Tower Costs with Tropos (already accounted for)</t>
  </si>
  <si>
    <t xml:space="preserve">Base Station units (already accounted for in Tropos) </t>
  </si>
  <si>
    <t>Base Station Costs (already accounted for)</t>
  </si>
  <si>
    <t>total feeder IEDs to automate - client units needed</t>
  </si>
  <si>
    <t>cost of client units</t>
  </si>
  <si>
    <t>NMS/Tropos Control Licenses</t>
  </si>
  <si>
    <t>Support on 1410 Bridge</t>
  </si>
  <si>
    <t>Tropos Control License for 1410 Bridge</t>
  </si>
  <si>
    <t>Professional Services</t>
  </si>
  <si>
    <t>Support/yr</t>
  </si>
  <si>
    <t>Mobile Workforce Data Plan Replacement</t>
  </si>
  <si>
    <t>Cost of Enterprise Data Plan on Verizon Wireless 5GB data per month</t>
  </si>
  <si>
    <t>Number of Mobile Workers Who Need Access</t>
  </si>
  <si>
    <t>Monthly Expense of Data Plans Saved</t>
  </si>
  <si>
    <t>Annual Savings from Expense of Data Plans</t>
  </si>
  <si>
    <t>15 year savings</t>
  </si>
  <si>
    <t>Selling Services to Municipalities</t>
  </si>
  <si>
    <t>Tropos Routers</t>
  </si>
  <si>
    <t>Towers</t>
  </si>
  <si>
    <t>Annual Cost x 15</t>
  </si>
  <si>
    <t>15 year support</t>
  </si>
  <si>
    <t>Number of Distribution Substations out of which to run DA applications</t>
  </si>
  <si>
    <t>Wilkes Barre - paid to Frontier</t>
  </si>
  <si>
    <t xml:space="preserve">Penetration Rate </t>
  </si>
  <si>
    <t>Population Served</t>
  </si>
  <si>
    <t>per citizen per month conservative</t>
  </si>
  <si>
    <t>per citizen per month aggressive</t>
  </si>
  <si>
    <t xml:space="preserve">Amount per month </t>
  </si>
  <si>
    <t>Conservative</t>
  </si>
  <si>
    <t>Amount per year</t>
  </si>
  <si>
    <t>Amount over 15 years</t>
  </si>
  <si>
    <t>Aggressive</t>
  </si>
  <si>
    <t>Total Costs of Public Network and other Tech to do what Tropos does</t>
  </si>
  <si>
    <t>15 year cost</t>
  </si>
  <si>
    <t>Minimal Deployment</t>
  </si>
  <si>
    <t>Tropos Costs</t>
  </si>
  <si>
    <t xml:space="preserve">WiMAX Costs </t>
  </si>
  <si>
    <t>Distribution Automation</t>
  </si>
  <si>
    <t>Municipal Services Offset</t>
  </si>
  <si>
    <t>Public Wireless Network (AMI Two Reads Per Day)</t>
  </si>
  <si>
    <t>Public Wireless Network (AMI 15 Minute Interval Reads)</t>
  </si>
  <si>
    <t>20 year model</t>
  </si>
  <si>
    <t>Year 16</t>
  </si>
  <si>
    <t>Year 17</t>
  </si>
  <si>
    <t>Year 19</t>
  </si>
  <si>
    <t>Annual Cost x 20</t>
  </si>
  <si>
    <t>20 year support</t>
  </si>
  <si>
    <t>20 year savings</t>
  </si>
  <si>
    <t>Amount over 20 years</t>
  </si>
  <si>
    <t>Cost of Services*</t>
  </si>
  <si>
    <t>*Assume initial services @500 for install and with refresh it would only be 250</t>
  </si>
  <si>
    <t>Professional Services*</t>
  </si>
  <si>
    <t>*500 Initial, 250 for refresh</t>
  </si>
  <si>
    <t xml:space="preserve">cost of client units* </t>
  </si>
  <si>
    <t>*(assume tropos network refresh at 20 years)</t>
  </si>
  <si>
    <t>Cost of Tropos Devices*</t>
  </si>
  <si>
    <t>* (assume full network refresh at 20 years)</t>
  </si>
  <si>
    <t>Year 20*</t>
  </si>
  <si>
    <t>Year 18*</t>
  </si>
  <si>
    <t>Year 12*</t>
  </si>
  <si>
    <t>Year 6*</t>
  </si>
  <si>
    <t>* assume full cellular network refresh every 6 years</t>
  </si>
  <si>
    <t>Install 2</t>
  </si>
  <si>
    <t xml:space="preserve">Total Tropos Costs one time </t>
  </si>
  <si>
    <t>Best Alternative Network
(AMI Two Reads Per Day)</t>
  </si>
  <si>
    <t>Best Alternative Network
(AMI 15 Minute Interval Reads)</t>
  </si>
  <si>
    <t>Susbstation Automation (Alt = Wired)</t>
  </si>
  <si>
    <t>Substation Backhaul (Alt = Leased Lines)</t>
  </si>
  <si>
    <t>Distribution Automation (Alt = Private WiMAX)</t>
  </si>
  <si>
    <t>Mobile Workforce Data (Alt = Cellular)</t>
  </si>
  <si>
    <t>AMI Backhaul (Alt = Cellular)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</si>
</sst>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[$$-409]* #,##0.00_);_([$$-409]* \(#,##0.00\);_([$$-409]* &quot;-&quot;??_);_(@_)"/>
    <numFmt numFmtId="166" formatCode="&quot;$&quot;#,##0.00"/>
    <numFmt numFmtId="167" formatCode="_([$$-409]* #,##0_);_([$$-409]* \(#,##0\);_([$$-409]* &quot;-&quot;??_);_(@_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61">
    <xf numFmtId="0" fontId="0" fillId="0" borderId="0" xfId="0"/>
    <xf numFmtId="164" fontId="0" fillId="0" borderId="0" xfId="0" applyNumberFormat="1"/>
    <xf numFmtId="165" fontId="0" fillId="0" borderId="0" xfId="0" applyNumberFormat="1"/>
    <xf numFmtId="8" fontId="0" fillId="0" borderId="0" xfId="0" applyNumberFormat="1"/>
    <xf numFmtId="165" fontId="5" fillId="0" borderId="0" xfId="0" applyNumberFormat="1" applyFont="1"/>
    <xf numFmtId="166" fontId="0" fillId="0" borderId="0" xfId="0" applyNumberForma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5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10" xfId="0" applyNumberFormat="1" applyBorder="1"/>
    <xf numFmtId="0" fontId="0" fillId="0" borderId="10" xfId="0" applyBorder="1"/>
    <xf numFmtId="165" fontId="0" fillId="0" borderId="11" xfId="0" applyNumberFormat="1" applyBorder="1"/>
    <xf numFmtId="0" fontId="5" fillId="0" borderId="1" xfId="0" applyFont="1" applyBorder="1"/>
    <xf numFmtId="8" fontId="4" fillId="0" borderId="0" xfId="0" applyNumberFormat="1" applyFont="1" applyBorder="1"/>
    <xf numFmtId="0" fontId="5" fillId="0" borderId="5" xfId="0" applyFont="1" applyBorder="1"/>
    <xf numFmtId="0" fontId="0" fillId="0" borderId="6" xfId="0" applyBorder="1"/>
    <xf numFmtId="8" fontId="0" fillId="0" borderId="7" xfId="0" applyNumberFormat="1" applyBorder="1"/>
    <xf numFmtId="8" fontId="0" fillId="0" borderId="8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0" xfId="0" applyNumberFormat="1" applyBorder="1"/>
    <xf numFmtId="8" fontId="0" fillId="0" borderId="5" xfId="0" applyNumberFormat="1" applyBorder="1"/>
    <xf numFmtId="165" fontId="5" fillId="0" borderId="7" xfId="0" applyNumberFormat="1" applyFont="1" applyBorder="1"/>
    <xf numFmtId="165" fontId="0" fillId="0" borderId="2" xfId="0" applyNumberFormat="1" applyFont="1" applyBorder="1"/>
    <xf numFmtId="10" fontId="0" fillId="0" borderId="7" xfId="0" applyNumberFormat="1" applyBorder="1"/>
    <xf numFmtId="43" fontId="3" fillId="0" borderId="7" xfId="5" applyFont="1" applyBorder="1"/>
    <xf numFmtId="166" fontId="0" fillId="0" borderId="7" xfId="0" applyNumberFormat="1" applyBorder="1"/>
    <xf numFmtId="165" fontId="5" fillId="0" borderId="8" xfId="0" applyNumberFormat="1" applyFont="1" applyBorder="1"/>
    <xf numFmtId="165" fontId="0" fillId="0" borderId="4" xfId="0" applyNumberFormat="1" applyBorder="1"/>
    <xf numFmtId="165" fontId="0" fillId="0" borderId="0" xfId="0" applyNumberFormat="1" applyFont="1" applyBorder="1"/>
    <xf numFmtId="165" fontId="5" fillId="0" borderId="0" xfId="0" applyNumberFormat="1" applyFont="1" applyBorder="1"/>
    <xf numFmtId="165" fontId="0" fillId="0" borderId="7" xfId="0" applyNumberFormat="1" applyBorder="1"/>
    <xf numFmtId="165" fontId="0" fillId="0" borderId="7" xfId="0" applyNumberFormat="1" applyFont="1" applyBorder="1"/>
    <xf numFmtId="166" fontId="0" fillId="0" borderId="0" xfId="0" applyNumberFormat="1" applyBorder="1"/>
    <xf numFmtId="0" fontId="0" fillId="0" borderId="0" xfId="0" applyNumberFormat="1"/>
    <xf numFmtId="0" fontId="0" fillId="0" borderId="4" xfId="0" applyFont="1" applyBorder="1"/>
    <xf numFmtId="166" fontId="0" fillId="0" borderId="4" xfId="0" applyNumberFormat="1" applyBorder="1"/>
    <xf numFmtId="0" fontId="0" fillId="0" borderId="0" xfId="0" applyFill="1" applyBorder="1"/>
    <xf numFmtId="0" fontId="0" fillId="2" borderId="0" xfId="0" applyFill="1"/>
    <xf numFmtId="165" fontId="0" fillId="2" borderId="0" xfId="0" applyNumberFormat="1" applyFill="1"/>
    <xf numFmtId="0" fontId="5" fillId="0" borderId="5" xfId="0" applyFont="1" applyFill="1" applyBorder="1"/>
    <xf numFmtId="0" fontId="5" fillId="0" borderId="5" xfId="0" applyFont="1" applyBorder="1" applyAlignment="1">
      <alignment horizontal="center"/>
    </xf>
    <xf numFmtId="8" fontId="0" fillId="0" borderId="4" xfId="0" applyNumberFormat="1" applyBorder="1"/>
    <xf numFmtId="43" fontId="0" fillId="0" borderId="4" xfId="5" applyFont="1" applyBorder="1"/>
    <xf numFmtId="167" fontId="0" fillId="0" borderId="0" xfId="0" applyNumberFormat="1"/>
    <xf numFmtId="0" fontId="5" fillId="0" borderId="4" xfId="0" applyFont="1" applyBorder="1"/>
    <xf numFmtId="165" fontId="0" fillId="0" borderId="8" xfId="0" applyNumberFormat="1" applyBorder="1"/>
    <xf numFmtId="1" fontId="0" fillId="0" borderId="0" xfId="0" applyNumberFormat="1"/>
    <xf numFmtId="1" fontId="0" fillId="0" borderId="0" xfId="62" applyNumberFormat="1" applyFont="1"/>
    <xf numFmtId="0" fontId="0" fillId="0" borderId="0" xfId="0" applyAlignment="1">
      <alignment wrapText="1"/>
    </xf>
  </cellXfs>
  <cellStyles count="63">
    <cellStyle name="Comma" xfId="5" builtinId="3"/>
    <cellStyle name="Currency" xfId="62" builtinId="4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 Year</a:t>
            </a:r>
            <a:r>
              <a:rPr lang="en-US" baseline="0"/>
              <a:t> Total Expense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 year model'!$C$56:$C$58</c:f>
              <c:strCache>
                <c:ptCount val="3"/>
                <c:pt idx="0">
                  <c:v>Tropos</c:v>
                </c:pt>
                <c:pt idx="1">
                  <c:v>Public Wireless Network (Average Data Use)</c:v>
                </c:pt>
                <c:pt idx="2">
                  <c:v>Public Wireless Network (High Data Use)</c:v>
                </c:pt>
              </c:strCache>
            </c:strRef>
          </c:cat>
          <c:val>
            <c:numRef>
              <c:f>'15 year model'!$S$56:$S$58</c:f>
              <c:numCache>
                <c:formatCode>_([$$-409]* #,##0.00_);_([$$-409]* \(#,##0.00\);_([$$-409]* "-"??_);_(@_)</c:formatCode>
                <c:ptCount val="3"/>
                <c:pt idx="0" formatCode="&quot;$&quot;#,##0.00">
                  <c:v>100060935.625</c:v>
                </c:pt>
                <c:pt idx="1">
                  <c:v>14850000</c:v>
                </c:pt>
                <c:pt idx="2">
                  <c:v>35640000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1570560"/>
        <c:axId val="91572096"/>
      </c:barChart>
      <c:catAx>
        <c:axId val="91570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91572096"/>
        <c:crosses val="autoZero"/>
        <c:auto val="1"/>
        <c:lblAlgn val="ctr"/>
        <c:lblOffset val="100"/>
        <c:noMultiLvlLbl val="0"/>
      </c:catAx>
      <c:valAx>
        <c:axId val="91572096"/>
        <c:scaling>
          <c:orientation val="minMax"/>
        </c:scaling>
        <c:delete val="0"/>
        <c:axPos val="l"/>
        <c:majorGridlines/>
        <c:numFmt formatCode="&quot;$&quot;#,##0.00" sourceLinked="1"/>
        <c:majorTickMark val="none"/>
        <c:minorTickMark val="none"/>
        <c:tickLblPos val="nextTo"/>
        <c:crossAx val="9157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'15 year model'!$B$75</c:f>
              <c:strCache>
                <c:ptCount val="1"/>
                <c:pt idx="0">
                  <c:v>AMI Backhaul (Alt = Cellular)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 year model'!$A$76:$A$78</c:f>
              <c:strCache>
                <c:ptCount val="3"/>
                <c:pt idx="0">
                  <c:v>Tropos</c:v>
                </c:pt>
                <c:pt idx="1">
                  <c:v>Best Alternative Network
(AMI Two Reads Per Day)</c:v>
                </c:pt>
                <c:pt idx="2">
                  <c:v>Best Alternative Network
(AMI 15 Minute Interval Reads)</c:v>
                </c:pt>
              </c:strCache>
            </c:strRef>
          </c:cat>
          <c:val>
            <c:numRef>
              <c:f>'15 year model'!$B$76:$B$78</c:f>
              <c:numCache>
                <c:formatCode>0</c:formatCode>
                <c:ptCount val="3"/>
                <c:pt idx="0">
                  <c:v>100</c:v>
                </c:pt>
                <c:pt idx="1">
                  <c:v>14.840956570357875</c:v>
                </c:pt>
                <c:pt idx="2">
                  <c:v>35.6182957688589</c:v>
                </c:pt>
              </c:numCache>
            </c:numRef>
          </c:val>
        </c:ser>
        <c:ser>
          <c:idx val="1"/>
          <c:order val="1"/>
          <c:tx>
            <c:strRef>
              <c:f>'15 year model'!$C$75</c:f>
              <c:strCache>
                <c:ptCount val="1"/>
                <c:pt idx="0">
                  <c:v>Substation Backhaul (Alt = Leased Lines)</c:v>
                </c:pt>
              </c:strCache>
            </c:strRef>
          </c:tx>
          <c:invertIfNegative val="0"/>
          <c:dLbls>
            <c:dLbl>
              <c:idx val="0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 year model'!$A$76:$A$78</c:f>
              <c:strCache>
                <c:ptCount val="3"/>
                <c:pt idx="0">
                  <c:v>Tropos</c:v>
                </c:pt>
                <c:pt idx="1">
                  <c:v>Best Alternative Network
(AMI Two Reads Per Day)</c:v>
                </c:pt>
                <c:pt idx="2">
                  <c:v>Best Alternative Network
(AMI 15 Minute Interval Reads)</c:v>
                </c:pt>
              </c:strCache>
            </c:strRef>
          </c:cat>
          <c:val>
            <c:numRef>
              <c:f>'15 year model'!$C$76:$C$78</c:f>
              <c:numCache>
                <c:formatCode>0</c:formatCode>
                <c:ptCount val="3"/>
                <c:pt idx="0" formatCode="General">
                  <c:v>0</c:v>
                </c:pt>
                <c:pt idx="1">
                  <c:v>16.190134440390409</c:v>
                </c:pt>
                <c:pt idx="2">
                  <c:v>32.380268880780818</c:v>
                </c:pt>
              </c:numCache>
            </c:numRef>
          </c:val>
        </c:ser>
        <c:ser>
          <c:idx val="3"/>
          <c:order val="2"/>
          <c:tx>
            <c:strRef>
              <c:f>'15 year model'!$E$75</c:f>
              <c:strCache>
                <c:ptCount val="1"/>
                <c:pt idx="0">
                  <c:v>Distribution Automation (Alt = Private WiMAX)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 year model'!$A$76:$A$78</c:f>
              <c:strCache>
                <c:ptCount val="3"/>
                <c:pt idx="0">
                  <c:v>Tropos</c:v>
                </c:pt>
                <c:pt idx="1">
                  <c:v>Best Alternative Network
(AMI Two Reads Per Day)</c:v>
                </c:pt>
                <c:pt idx="2">
                  <c:v>Best Alternative Network
(AMI 15 Minute Interval Reads)</c:v>
                </c:pt>
              </c:strCache>
            </c:strRef>
          </c:cat>
          <c:val>
            <c:numRef>
              <c:f>'15 year model'!$E$76:$E$78</c:f>
              <c:numCache>
                <c:formatCode>0</c:formatCode>
                <c:ptCount val="3"/>
                <c:pt idx="0">
                  <c:v>23.59562186034676</c:v>
                </c:pt>
                <c:pt idx="1">
                  <c:v>90.925094225551817</c:v>
                </c:pt>
                <c:pt idx="2">
                  <c:v>90.925094225551817</c:v>
                </c:pt>
              </c:numCache>
            </c:numRef>
          </c:val>
        </c:ser>
        <c:ser>
          <c:idx val="4"/>
          <c:order val="3"/>
          <c:tx>
            <c:strRef>
              <c:f>'15 year model'!$F$75</c:f>
              <c:strCache>
                <c:ptCount val="1"/>
                <c:pt idx="0">
                  <c:v>Mobile Workforce Data (Alt = Cellular)</c:v>
                </c:pt>
              </c:strCache>
            </c:strRef>
          </c:tx>
          <c:invertIfNegative val="0"/>
          <c:dLbls>
            <c:dLbl>
              <c:idx val="0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 year model'!$A$76:$A$78</c:f>
              <c:strCache>
                <c:ptCount val="3"/>
                <c:pt idx="0">
                  <c:v>Tropos</c:v>
                </c:pt>
                <c:pt idx="1">
                  <c:v>Best Alternative Network
(AMI Two Reads Per Day)</c:v>
                </c:pt>
                <c:pt idx="2">
                  <c:v>Best Alternative Network
(AMI 15 Minute Interval Reads)</c:v>
                </c:pt>
              </c:strCache>
            </c:strRef>
          </c:cat>
          <c:val>
            <c:numRef>
              <c:f>'15 year model'!$F$76:$F$78</c:f>
              <c:numCache>
                <c:formatCode>0</c:formatCode>
                <c:ptCount val="3"/>
                <c:pt idx="0" formatCode="General">
                  <c:v>0</c:v>
                </c:pt>
                <c:pt idx="1">
                  <c:v>4.4972595667751136</c:v>
                </c:pt>
                <c:pt idx="2">
                  <c:v>4.4972595667751136</c:v>
                </c:pt>
              </c:numCache>
            </c:numRef>
          </c:val>
        </c:ser>
        <c:ser>
          <c:idx val="5"/>
          <c:order val="4"/>
          <c:tx>
            <c:strRef>
              <c:f>'15 year model'!$G$75</c:f>
              <c:strCache>
                <c:ptCount val="1"/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 year model'!$A$76:$A$78</c:f>
              <c:strCache>
                <c:ptCount val="3"/>
                <c:pt idx="0">
                  <c:v>Tropos</c:v>
                </c:pt>
                <c:pt idx="1">
                  <c:v>Best Alternative Network
(AMI Two Reads Per Day)</c:v>
                </c:pt>
                <c:pt idx="2">
                  <c:v>Best Alternative Network
(AMI 15 Minute Interval Reads)</c:v>
                </c:pt>
              </c:strCache>
            </c:strRef>
          </c:cat>
          <c:val>
            <c:numRef>
              <c:f>'15 year model'!$G$76:$G$78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367360"/>
        <c:axId val="96368896"/>
      </c:barChart>
      <c:catAx>
        <c:axId val="9636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96368896"/>
        <c:crosses val="autoZero"/>
        <c:auto val="1"/>
        <c:lblAlgn val="ctr"/>
        <c:lblOffset val="100"/>
        <c:noMultiLvlLbl val="0"/>
      </c:catAx>
      <c:valAx>
        <c:axId val="963688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63673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3235408354225"/>
          <c:y val="0.87138631035606495"/>
          <c:w val="0.81610006708802596"/>
          <c:h val="0.10191141995101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 Year</a:t>
            </a:r>
            <a:r>
              <a:rPr lang="en-US" baseline="0"/>
              <a:t> Total Expense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 year model'!$C$57:$C$59</c:f>
              <c:strCache>
                <c:ptCount val="3"/>
                <c:pt idx="0">
                  <c:v>Tropos</c:v>
                </c:pt>
                <c:pt idx="1">
                  <c:v>Public Wireless Network (Average Data Use)</c:v>
                </c:pt>
                <c:pt idx="2">
                  <c:v>Public Wireless Network (High Data Use)</c:v>
                </c:pt>
              </c:strCache>
            </c:strRef>
          </c:cat>
          <c:val>
            <c:numRef>
              <c:f>'20 year model'!$X$57:$X$59</c:f>
              <c:numCache>
                <c:formatCode>_([$$-409]* #,##0.00_);_([$$-409]* \(#,##0.00\);_([$$-409]* "-"??_);_(@_)</c:formatCode>
                <c:ptCount val="3"/>
                <c:pt idx="0" formatCode="&quot;$&quot;#,##0.00">
                  <c:v>159207826.25</c:v>
                </c:pt>
                <c:pt idx="1">
                  <c:v>19800000</c:v>
                </c:pt>
                <c:pt idx="2">
                  <c:v>47520000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6311936"/>
        <c:axId val="96313728"/>
      </c:barChart>
      <c:catAx>
        <c:axId val="96311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96313728"/>
        <c:crosses val="autoZero"/>
        <c:auto val="1"/>
        <c:lblAlgn val="ctr"/>
        <c:lblOffset val="100"/>
        <c:noMultiLvlLbl val="0"/>
      </c:catAx>
      <c:valAx>
        <c:axId val="96313728"/>
        <c:scaling>
          <c:orientation val="minMax"/>
        </c:scaling>
        <c:delete val="0"/>
        <c:axPos val="l"/>
        <c:majorGridlines/>
        <c:numFmt formatCode="&quot;$&quot;#,##0.00" sourceLinked="1"/>
        <c:majorTickMark val="none"/>
        <c:minorTickMark val="none"/>
        <c:tickLblPos val="nextTo"/>
        <c:crossAx val="9631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'20 year model'!$E$2:$K$2</c:f>
              <c:strCache>
                <c:ptCount val="7"/>
                <c:pt idx="0">
                  <c:v>T1410</c:v>
                </c:pt>
                <c:pt idx="1">
                  <c:v>T6320</c:v>
                </c:pt>
                <c:pt idx="2">
                  <c:v>T7320</c:v>
                </c:pt>
                <c:pt idx="3">
                  <c:v>PTMP Client</c:v>
                </c:pt>
                <c:pt idx="4">
                  <c:v>PTMP Master</c:v>
                </c:pt>
                <c:pt idx="5">
                  <c:v>PTP</c:v>
                </c:pt>
                <c:pt idx="6">
                  <c:v>Tower Costs</c:v>
                </c:pt>
              </c:strCache>
            </c:strRef>
          </c:cat>
          <c:val>
            <c:numRef>
              <c:f>'20 year model'!$E$22:$K$22</c:f>
              <c:numCache>
                <c:formatCode>"$"#,##0</c:formatCode>
                <c:ptCount val="7"/>
                <c:pt idx="0">
                  <c:v>13860000</c:v>
                </c:pt>
                <c:pt idx="1">
                  <c:v>29040000</c:v>
                </c:pt>
                <c:pt idx="2">
                  <c:v>3300000</c:v>
                </c:pt>
                <c:pt idx="3">
                  <c:v>1650000</c:v>
                </c:pt>
                <c:pt idx="4">
                  <c:v>1031250</c:v>
                </c:pt>
                <c:pt idx="5">
                  <c:v>1375000</c:v>
                </c:pt>
                <c:pt idx="6">
                  <c:v>2000000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 year model'!$I$29</c:f>
              <c:strCache>
                <c:ptCount val="1"/>
                <c:pt idx="0">
                  <c:v>Tropos Routers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 year model'!$I$29:$I$35</c:f>
              <c:strCache>
                <c:ptCount val="7"/>
                <c:pt idx="0">
                  <c:v>Tropos Routers</c:v>
                </c:pt>
                <c:pt idx="1">
                  <c:v>Towers</c:v>
                </c:pt>
                <c:pt idx="2">
                  <c:v>Tropos Control</c:v>
                </c:pt>
                <c:pt idx="3">
                  <c:v>Design, Engineering Support, Project Management, network tuning</c:v>
                </c:pt>
                <c:pt idx="4">
                  <c:v>Installation (optional)</c:v>
                </c:pt>
                <c:pt idx="5">
                  <c:v>Install 2</c:v>
                </c:pt>
                <c:pt idx="6">
                  <c:v>Tropos Support</c:v>
                </c:pt>
              </c:strCache>
            </c:strRef>
          </c:cat>
          <c:val>
            <c:numRef>
              <c:f>'20 year model'!$J$29</c:f>
              <c:numCache>
                <c:formatCode>"$"#,##0</c:formatCode>
                <c:ptCount val="1"/>
                <c:pt idx="0">
                  <c:v>100512500</c:v>
                </c:pt>
              </c:numCache>
            </c:numRef>
          </c:val>
        </c:ser>
        <c:ser>
          <c:idx val="1"/>
          <c:order val="1"/>
          <c:tx>
            <c:strRef>
              <c:f>'20 year model'!$I$30</c:f>
              <c:strCache>
                <c:ptCount val="1"/>
                <c:pt idx="0">
                  <c:v>Towers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 year model'!$I$29:$I$35</c:f>
              <c:strCache>
                <c:ptCount val="7"/>
                <c:pt idx="0">
                  <c:v>Tropos Routers</c:v>
                </c:pt>
                <c:pt idx="1">
                  <c:v>Towers</c:v>
                </c:pt>
                <c:pt idx="2">
                  <c:v>Tropos Control</c:v>
                </c:pt>
                <c:pt idx="3">
                  <c:v>Design, Engineering Support, Project Management, network tuning</c:v>
                </c:pt>
                <c:pt idx="4">
                  <c:v>Installation (optional)</c:v>
                </c:pt>
                <c:pt idx="5">
                  <c:v>Install 2</c:v>
                </c:pt>
                <c:pt idx="6">
                  <c:v>Tropos Support</c:v>
                </c:pt>
              </c:strCache>
            </c:strRef>
          </c:cat>
          <c:val>
            <c:numRef>
              <c:f>'20 year model'!$J$30</c:f>
              <c:numCache>
                <c:formatCode>"$"#,##0</c:formatCode>
                <c:ptCount val="1"/>
                <c:pt idx="0">
                  <c:v>2000000</c:v>
                </c:pt>
              </c:numCache>
            </c:numRef>
          </c:val>
        </c:ser>
        <c:ser>
          <c:idx val="2"/>
          <c:order val="2"/>
          <c:tx>
            <c:strRef>
              <c:f>'20 year model'!$I$31</c:f>
              <c:strCache>
                <c:ptCount val="1"/>
                <c:pt idx="0">
                  <c:v>Tropos Control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 year model'!$I$29:$I$35</c:f>
              <c:strCache>
                <c:ptCount val="7"/>
                <c:pt idx="0">
                  <c:v>Tropos Routers</c:v>
                </c:pt>
                <c:pt idx="1">
                  <c:v>Towers</c:v>
                </c:pt>
                <c:pt idx="2">
                  <c:v>Tropos Control</c:v>
                </c:pt>
                <c:pt idx="3">
                  <c:v>Design, Engineering Support, Project Management, network tuning</c:v>
                </c:pt>
                <c:pt idx="4">
                  <c:v>Installation (optional)</c:v>
                </c:pt>
                <c:pt idx="5">
                  <c:v>Install 2</c:v>
                </c:pt>
                <c:pt idx="6">
                  <c:v>Tropos Support</c:v>
                </c:pt>
              </c:strCache>
            </c:strRef>
          </c:cat>
          <c:val>
            <c:numRef>
              <c:f>'20 year model'!$J$31</c:f>
              <c:numCache>
                <c:formatCode>"$"#,##0.00_);[Red]\("$"#,##0.00\)</c:formatCode>
                <c:ptCount val="1"/>
                <c:pt idx="0">
                  <c:v>3554170</c:v>
                </c:pt>
              </c:numCache>
            </c:numRef>
          </c:val>
        </c:ser>
        <c:ser>
          <c:idx val="3"/>
          <c:order val="3"/>
          <c:tx>
            <c:strRef>
              <c:f>'20 year model'!$I$32</c:f>
              <c:strCache>
                <c:ptCount val="1"/>
                <c:pt idx="0">
                  <c:v>Design, Engineering Support, Project Management, network tuning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 year model'!$I$29:$I$35</c:f>
              <c:strCache>
                <c:ptCount val="7"/>
                <c:pt idx="0">
                  <c:v>Tropos Routers</c:v>
                </c:pt>
                <c:pt idx="1">
                  <c:v>Towers</c:v>
                </c:pt>
                <c:pt idx="2">
                  <c:v>Tropos Control</c:v>
                </c:pt>
                <c:pt idx="3">
                  <c:v>Design, Engineering Support, Project Management, network tuning</c:v>
                </c:pt>
                <c:pt idx="4">
                  <c:v>Installation (optional)</c:v>
                </c:pt>
                <c:pt idx="5">
                  <c:v>Install 2</c:v>
                </c:pt>
                <c:pt idx="6">
                  <c:v>Tropos Support</c:v>
                </c:pt>
              </c:strCache>
            </c:strRef>
          </c:cat>
          <c:val>
            <c:numRef>
              <c:f>'20 year model'!$J$32</c:f>
              <c:numCache>
                <c:formatCode>"$"#,##0.00_);[Red]\("$"#,##0.00\)</c:formatCode>
                <c:ptCount val="1"/>
                <c:pt idx="0">
                  <c:v>8920312.5</c:v>
                </c:pt>
              </c:numCache>
            </c:numRef>
          </c:val>
        </c:ser>
        <c:ser>
          <c:idx val="4"/>
          <c:order val="4"/>
          <c:tx>
            <c:strRef>
              <c:f>'20 year model'!$I$33</c:f>
              <c:strCache>
                <c:ptCount val="1"/>
                <c:pt idx="0">
                  <c:v>Installation (optional)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 year model'!$I$29:$I$35</c:f>
              <c:strCache>
                <c:ptCount val="7"/>
                <c:pt idx="0">
                  <c:v>Tropos Routers</c:v>
                </c:pt>
                <c:pt idx="1">
                  <c:v>Towers</c:v>
                </c:pt>
                <c:pt idx="2">
                  <c:v>Tropos Control</c:v>
                </c:pt>
                <c:pt idx="3">
                  <c:v>Design, Engineering Support, Project Management, network tuning</c:v>
                </c:pt>
                <c:pt idx="4">
                  <c:v>Installation (optional)</c:v>
                </c:pt>
                <c:pt idx="5">
                  <c:v>Install 2</c:v>
                </c:pt>
                <c:pt idx="6">
                  <c:v>Tropos Support</c:v>
                </c:pt>
              </c:strCache>
            </c:strRef>
          </c:cat>
          <c:val>
            <c:numRef>
              <c:f>'20 year model'!$J$33</c:f>
              <c:numCache>
                <c:formatCode>"$"#,##0.00_);[Red]\("$"#,##0.00\)</c:formatCode>
                <c:ptCount val="1"/>
                <c:pt idx="0">
                  <c:v>8920312.5</c:v>
                </c:pt>
              </c:numCache>
            </c:numRef>
          </c:val>
        </c:ser>
        <c:ser>
          <c:idx val="5"/>
          <c:order val="5"/>
          <c:tx>
            <c:strRef>
              <c:f>'20 year model'!$I$35</c:f>
              <c:strCache>
                <c:ptCount val="1"/>
                <c:pt idx="0">
                  <c:v>Tropos Support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 year model'!$I$29:$I$35</c:f>
              <c:strCache>
                <c:ptCount val="7"/>
                <c:pt idx="0">
                  <c:v>Tropos Routers</c:v>
                </c:pt>
                <c:pt idx="1">
                  <c:v>Towers</c:v>
                </c:pt>
                <c:pt idx="2">
                  <c:v>Tropos Control</c:v>
                </c:pt>
                <c:pt idx="3">
                  <c:v>Design, Engineering Support, Project Management, network tuning</c:v>
                </c:pt>
                <c:pt idx="4">
                  <c:v>Installation (optional)</c:v>
                </c:pt>
                <c:pt idx="5">
                  <c:v>Install 2</c:v>
                </c:pt>
                <c:pt idx="6">
                  <c:v>Tropos Support</c:v>
                </c:pt>
              </c:strCache>
            </c:strRef>
          </c:cat>
          <c:val>
            <c:numRef>
              <c:f>'20 year model'!$J$35</c:f>
              <c:numCache>
                <c:formatCode>_([$$-409]* #,##0.00_);_([$$-409]* \(#,##0.00\);_([$$-409]* "-"??_);_(@_)</c:formatCode>
                <c:ptCount val="1"/>
                <c:pt idx="0">
                  <c:v>1516796.875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6416512"/>
        <c:axId val="96418048"/>
      </c:barChart>
      <c:catAx>
        <c:axId val="96416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96418048"/>
        <c:crosses val="autoZero"/>
        <c:auto val="1"/>
        <c:lblAlgn val="ctr"/>
        <c:lblOffset val="100"/>
        <c:noMultiLvlLbl val="0"/>
      </c:catAx>
      <c:valAx>
        <c:axId val="96418048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crossAx val="96416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188783967793503"/>
          <c:y val="0.42995197715670203"/>
          <c:w val="0.31480388964537298"/>
          <c:h val="0.530205935796487"/>
        </c:manualLayout>
      </c:layout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Savings from Leased Line Replacement over 15 years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Lease Line Replacement over 15 years</c:v>
          </c:tx>
          <c:invertIfNegative val="0"/>
          <c:cat>
            <c:numRef>
              <c:f>'20 year model'!$C$115:$C$117</c:f>
              <c:numCache>
                <c:formatCode>General</c:formatCode>
                <c:ptCount val="3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</c:numCache>
            </c:numRef>
          </c:cat>
          <c:val>
            <c:numRef>
              <c:f>'20 year model'!$F$115:$F$117</c:f>
              <c:numCache>
                <c:formatCode>_([$$-409]* #,##0.00_);_([$$-409]* \(#,##0.00\);_([$$-409]* "-"??_);_(@_)</c:formatCode>
                <c:ptCount val="3"/>
                <c:pt idx="0">
                  <c:v>16200000</c:v>
                </c:pt>
                <c:pt idx="1">
                  <c:v>32400000</c:v>
                </c:pt>
                <c:pt idx="2">
                  <c:v>48600000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6442240"/>
        <c:axId val="96443776"/>
      </c:barChart>
      <c:catAx>
        <c:axId val="9644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443776"/>
        <c:crosses val="autoZero"/>
        <c:auto val="1"/>
        <c:lblAlgn val="ctr"/>
        <c:lblOffset val="100"/>
        <c:noMultiLvlLbl val="0"/>
      </c:catAx>
      <c:valAx>
        <c:axId val="96443776"/>
        <c:scaling>
          <c:orientation val="minMax"/>
        </c:scaling>
        <c:delete val="0"/>
        <c:axPos val="l"/>
        <c:majorGridlines/>
        <c:numFmt formatCode="_([$$-409]* #,##0.00_);_([$$-409]* \(#,##0.00\);_([$$-409]* &quot;-&quot;??_);_(@_)" sourceLinked="1"/>
        <c:majorTickMark val="out"/>
        <c:minorTickMark val="none"/>
        <c:tickLblPos val="nextTo"/>
        <c:crossAx val="96442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year model'!$M$122</c:f>
              <c:strCache>
                <c:ptCount val="1"/>
                <c:pt idx="0">
                  <c:v>Tropos Costs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 year model'!$C$123:$C$125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</c:numCache>
            </c:numRef>
          </c:cat>
          <c:val>
            <c:numRef>
              <c:f>'20 year model'!$M$123:$M$125</c:f>
              <c:numCache>
                <c:formatCode>_([$$-409]* #,##0.00_);_([$$-409]* \(#,##0.00\);_([$$-409]* "-"??_);_(@_)</c:formatCode>
                <c:ptCount val="3"/>
                <c:pt idx="0">
                  <c:v>7647000</c:v>
                </c:pt>
                <c:pt idx="1">
                  <c:v>19117500</c:v>
                </c:pt>
                <c:pt idx="2">
                  <c:v>30588000</c:v>
                </c:pt>
              </c:numCache>
            </c:numRef>
          </c:val>
        </c:ser>
        <c:ser>
          <c:idx val="1"/>
          <c:order val="1"/>
          <c:tx>
            <c:strRef>
              <c:f>'20 year model'!$K$122</c:f>
              <c:strCache>
                <c:ptCount val="1"/>
                <c:pt idx="0">
                  <c:v>Cost of Trenching Alone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'20 year model'!$K$123:$K$125</c:f>
              <c:numCache>
                <c:formatCode>_([$$-409]* #,##0.00_);_([$$-409]* \(#,##0.00\);_([$$-409]* "-"??_);_(@_)</c:formatCode>
                <c:ptCount val="3"/>
                <c:pt idx="0">
                  <c:v>20000000</c:v>
                </c:pt>
                <c:pt idx="1">
                  <c:v>50000000</c:v>
                </c:pt>
                <c:pt idx="2">
                  <c:v>80000000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53504"/>
        <c:axId val="97655040"/>
      </c:barChart>
      <c:catAx>
        <c:axId val="9765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55040"/>
        <c:crosses val="autoZero"/>
        <c:auto val="1"/>
        <c:lblAlgn val="ctr"/>
        <c:lblOffset val="100"/>
        <c:noMultiLvlLbl val="0"/>
      </c:catAx>
      <c:valAx>
        <c:axId val="97655040"/>
        <c:scaling>
          <c:orientation val="minMax"/>
        </c:scaling>
        <c:delete val="0"/>
        <c:axPos val="l"/>
        <c:majorGridlines/>
        <c:numFmt formatCode="_([$$-409]* #,##0.00_);_([$$-409]* \(#,##0.00\);_([$$-409]* &quot;-&quot;??_);_(@_)" sourceLinked="1"/>
        <c:majorTickMark val="out"/>
        <c:minorTickMark val="none"/>
        <c:tickLblPos val="nextTo"/>
        <c:crossAx val="976535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year model'!$N$144</c:f>
              <c:strCache>
                <c:ptCount val="1"/>
                <c:pt idx="0">
                  <c:v>Tropos Costs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 year model'!$C$145:$C$147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</c:numCache>
            </c:numRef>
          </c:cat>
          <c:val>
            <c:numRef>
              <c:f>'20 year model'!$N$145:$N$147</c:f>
              <c:numCache>
                <c:formatCode>_([$$-409]* #,##0.00_);_([$$-409]* \(#,##0.00\);_([$$-409]* "-"??_);_(@_)</c:formatCode>
                <c:ptCount val="3"/>
                <c:pt idx="0">
                  <c:v>15294000</c:v>
                </c:pt>
                <c:pt idx="1">
                  <c:v>38235000</c:v>
                </c:pt>
                <c:pt idx="2">
                  <c:v>61176000</c:v>
                </c:pt>
              </c:numCache>
            </c:numRef>
          </c:val>
        </c:ser>
        <c:ser>
          <c:idx val="1"/>
          <c:order val="1"/>
          <c:tx>
            <c:strRef>
              <c:f>'20 year model'!$N$139</c:f>
              <c:strCache>
                <c:ptCount val="1"/>
                <c:pt idx="0">
                  <c:v>WiMAX Costs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 year model'!$C$145:$C$147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</c:numCache>
            </c:numRef>
          </c:cat>
          <c:val>
            <c:numRef>
              <c:f>'20 year model'!$N$140:$N$142</c:f>
              <c:numCache>
                <c:formatCode>_([$$-409]* #,##0.00_);_([$$-409]* \(#,##0.00\);_([$$-409]* "-"??_);_(@_)</c:formatCode>
                <c:ptCount val="3"/>
                <c:pt idx="0">
                  <c:v>33353200</c:v>
                </c:pt>
                <c:pt idx="1">
                  <c:v>93013000</c:v>
                </c:pt>
                <c:pt idx="2">
                  <c:v>157412800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84864"/>
        <c:axId val="97690752"/>
      </c:barChart>
      <c:catAx>
        <c:axId val="9768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90752"/>
        <c:crosses val="autoZero"/>
        <c:auto val="1"/>
        <c:lblAlgn val="ctr"/>
        <c:lblOffset val="100"/>
        <c:noMultiLvlLbl val="0"/>
      </c:catAx>
      <c:valAx>
        <c:axId val="97690752"/>
        <c:scaling>
          <c:orientation val="minMax"/>
        </c:scaling>
        <c:delete val="0"/>
        <c:axPos val="l"/>
        <c:majorGridlines/>
        <c:numFmt formatCode="_([$$-409]* #,##0.00_);_([$$-409]* \(#,##0.00\);_([$$-409]* &quot;-&quot;??_);_(@_)" sourceLinked="1"/>
        <c:majorTickMark val="out"/>
        <c:minorTickMark val="none"/>
        <c:tickLblPos val="nextTo"/>
        <c:crossAx val="976848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'20 year model'!$C$161</c:f>
              <c:strCache>
                <c:ptCount val="1"/>
                <c:pt idx="0">
                  <c:v>Number of Mobile Workers Who Need Access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 year model'!$C$162:$C$164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</c:numCache>
            </c:numRef>
          </c:cat>
          <c:val>
            <c:numRef>
              <c:f>'20 year model'!$F$162:$F$164</c:f>
              <c:numCache>
                <c:formatCode>_([$$-409]* #,##0.00_);_([$$-409]* \(#,##0.00\);_([$$-409]* "-"??_);_(@_)</c:formatCode>
                <c:ptCount val="3"/>
                <c:pt idx="0">
                  <c:v>2400000</c:v>
                </c:pt>
                <c:pt idx="1">
                  <c:v>6000000</c:v>
                </c:pt>
                <c:pt idx="2">
                  <c:v>9600000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7739904"/>
        <c:axId val="97741440"/>
      </c:barChart>
      <c:catAx>
        <c:axId val="977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741440"/>
        <c:crosses val="autoZero"/>
        <c:auto val="1"/>
        <c:lblAlgn val="ctr"/>
        <c:lblOffset val="100"/>
        <c:noMultiLvlLbl val="0"/>
      </c:catAx>
      <c:valAx>
        <c:axId val="97741440"/>
        <c:scaling>
          <c:orientation val="minMax"/>
        </c:scaling>
        <c:delete val="0"/>
        <c:axPos val="l"/>
        <c:majorGridlines/>
        <c:numFmt formatCode="_([$$-409]* #,##0.00_);_([$$-409]* \(#,##0.00\);_([$$-409]* &quot;-&quot;??_);_(@_)" sourceLinked="1"/>
        <c:majorTickMark val="out"/>
        <c:minorTickMark val="none"/>
        <c:tickLblPos val="nextTo"/>
        <c:crossAx val="97739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 year model'!$A$168</c:f>
              <c:strCache>
                <c:ptCount val="1"/>
                <c:pt idx="0">
                  <c:v>Selling Services to Municipalities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('20 year model'!$A$173,'20 year model'!$A$181)</c:f>
              <c:numCache>
                <c:formatCode>_([$$-409]* #,##0.00_);_([$$-409]* \(#,##0.00\);_([$$-409]* "-"??_);_(@_)</c:formatCode>
                <c:ptCount val="2"/>
                <c:pt idx="0" formatCode="&quot;$&quot;#,##0.00_);[Red]\(&quot;$&quot;#,##0.00\)">
                  <c:v>0.1</c:v>
                </c:pt>
                <c:pt idx="1">
                  <c:v>0.25</c:v>
                </c:pt>
              </c:numCache>
            </c:numRef>
          </c:cat>
          <c:val>
            <c:numRef>
              <c:f>'20 year model'!$E$170:$E$171</c:f>
              <c:numCache>
                <c:formatCode>_([$$-409]* #,##0.00_);_([$$-409]* \(#,##0.00\);_([$$-409]* "-"??_);_(@_)</c:formatCode>
                <c:ptCount val="2"/>
                <c:pt idx="0">
                  <c:v>14400000</c:v>
                </c:pt>
                <c:pt idx="1">
                  <c:v>36000000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7765632"/>
        <c:axId val="97767424"/>
      </c:barChart>
      <c:catAx>
        <c:axId val="97765632"/>
        <c:scaling>
          <c:orientation val="minMax"/>
        </c:scaling>
        <c:delete val="0"/>
        <c:axPos val="b"/>
        <c:numFmt formatCode="&quot;$&quot;#,##0.00_);[Red]\(&quot;$&quot;#,##0.00\)" sourceLinked="1"/>
        <c:majorTickMark val="out"/>
        <c:minorTickMark val="none"/>
        <c:tickLblPos val="nextTo"/>
        <c:crossAx val="97767424"/>
        <c:crosses val="autoZero"/>
        <c:auto val="1"/>
        <c:lblAlgn val="ctr"/>
        <c:lblOffset val="100"/>
        <c:noMultiLvlLbl val="0"/>
      </c:catAx>
      <c:valAx>
        <c:axId val="97767424"/>
        <c:scaling>
          <c:orientation val="minMax"/>
        </c:scaling>
        <c:delete val="0"/>
        <c:axPos val="l"/>
        <c:majorGridlines/>
        <c:numFmt formatCode="_([$$-409]* #,##0.00_);_([$$-409]* \(#,##0.00\);_([$$-409]* &quot;-&quot;??_);_(@_)" sourceLinked="1"/>
        <c:majorTickMark val="out"/>
        <c:minorTickMark val="none"/>
        <c:tickLblPos val="nextTo"/>
        <c:crossAx val="97765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 year model'!$B$76</c:f>
              <c:strCache>
                <c:ptCount val="1"/>
                <c:pt idx="0">
                  <c:v>Backhaul Network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 year model'!$A$77:$A$79</c:f>
              <c:strCache>
                <c:ptCount val="3"/>
                <c:pt idx="0">
                  <c:v>Tropos</c:v>
                </c:pt>
                <c:pt idx="1">
                  <c:v>Public Wireless Network (AMI Two Reads Per Day)</c:v>
                </c:pt>
                <c:pt idx="2">
                  <c:v>Public Wireless Network (AMI 15 Minute Interval Reads)</c:v>
                </c:pt>
              </c:strCache>
            </c:strRef>
          </c:cat>
          <c:val>
            <c:numRef>
              <c:f>'20 year model'!$B$77:$B$79</c:f>
              <c:numCache>
                <c:formatCode>_([$$-409]* #,##0.00_);_([$$-409]* \(#,##0.00\);_([$$-409]* "-"??_);_(@_)</c:formatCode>
                <c:ptCount val="3"/>
                <c:pt idx="0">
                  <c:v>159207826.25</c:v>
                </c:pt>
                <c:pt idx="1">
                  <c:v>14850000</c:v>
                </c:pt>
                <c:pt idx="2">
                  <c:v>35640000</c:v>
                </c:pt>
              </c:numCache>
            </c:numRef>
          </c:val>
        </c:ser>
        <c:ser>
          <c:idx val="1"/>
          <c:order val="1"/>
          <c:tx>
            <c:strRef>
              <c:f>'20 year model'!$C$76</c:f>
              <c:strCache>
                <c:ptCount val="1"/>
                <c:pt idx="0">
                  <c:v>Leased Line Replacement</c:v>
                </c:pt>
              </c:strCache>
            </c:strRef>
          </c:tx>
          <c:invertIfNegative val="0"/>
          <c:dLbls>
            <c:dLbl>
              <c:idx val="0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 year model'!$A$77:$A$79</c:f>
              <c:strCache>
                <c:ptCount val="3"/>
                <c:pt idx="0">
                  <c:v>Tropos</c:v>
                </c:pt>
                <c:pt idx="1">
                  <c:v>Public Wireless Network (AMI Two Reads Per Day)</c:v>
                </c:pt>
                <c:pt idx="2">
                  <c:v>Public Wireless Network (AMI 15 Minute Interval Reads)</c:v>
                </c:pt>
              </c:strCache>
            </c:strRef>
          </c:cat>
          <c:val>
            <c:numRef>
              <c:f>'20 year model'!$C$77:$C$79</c:f>
              <c:numCache>
                <c:formatCode>_([$$-409]* #,##0.00_);_([$$-409]* \(#,##0.00\);_([$$-409]* "-"??_);_(@_)</c:formatCode>
                <c:ptCount val="3"/>
                <c:pt idx="0" formatCode="General">
                  <c:v>0</c:v>
                </c:pt>
                <c:pt idx="1">
                  <c:v>16200000</c:v>
                </c:pt>
                <c:pt idx="2">
                  <c:v>32400000</c:v>
                </c:pt>
              </c:numCache>
            </c:numRef>
          </c:val>
        </c:ser>
        <c:ser>
          <c:idx val="2"/>
          <c:order val="2"/>
          <c:tx>
            <c:strRef>
              <c:f>'20 year model'!$D$76</c:f>
              <c:strCache>
                <c:ptCount val="1"/>
                <c:pt idx="0">
                  <c:v>Susbstation Automation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 year model'!$A$77:$A$79</c:f>
              <c:strCache>
                <c:ptCount val="3"/>
                <c:pt idx="0">
                  <c:v>Tropos</c:v>
                </c:pt>
                <c:pt idx="1">
                  <c:v>Public Wireless Network (AMI Two Reads Per Day)</c:v>
                </c:pt>
                <c:pt idx="2">
                  <c:v>Public Wireless Network (AMI 15 Minute Interval Reads)</c:v>
                </c:pt>
              </c:strCache>
            </c:strRef>
          </c:cat>
          <c:val>
            <c:numRef>
              <c:f>'20 year model'!$D$77:$D$79</c:f>
              <c:numCache>
                <c:formatCode>_([$$-409]* #,##0.00_);_([$$-409]* \(#,##0.00\);_([$$-409]* "-"??_);_(@_)</c:formatCode>
                <c:ptCount val="3"/>
                <c:pt idx="0">
                  <c:v>19117500</c:v>
                </c:pt>
                <c:pt idx="1">
                  <c:v>50000000</c:v>
                </c:pt>
                <c:pt idx="2">
                  <c:v>50000000</c:v>
                </c:pt>
              </c:numCache>
            </c:numRef>
          </c:val>
        </c:ser>
        <c:ser>
          <c:idx val="3"/>
          <c:order val="3"/>
          <c:tx>
            <c:strRef>
              <c:f>'20 year model'!$E$76</c:f>
              <c:strCache>
                <c:ptCount val="1"/>
                <c:pt idx="0">
                  <c:v>Distribution Automation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 year model'!$A$77:$A$79</c:f>
              <c:strCache>
                <c:ptCount val="3"/>
                <c:pt idx="0">
                  <c:v>Tropos</c:v>
                </c:pt>
                <c:pt idx="1">
                  <c:v>Public Wireless Network (AMI Two Reads Per Day)</c:v>
                </c:pt>
                <c:pt idx="2">
                  <c:v>Public Wireless Network (AMI 15 Minute Interval Reads)</c:v>
                </c:pt>
              </c:strCache>
            </c:strRef>
          </c:cat>
          <c:val>
            <c:numRef>
              <c:f>'20 year model'!$E$77:$E$79</c:f>
              <c:numCache>
                <c:formatCode>_([$$-409]* #,##0_);_([$$-409]* \(#,##0\);_([$$-409]* "-"??_);_(@_)</c:formatCode>
                <c:ptCount val="3"/>
                <c:pt idx="0">
                  <c:v>38235000</c:v>
                </c:pt>
                <c:pt idx="1">
                  <c:v>93013000</c:v>
                </c:pt>
                <c:pt idx="2">
                  <c:v>93013000</c:v>
                </c:pt>
              </c:numCache>
            </c:numRef>
          </c:val>
        </c:ser>
        <c:ser>
          <c:idx val="4"/>
          <c:order val="4"/>
          <c:tx>
            <c:strRef>
              <c:f>'20 year model'!$F$76</c:f>
              <c:strCache>
                <c:ptCount val="1"/>
                <c:pt idx="0">
                  <c:v>Mobile Workforce Data Plan Replacement</c:v>
                </c:pt>
              </c:strCache>
            </c:strRef>
          </c:tx>
          <c:invertIfNegative val="0"/>
          <c:dLbls>
            <c:dLbl>
              <c:idx val="0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 year model'!$A$77:$A$79</c:f>
              <c:strCache>
                <c:ptCount val="3"/>
                <c:pt idx="0">
                  <c:v>Tropos</c:v>
                </c:pt>
                <c:pt idx="1">
                  <c:v>Public Wireless Network (AMI Two Reads Per Day)</c:v>
                </c:pt>
                <c:pt idx="2">
                  <c:v>Public Wireless Network (AMI 15 Minute Interval Reads)</c:v>
                </c:pt>
              </c:strCache>
            </c:strRef>
          </c:cat>
          <c:val>
            <c:numRef>
              <c:f>'20 year model'!$F$77:$F$79</c:f>
              <c:numCache>
                <c:formatCode>_([$$-409]* #,##0.00_);_([$$-409]* \(#,##0.00\);_([$$-409]* "-"??_);_(@_)</c:formatCode>
                <c:ptCount val="3"/>
                <c:pt idx="0" formatCode="General">
                  <c:v>0</c:v>
                </c:pt>
                <c:pt idx="1">
                  <c:v>6000000</c:v>
                </c:pt>
                <c:pt idx="2">
                  <c:v>6000000</c:v>
                </c:pt>
              </c:numCache>
            </c:numRef>
          </c:val>
        </c:ser>
        <c:ser>
          <c:idx val="5"/>
          <c:order val="5"/>
          <c:tx>
            <c:strRef>
              <c:f>'20 year model'!$G$76</c:f>
              <c:strCache>
                <c:ptCount val="1"/>
                <c:pt idx="0">
                  <c:v>Municipal Services Offset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 year model'!$A$77:$A$79</c:f>
              <c:strCache>
                <c:ptCount val="3"/>
                <c:pt idx="0">
                  <c:v>Tropos</c:v>
                </c:pt>
                <c:pt idx="1">
                  <c:v>Public Wireless Network (AMI Two Reads Per Day)</c:v>
                </c:pt>
                <c:pt idx="2">
                  <c:v>Public Wireless Network (AMI 15 Minute Interval Reads)</c:v>
                </c:pt>
              </c:strCache>
            </c:strRef>
          </c:cat>
          <c:val>
            <c:numRef>
              <c:f>'20 year model'!$G$77:$G$79</c:f>
              <c:numCache>
                <c:formatCode>_([$$-409]* #,##0.00_);_([$$-409]* \(#,##0.00\);_([$$-409]* "-"??_);_(@_)</c:formatCode>
                <c:ptCount val="3"/>
                <c:pt idx="1">
                  <c:v>14400000</c:v>
                </c:pt>
                <c:pt idx="2">
                  <c:v>14400000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00416"/>
        <c:axId val="97901952"/>
      </c:barChart>
      <c:catAx>
        <c:axId val="9790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97901952"/>
        <c:crosses val="autoZero"/>
        <c:auto val="1"/>
        <c:lblAlgn val="ctr"/>
        <c:lblOffset val="100"/>
        <c:noMultiLvlLbl val="0"/>
      </c:catAx>
      <c:valAx>
        <c:axId val="97901952"/>
        <c:scaling>
          <c:orientation val="minMax"/>
        </c:scaling>
        <c:delete val="0"/>
        <c:axPos val="l"/>
        <c:majorGridlines/>
        <c:numFmt formatCode="_([$$-409]* #,##0.00_);_([$$-409]* \(#,##0.00\);_([$$-409]* &quot;-&quot;??_);_(@_)" sourceLinked="1"/>
        <c:majorTickMark val="out"/>
        <c:minorTickMark val="none"/>
        <c:tickLblPos val="nextTo"/>
        <c:crossAx val="979004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3235408354225"/>
          <c:y val="0.87138631035606495"/>
          <c:w val="0.81610006708802596"/>
          <c:h val="0.10191141995101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'15 year model'!$E$2:$K$2</c:f>
              <c:strCache>
                <c:ptCount val="7"/>
                <c:pt idx="0">
                  <c:v>T1410</c:v>
                </c:pt>
                <c:pt idx="1">
                  <c:v>T6320</c:v>
                </c:pt>
                <c:pt idx="2">
                  <c:v>T7320</c:v>
                </c:pt>
                <c:pt idx="3">
                  <c:v>PTMP Client</c:v>
                </c:pt>
                <c:pt idx="4">
                  <c:v>PTMP Master</c:v>
                </c:pt>
                <c:pt idx="5">
                  <c:v>PTP</c:v>
                </c:pt>
                <c:pt idx="6">
                  <c:v>Tower Costs</c:v>
                </c:pt>
              </c:strCache>
            </c:strRef>
          </c:cat>
          <c:val>
            <c:numRef>
              <c:f>'15 year model'!$E$22:$K$22</c:f>
              <c:numCache>
                <c:formatCode>"$"#,##0</c:formatCode>
                <c:ptCount val="7"/>
                <c:pt idx="0">
                  <c:v>13860000</c:v>
                </c:pt>
                <c:pt idx="1">
                  <c:v>29040000</c:v>
                </c:pt>
                <c:pt idx="2">
                  <c:v>3300000</c:v>
                </c:pt>
                <c:pt idx="3">
                  <c:v>1650000</c:v>
                </c:pt>
                <c:pt idx="4">
                  <c:v>1031250</c:v>
                </c:pt>
                <c:pt idx="5">
                  <c:v>1375000</c:v>
                </c:pt>
                <c:pt idx="6">
                  <c:v>2000000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'15 year model'!$I$29</c:f>
              <c:strCache>
                <c:ptCount val="1"/>
                <c:pt idx="0">
                  <c:v>Tropos Routers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 year model'!$I$29:$I$34</c:f>
              <c:strCache>
                <c:ptCount val="6"/>
                <c:pt idx="0">
                  <c:v>Tropos Routers</c:v>
                </c:pt>
                <c:pt idx="1">
                  <c:v>Towers</c:v>
                </c:pt>
                <c:pt idx="2">
                  <c:v>Tropos Control</c:v>
                </c:pt>
                <c:pt idx="3">
                  <c:v>Design, Engineering Support, Project Management, network tuning</c:v>
                </c:pt>
                <c:pt idx="4">
                  <c:v>Installation (optional)</c:v>
                </c:pt>
                <c:pt idx="5">
                  <c:v>Tropos Support</c:v>
                </c:pt>
              </c:strCache>
            </c:strRef>
          </c:cat>
          <c:val>
            <c:numRef>
              <c:f>'15 year model'!$J$29</c:f>
              <c:numCache>
                <c:formatCode>"$"#,##0</c:formatCode>
                <c:ptCount val="1"/>
                <c:pt idx="0">
                  <c:v>50256250</c:v>
                </c:pt>
              </c:numCache>
            </c:numRef>
          </c:val>
        </c:ser>
        <c:ser>
          <c:idx val="1"/>
          <c:order val="1"/>
          <c:tx>
            <c:strRef>
              <c:f>'15 year model'!$I$30</c:f>
              <c:strCache>
                <c:ptCount val="1"/>
                <c:pt idx="0">
                  <c:v>Towers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 year model'!$I$29:$I$34</c:f>
              <c:strCache>
                <c:ptCount val="6"/>
                <c:pt idx="0">
                  <c:v>Tropos Routers</c:v>
                </c:pt>
                <c:pt idx="1">
                  <c:v>Towers</c:v>
                </c:pt>
                <c:pt idx="2">
                  <c:v>Tropos Control</c:v>
                </c:pt>
                <c:pt idx="3">
                  <c:v>Design, Engineering Support, Project Management, network tuning</c:v>
                </c:pt>
                <c:pt idx="4">
                  <c:v>Installation (optional)</c:v>
                </c:pt>
                <c:pt idx="5">
                  <c:v>Tropos Support</c:v>
                </c:pt>
              </c:strCache>
            </c:strRef>
          </c:cat>
          <c:val>
            <c:numRef>
              <c:f>'15 year model'!$J$30</c:f>
              <c:numCache>
                <c:formatCode>"$"#,##0</c:formatCode>
                <c:ptCount val="1"/>
                <c:pt idx="0">
                  <c:v>2000000</c:v>
                </c:pt>
              </c:numCache>
            </c:numRef>
          </c:val>
        </c:ser>
        <c:ser>
          <c:idx val="2"/>
          <c:order val="2"/>
          <c:tx>
            <c:strRef>
              <c:f>'15 year model'!$I$31</c:f>
              <c:strCache>
                <c:ptCount val="1"/>
                <c:pt idx="0">
                  <c:v>Tropos Control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 year model'!$I$29:$I$34</c:f>
              <c:strCache>
                <c:ptCount val="6"/>
                <c:pt idx="0">
                  <c:v>Tropos Routers</c:v>
                </c:pt>
                <c:pt idx="1">
                  <c:v>Towers</c:v>
                </c:pt>
                <c:pt idx="2">
                  <c:v>Tropos Control</c:v>
                </c:pt>
                <c:pt idx="3">
                  <c:v>Design, Engineering Support, Project Management, network tuning</c:v>
                </c:pt>
                <c:pt idx="4">
                  <c:v>Installation (optional)</c:v>
                </c:pt>
                <c:pt idx="5">
                  <c:v>Tropos Support</c:v>
                </c:pt>
              </c:strCache>
            </c:strRef>
          </c:cat>
          <c:val>
            <c:numRef>
              <c:f>'15 year model'!$J$31</c:f>
              <c:numCache>
                <c:formatCode>"$"#,##0.00_);[Red]\("$"#,##0.00\)</c:formatCode>
                <c:ptCount val="1"/>
                <c:pt idx="0">
                  <c:v>3554170</c:v>
                </c:pt>
              </c:numCache>
            </c:numRef>
          </c:val>
        </c:ser>
        <c:ser>
          <c:idx val="3"/>
          <c:order val="3"/>
          <c:tx>
            <c:strRef>
              <c:f>'15 year model'!$I$32</c:f>
              <c:strCache>
                <c:ptCount val="1"/>
                <c:pt idx="0">
                  <c:v>Design, Engineering Support, Project Management, network tuning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 year model'!$I$29:$I$34</c:f>
              <c:strCache>
                <c:ptCount val="6"/>
                <c:pt idx="0">
                  <c:v>Tropos Routers</c:v>
                </c:pt>
                <c:pt idx="1">
                  <c:v>Towers</c:v>
                </c:pt>
                <c:pt idx="2">
                  <c:v>Tropos Control</c:v>
                </c:pt>
                <c:pt idx="3">
                  <c:v>Design, Engineering Support, Project Management, network tuning</c:v>
                </c:pt>
                <c:pt idx="4">
                  <c:v>Installation (optional)</c:v>
                </c:pt>
                <c:pt idx="5">
                  <c:v>Tropos Support</c:v>
                </c:pt>
              </c:strCache>
            </c:strRef>
          </c:cat>
          <c:val>
            <c:numRef>
              <c:f>'15 year model'!$J$32</c:f>
              <c:numCache>
                <c:formatCode>"$"#,##0.00_);[Red]\("$"#,##0.00\)</c:formatCode>
                <c:ptCount val="1"/>
                <c:pt idx="0">
                  <c:v>8920312.5</c:v>
                </c:pt>
              </c:numCache>
            </c:numRef>
          </c:val>
        </c:ser>
        <c:ser>
          <c:idx val="4"/>
          <c:order val="4"/>
          <c:tx>
            <c:strRef>
              <c:f>'15 year model'!$I$33</c:f>
              <c:strCache>
                <c:ptCount val="1"/>
                <c:pt idx="0">
                  <c:v>Installation (optional)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 year model'!$I$29:$I$34</c:f>
              <c:strCache>
                <c:ptCount val="6"/>
                <c:pt idx="0">
                  <c:v>Tropos Routers</c:v>
                </c:pt>
                <c:pt idx="1">
                  <c:v>Towers</c:v>
                </c:pt>
                <c:pt idx="2">
                  <c:v>Tropos Control</c:v>
                </c:pt>
                <c:pt idx="3">
                  <c:v>Design, Engineering Support, Project Management, network tuning</c:v>
                </c:pt>
                <c:pt idx="4">
                  <c:v>Installation (optional)</c:v>
                </c:pt>
                <c:pt idx="5">
                  <c:v>Tropos Support</c:v>
                </c:pt>
              </c:strCache>
            </c:strRef>
          </c:cat>
          <c:val>
            <c:numRef>
              <c:f>'15 year model'!$J$33</c:f>
              <c:numCache>
                <c:formatCode>"$"#,##0.00_);[Red]\("$"#,##0.00\)</c:formatCode>
                <c:ptCount val="1"/>
                <c:pt idx="0">
                  <c:v>8920312.5</c:v>
                </c:pt>
              </c:numCache>
            </c:numRef>
          </c:val>
        </c:ser>
        <c:ser>
          <c:idx val="5"/>
          <c:order val="5"/>
          <c:tx>
            <c:strRef>
              <c:f>'15 year model'!$I$34</c:f>
              <c:strCache>
                <c:ptCount val="1"/>
                <c:pt idx="0">
                  <c:v>Tropos Support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 year model'!$I$29:$I$34</c:f>
              <c:strCache>
                <c:ptCount val="6"/>
                <c:pt idx="0">
                  <c:v>Tropos Routers</c:v>
                </c:pt>
                <c:pt idx="1">
                  <c:v>Towers</c:v>
                </c:pt>
                <c:pt idx="2">
                  <c:v>Tropos Control</c:v>
                </c:pt>
                <c:pt idx="3">
                  <c:v>Design, Engineering Support, Project Management, network tuning</c:v>
                </c:pt>
                <c:pt idx="4">
                  <c:v>Installation (optional)</c:v>
                </c:pt>
                <c:pt idx="5">
                  <c:v>Tropos Support</c:v>
                </c:pt>
              </c:strCache>
            </c:strRef>
          </c:cat>
          <c:val>
            <c:numRef>
              <c:f>'15 year model'!$J$34</c:f>
              <c:numCache>
                <c:formatCode>_([$$-409]* #,##0.00_);_([$$-409]* \(#,##0.00\);_([$$-409]* "-"??_);_(@_)</c:formatCode>
                <c:ptCount val="1"/>
                <c:pt idx="0">
                  <c:v>1516796.875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3632768"/>
        <c:axId val="93646848"/>
      </c:barChart>
      <c:catAx>
        <c:axId val="93632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646848"/>
        <c:crosses val="autoZero"/>
        <c:auto val="1"/>
        <c:lblAlgn val="ctr"/>
        <c:lblOffset val="100"/>
        <c:noMultiLvlLbl val="0"/>
      </c:catAx>
      <c:valAx>
        <c:axId val="93646848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crossAx val="93632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188783967793503"/>
          <c:y val="0.42995197715670203"/>
          <c:w val="0.31480388964537298"/>
          <c:h val="0.530205935796487"/>
        </c:manualLayout>
      </c:layout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Savings from Leased Line Replacement over 15 years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Lease Line Replacement over 15 years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'15 year model'!$C$114:$C$116</c:f>
              <c:numCache>
                <c:formatCode>General</c:formatCode>
                <c:ptCount val="3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</c:numCache>
            </c:numRef>
          </c:cat>
          <c:val>
            <c:numRef>
              <c:f>'15 year model'!$F$114:$F$116</c:f>
              <c:numCache>
                <c:formatCode>_([$$-409]* #,##0.00_);_([$$-409]* \(#,##0.00\);_([$$-409]* "-"??_);_(@_)</c:formatCode>
                <c:ptCount val="3"/>
                <c:pt idx="0">
                  <c:v>16200000</c:v>
                </c:pt>
                <c:pt idx="1">
                  <c:v>32400000</c:v>
                </c:pt>
                <c:pt idx="2">
                  <c:v>48600000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3937664"/>
        <c:axId val="93939200"/>
      </c:barChart>
      <c:catAx>
        <c:axId val="9393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39200"/>
        <c:crosses val="autoZero"/>
        <c:auto val="1"/>
        <c:lblAlgn val="ctr"/>
        <c:lblOffset val="100"/>
        <c:noMultiLvlLbl val="0"/>
      </c:catAx>
      <c:valAx>
        <c:axId val="93939200"/>
        <c:scaling>
          <c:orientation val="minMax"/>
        </c:scaling>
        <c:delete val="0"/>
        <c:axPos val="l"/>
        <c:majorGridlines/>
        <c:numFmt formatCode="_([$$-409]* #,##0.00_);_([$$-409]* \(#,##0.00\);_([$$-409]* &quot;-&quot;??_);_(@_)" sourceLinked="1"/>
        <c:majorTickMark val="out"/>
        <c:minorTickMark val="none"/>
        <c:tickLblPos val="nextTo"/>
        <c:crossAx val="93937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 year model'!$M$121</c:f>
              <c:strCache>
                <c:ptCount val="1"/>
                <c:pt idx="0">
                  <c:v>Tropos Costs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'15 year model'!$C$122:$C$124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</c:numCache>
            </c:numRef>
          </c:cat>
          <c:val>
            <c:numRef>
              <c:f>'15 year model'!$M$122:$M$124</c:f>
              <c:numCache>
                <c:formatCode>_([$$-409]* #,##0.00_);_([$$-409]* \(#,##0.00\);_([$$-409]* "-"??_);_(@_)</c:formatCode>
                <c:ptCount val="3"/>
                <c:pt idx="0">
                  <c:v>4722000</c:v>
                </c:pt>
                <c:pt idx="1">
                  <c:v>11805000</c:v>
                </c:pt>
                <c:pt idx="2">
                  <c:v>18888000</c:v>
                </c:pt>
              </c:numCache>
            </c:numRef>
          </c:val>
        </c:ser>
        <c:ser>
          <c:idx val="1"/>
          <c:order val="1"/>
          <c:tx>
            <c:strRef>
              <c:f>'15 year model'!$K$121</c:f>
              <c:strCache>
                <c:ptCount val="1"/>
                <c:pt idx="0">
                  <c:v>Cost of Trenching Alone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'15 year model'!$K$122:$K$124</c:f>
              <c:numCache>
                <c:formatCode>_([$$-409]* #,##0.00_);_([$$-409]* \(#,##0.00\);_([$$-409]* "-"??_);_(@_)</c:formatCode>
                <c:ptCount val="3"/>
                <c:pt idx="0">
                  <c:v>20000000</c:v>
                </c:pt>
                <c:pt idx="1">
                  <c:v>50000000</c:v>
                </c:pt>
                <c:pt idx="2">
                  <c:v>80000000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752576"/>
        <c:axId val="95754112"/>
      </c:barChart>
      <c:catAx>
        <c:axId val="9575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754112"/>
        <c:crosses val="autoZero"/>
        <c:auto val="1"/>
        <c:lblAlgn val="ctr"/>
        <c:lblOffset val="100"/>
        <c:noMultiLvlLbl val="0"/>
      </c:catAx>
      <c:valAx>
        <c:axId val="95754112"/>
        <c:scaling>
          <c:orientation val="minMax"/>
        </c:scaling>
        <c:delete val="0"/>
        <c:axPos val="l"/>
        <c:majorGridlines/>
        <c:numFmt formatCode="_([$$-409]* #,##0.00_);_([$$-409]* \(#,##0.00\);_([$$-409]* &quot;-&quot;??_);_(@_)" sourceLinked="1"/>
        <c:majorTickMark val="out"/>
        <c:minorTickMark val="none"/>
        <c:tickLblPos val="nextTo"/>
        <c:crossAx val="95752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 year model'!$N$143</c:f>
              <c:strCache>
                <c:ptCount val="1"/>
                <c:pt idx="0">
                  <c:v>Tropos Costs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'15 year model'!$C$144:$C$146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</c:numCache>
            </c:numRef>
          </c:cat>
          <c:val>
            <c:numRef>
              <c:f>'15 year model'!$N$144:$N$146</c:f>
              <c:numCache>
                <c:formatCode>_([$$-409]* #,##0.00_);_([$$-409]* \(#,##0.00\);_([$$-409]* "-"??_);_(@_)</c:formatCode>
                <c:ptCount val="3"/>
                <c:pt idx="0">
                  <c:v>9444000</c:v>
                </c:pt>
                <c:pt idx="1">
                  <c:v>23610000</c:v>
                </c:pt>
                <c:pt idx="2">
                  <c:v>37776000</c:v>
                </c:pt>
              </c:numCache>
            </c:numRef>
          </c:val>
        </c:ser>
        <c:ser>
          <c:idx val="1"/>
          <c:order val="1"/>
          <c:tx>
            <c:strRef>
              <c:f>'15 year model'!$N$138</c:f>
              <c:strCache>
                <c:ptCount val="1"/>
                <c:pt idx="0">
                  <c:v>WiMAX Costs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'15 year model'!$C$144:$C$146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</c:numCache>
            </c:numRef>
          </c:cat>
          <c:val>
            <c:numRef>
              <c:f>'15 year model'!$N$139:$N$141</c:f>
              <c:numCache>
                <c:formatCode>_([$$-409]* #,##0.00_);_([$$-409]* \(#,##0.00\);_([$$-409]* "-"??_);_(@_)</c:formatCode>
                <c:ptCount val="3"/>
                <c:pt idx="0">
                  <c:v>32303200</c:v>
                </c:pt>
                <c:pt idx="1">
                  <c:v>90980500</c:v>
                </c:pt>
                <c:pt idx="2">
                  <c:v>153212800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784320"/>
        <c:axId val="95786112"/>
      </c:barChart>
      <c:catAx>
        <c:axId val="9578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786112"/>
        <c:crosses val="autoZero"/>
        <c:auto val="1"/>
        <c:lblAlgn val="ctr"/>
        <c:lblOffset val="100"/>
        <c:noMultiLvlLbl val="0"/>
      </c:catAx>
      <c:valAx>
        <c:axId val="95786112"/>
        <c:scaling>
          <c:orientation val="minMax"/>
        </c:scaling>
        <c:delete val="0"/>
        <c:axPos val="l"/>
        <c:majorGridlines/>
        <c:numFmt formatCode="_([$$-409]* #,##0.00_);_([$$-409]* \(#,##0.00\);_([$$-409]* &quot;-&quot;??_);_(@_)" sourceLinked="1"/>
        <c:majorTickMark val="out"/>
        <c:minorTickMark val="none"/>
        <c:tickLblPos val="nextTo"/>
        <c:crossAx val="95784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'15 year model'!$C$160</c:f>
              <c:strCache>
                <c:ptCount val="1"/>
                <c:pt idx="0">
                  <c:v>Number of Mobile Workers Who Need Access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'15 year model'!$C$161:$C$163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</c:numCache>
            </c:numRef>
          </c:cat>
          <c:val>
            <c:numRef>
              <c:f>'15 year model'!$F$161:$F$163</c:f>
              <c:numCache>
                <c:formatCode>_([$$-409]* #,##0.00_);_([$$-409]* \(#,##0.00\);_([$$-409]* "-"??_);_(@_)</c:formatCode>
                <c:ptCount val="3"/>
                <c:pt idx="0">
                  <c:v>1800000</c:v>
                </c:pt>
                <c:pt idx="1">
                  <c:v>4500000</c:v>
                </c:pt>
                <c:pt idx="2">
                  <c:v>7200000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6154752"/>
        <c:axId val="96156288"/>
      </c:barChart>
      <c:catAx>
        <c:axId val="9615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156288"/>
        <c:crosses val="autoZero"/>
        <c:auto val="1"/>
        <c:lblAlgn val="ctr"/>
        <c:lblOffset val="100"/>
        <c:noMultiLvlLbl val="0"/>
      </c:catAx>
      <c:valAx>
        <c:axId val="96156288"/>
        <c:scaling>
          <c:orientation val="minMax"/>
        </c:scaling>
        <c:delete val="0"/>
        <c:axPos val="l"/>
        <c:majorGridlines/>
        <c:numFmt formatCode="_([$$-409]* #,##0.00_);_([$$-409]* \(#,##0.00\);_([$$-409]* &quot;-&quot;??_);_(@_)" sourceLinked="1"/>
        <c:majorTickMark val="out"/>
        <c:minorTickMark val="none"/>
        <c:tickLblPos val="nextTo"/>
        <c:crossAx val="96154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'15 year model'!$A$167</c:f>
              <c:strCache>
                <c:ptCount val="1"/>
                <c:pt idx="0">
                  <c:v>Selling Services to Municipalities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('15 year model'!$A$172,'15 year model'!$A$180)</c:f>
              <c:numCache>
                <c:formatCode>_([$$-409]* #,##0.00_);_([$$-409]* \(#,##0.00\);_([$$-409]* "-"??_);_(@_)</c:formatCode>
                <c:ptCount val="2"/>
                <c:pt idx="0" formatCode="&quot;$&quot;#,##0.00_);[Red]\(&quot;$&quot;#,##0.00\)">
                  <c:v>0.1</c:v>
                </c:pt>
                <c:pt idx="1">
                  <c:v>0.25</c:v>
                </c:pt>
              </c:numCache>
            </c:numRef>
          </c:cat>
          <c:val>
            <c:numRef>
              <c:f>'15 year model'!$E$169:$E$170</c:f>
              <c:numCache>
                <c:formatCode>_([$$-409]* #,##0.00_);_([$$-409]* \(#,##0.00\);_([$$-409]* "-"??_);_(@_)</c:formatCode>
                <c:ptCount val="2"/>
                <c:pt idx="0">
                  <c:v>10800000</c:v>
                </c:pt>
                <c:pt idx="1">
                  <c:v>27000000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6170752"/>
        <c:axId val="96172288"/>
      </c:barChart>
      <c:catAx>
        <c:axId val="96170752"/>
        <c:scaling>
          <c:orientation val="minMax"/>
        </c:scaling>
        <c:delete val="0"/>
        <c:axPos val="b"/>
        <c:numFmt formatCode="&quot;$&quot;#,##0.00_);[Red]\(&quot;$&quot;#,##0.00\)" sourceLinked="1"/>
        <c:majorTickMark val="out"/>
        <c:minorTickMark val="none"/>
        <c:tickLblPos val="nextTo"/>
        <c:crossAx val="96172288"/>
        <c:crosses val="autoZero"/>
        <c:auto val="1"/>
        <c:lblAlgn val="ctr"/>
        <c:lblOffset val="100"/>
        <c:noMultiLvlLbl val="0"/>
      </c:catAx>
      <c:valAx>
        <c:axId val="96172288"/>
        <c:scaling>
          <c:orientation val="minMax"/>
        </c:scaling>
        <c:delete val="0"/>
        <c:axPos val="l"/>
        <c:majorGridlines/>
        <c:numFmt formatCode="_([$$-409]* #,##0.00_);_([$$-409]* \(#,##0.00\);_([$$-409]* &quot;-&quot;??_);_(@_)" sourceLinked="1"/>
        <c:majorTickMark val="out"/>
        <c:minorTickMark val="none"/>
        <c:tickLblPos val="nextTo"/>
        <c:crossAx val="96170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85827685467608E-2"/>
          <c:y val="2.0231010449536506E-2"/>
          <c:w val="0.87370618243008003"/>
          <c:h val="0.732564412594493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'15 year model'!$B$75</c:f>
              <c:strCache>
                <c:ptCount val="1"/>
                <c:pt idx="0">
                  <c:v>AMI Backhaul (Alt = Cellular)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 year model'!$A$76:$A$78</c:f>
              <c:strCache>
                <c:ptCount val="3"/>
                <c:pt idx="0">
                  <c:v>Tropos</c:v>
                </c:pt>
                <c:pt idx="1">
                  <c:v>Best Alternative Network
(AMI Two Reads Per Day)</c:v>
                </c:pt>
                <c:pt idx="2">
                  <c:v>Best Alternative Network
(AMI 15 Minute Interval Reads)</c:v>
                </c:pt>
              </c:strCache>
            </c:strRef>
          </c:cat>
          <c:val>
            <c:numRef>
              <c:f>'15 year model'!$B$76:$B$78</c:f>
              <c:numCache>
                <c:formatCode>0</c:formatCode>
                <c:ptCount val="3"/>
                <c:pt idx="0">
                  <c:v>100</c:v>
                </c:pt>
                <c:pt idx="1">
                  <c:v>14.840956570357875</c:v>
                </c:pt>
                <c:pt idx="2">
                  <c:v>35.6182957688589</c:v>
                </c:pt>
              </c:numCache>
            </c:numRef>
          </c:val>
        </c:ser>
        <c:ser>
          <c:idx val="1"/>
          <c:order val="1"/>
          <c:tx>
            <c:strRef>
              <c:f>'15 year model'!$C$75</c:f>
              <c:strCache>
                <c:ptCount val="1"/>
                <c:pt idx="0">
                  <c:v>Substation Backhaul (Alt = Leased Lines)</c:v>
                </c:pt>
              </c:strCache>
            </c:strRef>
          </c:tx>
          <c:invertIfNegative val="0"/>
          <c:dLbls>
            <c:dLbl>
              <c:idx val="0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 year model'!$A$76:$A$78</c:f>
              <c:strCache>
                <c:ptCount val="3"/>
                <c:pt idx="0">
                  <c:v>Tropos</c:v>
                </c:pt>
                <c:pt idx="1">
                  <c:v>Best Alternative Network
(AMI Two Reads Per Day)</c:v>
                </c:pt>
                <c:pt idx="2">
                  <c:v>Best Alternative Network
(AMI 15 Minute Interval Reads)</c:v>
                </c:pt>
              </c:strCache>
            </c:strRef>
          </c:cat>
          <c:val>
            <c:numRef>
              <c:f>'15 year model'!$C$76:$C$78</c:f>
              <c:numCache>
                <c:formatCode>0</c:formatCode>
                <c:ptCount val="3"/>
                <c:pt idx="0" formatCode="General">
                  <c:v>0</c:v>
                </c:pt>
                <c:pt idx="1">
                  <c:v>16.190134440390409</c:v>
                </c:pt>
                <c:pt idx="2">
                  <c:v>32.380268880780818</c:v>
                </c:pt>
              </c:numCache>
            </c:numRef>
          </c:val>
        </c:ser>
        <c:ser>
          <c:idx val="2"/>
          <c:order val="2"/>
          <c:tx>
            <c:strRef>
              <c:f>'15 year model'!$D$75</c:f>
              <c:strCache>
                <c:ptCount val="1"/>
                <c:pt idx="0">
                  <c:v>Susbstation Automation (Alt = Wired)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 year model'!$A$76:$A$78</c:f>
              <c:strCache>
                <c:ptCount val="3"/>
                <c:pt idx="0">
                  <c:v>Tropos</c:v>
                </c:pt>
                <c:pt idx="1">
                  <c:v>Best Alternative Network
(AMI Two Reads Per Day)</c:v>
                </c:pt>
                <c:pt idx="2">
                  <c:v>Best Alternative Network
(AMI 15 Minute Interval Reads)</c:v>
                </c:pt>
              </c:strCache>
            </c:strRef>
          </c:cat>
          <c:val>
            <c:numRef>
              <c:f>'15 year model'!$D$76:$D$78</c:f>
              <c:numCache>
                <c:formatCode>0</c:formatCode>
                <c:ptCount val="3"/>
                <c:pt idx="0">
                  <c:v>11.79781093017338</c:v>
                </c:pt>
                <c:pt idx="1">
                  <c:v>49.969550741945703</c:v>
                </c:pt>
                <c:pt idx="2">
                  <c:v>49.969550741945703</c:v>
                </c:pt>
              </c:numCache>
            </c:numRef>
          </c:val>
        </c:ser>
        <c:ser>
          <c:idx val="3"/>
          <c:order val="3"/>
          <c:tx>
            <c:strRef>
              <c:f>'15 year model'!$E$75</c:f>
              <c:strCache>
                <c:ptCount val="1"/>
                <c:pt idx="0">
                  <c:v>Distribution Automation (Alt = Private WiMAX)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 year model'!$A$76:$A$78</c:f>
              <c:strCache>
                <c:ptCount val="3"/>
                <c:pt idx="0">
                  <c:v>Tropos</c:v>
                </c:pt>
                <c:pt idx="1">
                  <c:v>Best Alternative Network
(AMI Two Reads Per Day)</c:v>
                </c:pt>
                <c:pt idx="2">
                  <c:v>Best Alternative Network
(AMI 15 Minute Interval Reads)</c:v>
                </c:pt>
              </c:strCache>
            </c:strRef>
          </c:cat>
          <c:val>
            <c:numRef>
              <c:f>'15 year model'!$E$76:$E$78</c:f>
              <c:numCache>
                <c:formatCode>0</c:formatCode>
                <c:ptCount val="3"/>
                <c:pt idx="0">
                  <c:v>23.59562186034676</c:v>
                </c:pt>
                <c:pt idx="1">
                  <c:v>90.925094225551817</c:v>
                </c:pt>
                <c:pt idx="2">
                  <c:v>90.925094225551817</c:v>
                </c:pt>
              </c:numCache>
            </c:numRef>
          </c:val>
        </c:ser>
        <c:ser>
          <c:idx val="4"/>
          <c:order val="4"/>
          <c:tx>
            <c:strRef>
              <c:f>'15 year model'!$F$75</c:f>
              <c:strCache>
                <c:ptCount val="1"/>
                <c:pt idx="0">
                  <c:v>Mobile Workforce Data (Alt = Cellular)</c:v>
                </c:pt>
              </c:strCache>
            </c:strRef>
          </c:tx>
          <c:invertIfNegative val="0"/>
          <c:dLbls>
            <c:dLbl>
              <c:idx val="0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'15 year model'!$A$76:$A$78</c:f>
              <c:strCache>
                <c:ptCount val="3"/>
                <c:pt idx="0">
                  <c:v>Tropos</c:v>
                </c:pt>
                <c:pt idx="1">
                  <c:v>Best Alternative Network
(AMI Two Reads Per Day)</c:v>
                </c:pt>
                <c:pt idx="2">
                  <c:v>Best Alternative Network
(AMI 15 Minute Interval Reads)</c:v>
                </c:pt>
              </c:strCache>
            </c:strRef>
          </c:cat>
          <c:val>
            <c:numRef>
              <c:f>'15 year model'!$F$76:$F$78</c:f>
              <c:numCache>
                <c:formatCode>0</c:formatCode>
                <c:ptCount val="3"/>
                <c:pt idx="0" formatCode="General">
                  <c:v>0</c:v>
                </c:pt>
                <c:pt idx="1">
                  <c:v>4.4972595667751136</c:v>
                </c:pt>
                <c:pt idx="2">
                  <c:v>4.4972595667751136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234112"/>
        <c:axId val="96244096"/>
      </c:barChart>
      <c:catAx>
        <c:axId val="9623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96244096"/>
        <c:crosses val="autoZero"/>
        <c:auto val="1"/>
        <c:lblAlgn val="ctr"/>
        <c:lblOffset val="100"/>
        <c:noMultiLvlLbl val="0"/>
      </c:catAx>
      <c:valAx>
        <c:axId val="962440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62341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3235408354225"/>
          <c:y val="0.87138631035606495"/>
          <c:w val="0.81610006708802596"/>
          <c:h val="0.10191141995101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469900</xdr:colOff>
      <xdr:row>20</xdr:row>
      <xdr:rowOff>152400</xdr:rowOff>
    </xdr:from>
    <xdr:to>
      <xdr:col>22</xdr:col>
      <xdr:colOff>76200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393700</xdr:colOff>
      <xdr:row>0</xdr:row>
      <xdr:rowOff>38100</xdr:rowOff>
    </xdr:from>
    <xdr:to>
      <xdr:col>32</xdr:col>
      <xdr:colOff>635000</xdr:colOff>
      <xdr:row>23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622300</xdr:colOff>
      <xdr:row>24</xdr:row>
      <xdr:rowOff>0</xdr:rowOff>
    </xdr:from>
    <xdr:to>
      <xdr:col>32</xdr:col>
      <xdr:colOff>647700</xdr:colOff>
      <xdr:row>50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1358900</xdr:colOff>
      <xdr:row>85</xdr:row>
      <xdr:rowOff>76200</xdr:rowOff>
    </xdr:from>
    <xdr:to>
      <xdr:col>5</xdr:col>
      <xdr:colOff>762000</xdr:colOff>
      <xdr:row>106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520700</xdr:colOff>
      <xdr:row>113</xdr:row>
      <xdr:rowOff>152400</xdr:rowOff>
    </xdr:from>
    <xdr:to>
      <xdr:col>19</xdr:col>
      <xdr:colOff>406400</xdr:colOff>
      <xdr:row>132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698500</xdr:colOff>
      <xdr:row>134</xdr:row>
      <xdr:rowOff>88900</xdr:rowOff>
    </xdr:from>
    <xdr:to>
      <xdr:col>19</xdr:col>
      <xdr:colOff>38100</xdr:colOff>
      <xdr:row>151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749300</xdr:colOff>
      <xdr:row>158</xdr:row>
      <xdr:rowOff>6350</xdr:rowOff>
    </xdr:from>
    <xdr:to>
      <xdr:col>18</xdr:col>
      <xdr:colOff>1168400</xdr:colOff>
      <xdr:row>173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749300</xdr:colOff>
      <xdr:row>167</xdr:row>
      <xdr:rowOff>76200</xdr:rowOff>
    </xdr:from>
    <xdr:to>
      <xdr:col>7</xdr:col>
      <xdr:colOff>533400</xdr:colOff>
      <xdr:row>186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1430337</xdr:colOff>
      <xdr:row>81</xdr:row>
      <xdr:rowOff>149225</xdr:rowOff>
    </xdr:from>
    <xdr:to>
      <xdr:col>8</xdr:col>
      <xdr:colOff>1186656</xdr:colOff>
      <xdr:row>108</xdr:row>
      <xdr:rowOff>92075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79</xdr:row>
      <xdr:rowOff>0</xdr:rowOff>
    </xdr:from>
    <xdr:to>
      <xdr:col>21</xdr:col>
      <xdr:colOff>317500</xdr:colOff>
      <xdr:row>105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469900</xdr:colOff>
      <xdr:row>20</xdr:row>
      <xdr:rowOff>152400</xdr:rowOff>
    </xdr:from>
    <xdr:to>
      <xdr:col>22</xdr:col>
      <xdr:colOff>76200</xdr:colOff>
      <xdr:row>48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393700</xdr:colOff>
      <xdr:row>0</xdr:row>
      <xdr:rowOff>38100</xdr:rowOff>
    </xdr:from>
    <xdr:to>
      <xdr:col>32</xdr:col>
      <xdr:colOff>635000</xdr:colOff>
      <xdr:row>23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622300</xdr:colOff>
      <xdr:row>24</xdr:row>
      <xdr:rowOff>0</xdr:rowOff>
    </xdr:from>
    <xdr:to>
      <xdr:col>32</xdr:col>
      <xdr:colOff>647700</xdr:colOff>
      <xdr:row>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1358900</xdr:colOff>
      <xdr:row>86</xdr:row>
      <xdr:rowOff>76200</xdr:rowOff>
    </xdr:from>
    <xdr:to>
      <xdr:col>5</xdr:col>
      <xdr:colOff>762000</xdr:colOff>
      <xdr:row>107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520700</xdr:colOff>
      <xdr:row>114</xdr:row>
      <xdr:rowOff>152400</xdr:rowOff>
    </xdr:from>
    <xdr:to>
      <xdr:col>19</xdr:col>
      <xdr:colOff>406400</xdr:colOff>
      <xdr:row>133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698500</xdr:colOff>
      <xdr:row>135</xdr:row>
      <xdr:rowOff>88900</xdr:rowOff>
    </xdr:from>
    <xdr:to>
      <xdr:col>19</xdr:col>
      <xdr:colOff>38100</xdr:colOff>
      <xdr:row>152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749300</xdr:colOff>
      <xdr:row>159</xdr:row>
      <xdr:rowOff>6350</xdr:rowOff>
    </xdr:from>
    <xdr:to>
      <xdr:col>18</xdr:col>
      <xdr:colOff>1168400</xdr:colOff>
      <xdr:row>174</xdr:row>
      <xdr:rowOff>82550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749300</xdr:colOff>
      <xdr:row>168</xdr:row>
      <xdr:rowOff>76200</xdr:rowOff>
    </xdr:from>
    <xdr:to>
      <xdr:col>7</xdr:col>
      <xdr:colOff>533400</xdr:colOff>
      <xdr:row>187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1549400</xdr:colOff>
      <xdr:row>81</xdr:row>
      <xdr:rowOff>6350</xdr:rowOff>
    </xdr:from>
    <xdr:to>
      <xdr:col>11</xdr:col>
      <xdr:colOff>1231900</xdr:colOff>
      <xdr:row>107</xdr:row>
      <xdr:rowOff>139700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85"/>
  <sheetViews>
    <sheetView tabSelected="1" topLeftCell="B54" zoomScale="80" zoomScaleNormal="80" workbookViewId="0">
      <selection activeCell="C93" sqref="C93"/>
    </sheetView>
  </sheetViews>
  <sheetFormatPr defaultColWidth="8.85546875" defaultRowHeight="15" x14ac:dyDescent="0.25"/>
  <cols>
    <col min="1" max="1" width="50.7109375" bestFit="1" customWidth="1"/>
    <col min="2" max="2" width="25.140625" customWidth="1"/>
    <col min="3" max="3" width="38.28515625" customWidth="1"/>
    <col min="4" max="4" width="47.85546875" bestFit="1" customWidth="1"/>
    <col min="5" max="5" width="45" customWidth="1"/>
    <col min="6" max="6" width="39.140625" bestFit="1" customWidth="1"/>
    <col min="7" max="7" width="33.42578125" customWidth="1"/>
    <col min="8" max="8" width="40.28515625" bestFit="1" customWidth="1"/>
    <col min="9" max="9" width="32.85546875" bestFit="1" customWidth="1"/>
    <col min="10" max="10" width="23.28515625" bestFit="1" customWidth="1"/>
    <col min="11" max="11" width="19.140625" bestFit="1" customWidth="1"/>
    <col min="12" max="12" width="16.85546875" bestFit="1" customWidth="1"/>
    <col min="13" max="13" width="14" bestFit="1" customWidth="1"/>
    <col min="14" max="14" width="16.140625" bestFit="1" customWidth="1"/>
    <col min="15" max="15" width="15" bestFit="1" customWidth="1"/>
    <col min="16" max="18" width="13.140625" bestFit="1" customWidth="1"/>
    <col min="19" max="19" width="19" customWidth="1"/>
  </cols>
  <sheetData>
    <row r="2" spans="1:11" x14ac:dyDescent="0.25">
      <c r="E2" t="s">
        <v>1</v>
      </c>
      <c r="F2" t="s">
        <v>2</v>
      </c>
      <c r="G2" t="s">
        <v>3</v>
      </c>
      <c r="H2" t="s">
        <v>16</v>
      </c>
      <c r="I2" t="s">
        <v>17</v>
      </c>
      <c r="J2" t="s">
        <v>18</v>
      </c>
      <c r="K2" t="s">
        <v>104</v>
      </c>
    </row>
    <row r="3" spans="1:11" x14ac:dyDescent="0.25">
      <c r="A3" t="s">
        <v>0</v>
      </c>
      <c r="B3">
        <v>3300</v>
      </c>
      <c r="E3">
        <f>B3</f>
        <v>3300</v>
      </c>
    </row>
    <row r="4" spans="1:11" x14ac:dyDescent="0.25">
      <c r="A4" t="s">
        <v>4</v>
      </c>
      <c r="B4">
        <v>4</v>
      </c>
    </row>
    <row r="5" spans="1:11" x14ac:dyDescent="0.25">
      <c r="A5" t="s">
        <v>5</v>
      </c>
      <c r="B5">
        <f>B3*B4</f>
        <v>13200</v>
      </c>
      <c r="E5">
        <f>B5*0.5</f>
        <v>6600</v>
      </c>
      <c r="F5">
        <f>B5*0.5</f>
        <v>6600</v>
      </c>
    </row>
    <row r="6" spans="1:11" x14ac:dyDescent="0.25">
      <c r="A6" t="s">
        <v>6</v>
      </c>
      <c r="B6">
        <v>6</v>
      </c>
    </row>
    <row r="7" spans="1:11" x14ac:dyDescent="0.25">
      <c r="A7" t="s">
        <v>7</v>
      </c>
      <c r="B7">
        <f>B3/B6</f>
        <v>550</v>
      </c>
    </row>
    <row r="8" spans="1:11" x14ac:dyDescent="0.25">
      <c r="A8" t="s">
        <v>8</v>
      </c>
      <c r="B8">
        <f>B7</f>
        <v>550</v>
      </c>
      <c r="G8">
        <f>B8</f>
        <v>550</v>
      </c>
    </row>
    <row r="9" spans="1:11" x14ac:dyDescent="0.25">
      <c r="A9" t="s">
        <v>9</v>
      </c>
      <c r="B9">
        <v>75</v>
      </c>
    </row>
    <row r="10" spans="1:11" x14ac:dyDescent="0.25">
      <c r="A10" t="s">
        <v>10</v>
      </c>
      <c r="B10">
        <f>100-B9</f>
        <v>25</v>
      </c>
    </row>
    <row r="11" spans="1:11" x14ac:dyDescent="0.25">
      <c r="A11" t="s">
        <v>11</v>
      </c>
      <c r="B11">
        <f>B8*(B9/100)</f>
        <v>412.5</v>
      </c>
      <c r="H11">
        <f>B11</f>
        <v>412.5</v>
      </c>
    </row>
    <row r="12" spans="1:11" x14ac:dyDescent="0.25">
      <c r="A12" t="s">
        <v>12</v>
      </c>
      <c r="B12">
        <v>4</v>
      </c>
    </row>
    <row r="13" spans="1:11" x14ac:dyDescent="0.25">
      <c r="A13" t="s">
        <v>13</v>
      </c>
      <c r="B13">
        <f>B11/B12</f>
        <v>103.125</v>
      </c>
      <c r="I13">
        <f>B13</f>
        <v>103.125</v>
      </c>
    </row>
    <row r="14" spans="1:11" x14ac:dyDescent="0.25">
      <c r="A14" t="s">
        <v>14</v>
      </c>
      <c r="B14">
        <f>B8*(B10/100)</f>
        <v>137.5</v>
      </c>
    </row>
    <row r="15" spans="1:11" x14ac:dyDescent="0.25">
      <c r="A15" t="s">
        <v>15</v>
      </c>
      <c r="B15">
        <f>B14*2</f>
        <v>275</v>
      </c>
      <c r="J15">
        <f>B15</f>
        <v>275</v>
      </c>
    </row>
    <row r="16" spans="1:11" x14ac:dyDescent="0.25">
      <c r="A16" t="s">
        <v>19</v>
      </c>
      <c r="B16">
        <f>B13+B14</f>
        <v>240.625</v>
      </c>
    </row>
    <row r="17" spans="1:12" x14ac:dyDescent="0.25">
      <c r="A17" t="s">
        <v>20</v>
      </c>
      <c r="B17">
        <f>B11+B14</f>
        <v>550</v>
      </c>
    </row>
    <row r="19" spans="1:12" x14ac:dyDescent="0.25">
      <c r="L19" t="s">
        <v>48</v>
      </c>
    </row>
    <row r="20" spans="1:12" x14ac:dyDescent="0.25">
      <c r="E20">
        <f t="shared" ref="E20:J20" si="0">SUM(E3:E17)</f>
        <v>9900</v>
      </c>
      <c r="F20">
        <f t="shared" si="0"/>
        <v>6600</v>
      </c>
      <c r="G20">
        <f t="shared" si="0"/>
        <v>550</v>
      </c>
      <c r="H20">
        <f t="shared" si="0"/>
        <v>412.5</v>
      </c>
      <c r="I20">
        <f t="shared" si="0"/>
        <v>103.125</v>
      </c>
      <c r="J20">
        <f t="shared" si="0"/>
        <v>275</v>
      </c>
      <c r="K20">
        <v>20</v>
      </c>
      <c r="L20">
        <f>SUM(E20:J20)</f>
        <v>17840.625</v>
      </c>
    </row>
    <row r="21" spans="1:12" x14ac:dyDescent="0.25">
      <c r="E21" s="1">
        <v>1400</v>
      </c>
      <c r="F21" s="1">
        <v>4400</v>
      </c>
      <c r="G21" s="1">
        <v>6000</v>
      </c>
      <c r="H21" s="1">
        <v>4000</v>
      </c>
      <c r="I21" s="1">
        <v>10000</v>
      </c>
      <c r="J21" s="1">
        <v>5000</v>
      </c>
      <c r="K21" s="1">
        <v>100000</v>
      </c>
    </row>
    <row r="22" spans="1:12" x14ac:dyDescent="0.25">
      <c r="A22" s="1">
        <f>SUM(E22:J22)</f>
        <v>50256250</v>
      </c>
      <c r="E22" s="1">
        <f t="shared" ref="E22:J22" si="1">E20*E21</f>
        <v>13860000</v>
      </c>
      <c r="F22" s="1">
        <f t="shared" si="1"/>
        <v>29040000</v>
      </c>
      <c r="G22" s="1">
        <f t="shared" si="1"/>
        <v>3300000</v>
      </c>
      <c r="H22" s="1">
        <f t="shared" si="1"/>
        <v>1650000</v>
      </c>
      <c r="I22" s="1">
        <f t="shared" si="1"/>
        <v>1031250</v>
      </c>
      <c r="J22" s="1">
        <f t="shared" si="1"/>
        <v>1375000</v>
      </c>
      <c r="K22" s="1">
        <f>K21*K20</f>
        <v>2000000</v>
      </c>
      <c r="L22" s="1">
        <f>SUM(E22:K22)</f>
        <v>52256250</v>
      </c>
    </row>
    <row r="23" spans="1:12" x14ac:dyDescent="0.25">
      <c r="A23" s="1"/>
      <c r="C23" t="s">
        <v>104</v>
      </c>
      <c r="D23" s="5">
        <f>A25*A27</f>
        <v>2000000</v>
      </c>
      <c r="E23" s="1"/>
      <c r="F23" s="1"/>
      <c r="G23" s="1"/>
      <c r="H23" s="1"/>
      <c r="I23" s="1"/>
      <c r="J23" s="1"/>
      <c r="L23" s="1"/>
    </row>
    <row r="24" spans="1:12" x14ac:dyDescent="0.25">
      <c r="A24" s="1" t="s">
        <v>105</v>
      </c>
      <c r="E24" s="1"/>
      <c r="F24" s="1"/>
      <c r="G24" s="1"/>
      <c r="H24" s="1"/>
      <c r="I24" s="1"/>
      <c r="J24" s="1"/>
      <c r="L24" s="1"/>
    </row>
    <row r="25" spans="1:12" x14ac:dyDescent="0.25">
      <c r="A25" s="1">
        <v>100000</v>
      </c>
      <c r="E25" s="1"/>
      <c r="F25" s="1"/>
      <c r="G25" s="1"/>
      <c r="H25" s="1"/>
      <c r="I25" s="1"/>
      <c r="J25" s="1"/>
      <c r="L25" s="1"/>
    </row>
    <row r="26" spans="1:12" x14ac:dyDescent="0.25">
      <c r="A26" s="1" t="s">
        <v>106</v>
      </c>
      <c r="E26" s="1"/>
      <c r="F26" s="1"/>
      <c r="G26" s="1"/>
      <c r="H26" s="1"/>
      <c r="I26" s="1"/>
      <c r="J26" s="1"/>
      <c r="L26" s="1"/>
    </row>
    <row r="27" spans="1:12" x14ac:dyDescent="0.25">
      <c r="A27" s="45">
        <v>20</v>
      </c>
      <c r="E27" s="1"/>
      <c r="F27" s="1"/>
      <c r="G27" s="1"/>
      <c r="H27" s="1"/>
      <c r="I27" s="1"/>
      <c r="J27" s="1"/>
      <c r="L27" s="1"/>
    </row>
    <row r="29" spans="1:12" x14ac:dyDescent="0.25">
      <c r="C29" s="23" t="s">
        <v>45</v>
      </c>
      <c r="D29" s="8" t="s">
        <v>46</v>
      </c>
      <c r="E29" s="8" t="s">
        <v>47</v>
      </c>
      <c r="F29" s="10" t="s">
        <v>49</v>
      </c>
      <c r="I29" t="s">
        <v>135</v>
      </c>
      <c r="J29" s="1">
        <f>SUM(E22:J22)</f>
        <v>50256250</v>
      </c>
    </row>
    <row r="30" spans="1:12" x14ac:dyDescent="0.25">
      <c r="C30" s="11"/>
      <c r="D30" s="24">
        <v>3995</v>
      </c>
      <c r="E30" s="24">
        <v>199</v>
      </c>
      <c r="F30" s="25" t="s">
        <v>44</v>
      </c>
      <c r="I30" t="s">
        <v>136</v>
      </c>
      <c r="J30" s="1">
        <f>K22</f>
        <v>2000000</v>
      </c>
    </row>
    <row r="31" spans="1:12" x14ac:dyDescent="0.25">
      <c r="C31" s="26"/>
      <c r="D31" s="27">
        <f>2*D30</f>
        <v>7990</v>
      </c>
      <c r="E31" s="27">
        <f>17820*E30</f>
        <v>3546180</v>
      </c>
      <c r="F31" s="28">
        <f>E31+D31</f>
        <v>3554170</v>
      </c>
      <c r="I31" t="s">
        <v>45</v>
      </c>
      <c r="J31" s="3">
        <f>F31</f>
        <v>3554170</v>
      </c>
    </row>
    <row r="32" spans="1:12" x14ac:dyDescent="0.25">
      <c r="D32" s="3"/>
      <c r="E32" s="3"/>
      <c r="F32" s="3"/>
      <c r="I32" t="str">
        <f>C34</f>
        <v>Design, Engineering Support, Project Management, network tuning</v>
      </c>
      <c r="J32" s="3">
        <f>E34</f>
        <v>8920312.5</v>
      </c>
      <c r="L32" s="2">
        <f>J35*15</f>
        <v>3919218.75</v>
      </c>
    </row>
    <row r="33" spans="3:13" x14ac:dyDescent="0.25">
      <c r="C33" s="23" t="s">
        <v>50</v>
      </c>
      <c r="D33" s="29" t="s">
        <v>53</v>
      </c>
      <c r="E33" s="29" t="s">
        <v>44</v>
      </c>
      <c r="F33" s="30"/>
      <c r="I33" t="str">
        <f>C35</f>
        <v>Installation (optional)</v>
      </c>
      <c r="J33" s="3">
        <f>E35</f>
        <v>8920312.5</v>
      </c>
    </row>
    <row r="34" spans="3:13" x14ac:dyDescent="0.25">
      <c r="C34" s="11" t="s">
        <v>51</v>
      </c>
      <c r="D34" s="31">
        <v>500</v>
      </c>
      <c r="E34" s="31">
        <f>D34*L20</f>
        <v>8920312.5</v>
      </c>
      <c r="F34" s="32"/>
      <c r="I34" t="str">
        <f>C38</f>
        <v>Tropos Support</v>
      </c>
      <c r="J34" s="2">
        <f>E41</f>
        <v>1516796.875</v>
      </c>
      <c r="K34" s="1">
        <f>SUM(J29:J34)</f>
        <v>75167841.875</v>
      </c>
      <c r="L34" s="5">
        <f>K34-J33</f>
        <v>66247529.375</v>
      </c>
    </row>
    <row r="35" spans="3:13" x14ac:dyDescent="0.25">
      <c r="C35" s="26" t="s">
        <v>52</v>
      </c>
      <c r="D35" s="27">
        <v>500</v>
      </c>
      <c r="E35" s="27">
        <f>D35*L20</f>
        <v>8920312.5</v>
      </c>
      <c r="F35" s="28"/>
      <c r="I35" t="str">
        <f>C43</f>
        <v>Replacement Cost</v>
      </c>
      <c r="J35" s="2">
        <f>G44</f>
        <v>261281.25</v>
      </c>
      <c r="K35" s="2">
        <f>14*(J35+J34)</f>
        <v>24893093.75</v>
      </c>
    </row>
    <row r="36" spans="3:13" x14ac:dyDescent="0.25">
      <c r="D36" s="3"/>
      <c r="E36" s="3"/>
      <c r="F36" s="3"/>
      <c r="K36" s="2">
        <f>K35+K34</f>
        <v>100060935.625</v>
      </c>
    </row>
    <row r="37" spans="3:13" x14ac:dyDescent="0.25">
      <c r="D37" s="3"/>
      <c r="E37" s="3"/>
      <c r="F37" s="3"/>
    </row>
    <row r="38" spans="3:13" x14ac:dyDescent="0.25">
      <c r="C38" s="23" t="s">
        <v>54</v>
      </c>
      <c r="D38" s="29" t="s">
        <v>58</v>
      </c>
      <c r="E38" s="29" t="s">
        <v>59</v>
      </c>
      <c r="F38" s="30"/>
    </row>
    <row r="39" spans="3:13" x14ac:dyDescent="0.25">
      <c r="C39" s="11" t="s">
        <v>56</v>
      </c>
      <c r="D39" s="14">
        <v>75</v>
      </c>
      <c r="E39" s="14">
        <f>D39*(E20+SUM(H20:J20))</f>
        <v>801796.875</v>
      </c>
      <c r="F39" s="13"/>
    </row>
    <row r="40" spans="3:13" x14ac:dyDescent="0.25">
      <c r="C40" s="11" t="s">
        <v>55</v>
      </c>
      <c r="D40" s="14">
        <v>100</v>
      </c>
      <c r="E40" s="14">
        <f>D40*(SUM(F20:G20))</f>
        <v>715000</v>
      </c>
      <c r="F40" s="13"/>
    </row>
    <row r="41" spans="3:13" x14ac:dyDescent="0.25">
      <c r="C41" s="26"/>
      <c r="D41" s="17"/>
      <c r="E41" s="33">
        <f>SUM(E39:E40)</f>
        <v>1516796.875</v>
      </c>
      <c r="F41" s="18"/>
      <c r="M41" s="2"/>
    </row>
    <row r="42" spans="3:13" x14ac:dyDescent="0.25">
      <c r="E42" s="4"/>
      <c r="J42" t="str">
        <f>I29</f>
        <v>Tropos Routers</v>
      </c>
      <c r="K42" s="1">
        <f>J29</f>
        <v>50256250</v>
      </c>
    </row>
    <row r="43" spans="3:13" x14ac:dyDescent="0.25">
      <c r="C43" s="7" t="s">
        <v>60</v>
      </c>
      <c r="D43" s="8" t="s">
        <v>62</v>
      </c>
      <c r="E43" s="34" t="s">
        <v>63</v>
      </c>
      <c r="F43" s="8" t="s">
        <v>64</v>
      </c>
      <c r="G43" s="10" t="s">
        <v>65</v>
      </c>
      <c r="J43" t="str">
        <f t="shared" ref="J43:K48" si="2">I30</f>
        <v>Towers</v>
      </c>
      <c r="K43" s="1">
        <f t="shared" si="2"/>
        <v>2000000</v>
      </c>
    </row>
    <row r="44" spans="3:13" x14ac:dyDescent="0.25">
      <c r="C44" s="26" t="s">
        <v>61</v>
      </c>
      <c r="D44" s="35">
        <v>5.0000000000000001E-3</v>
      </c>
      <c r="E44" s="36">
        <f>D44*L20</f>
        <v>89.203125</v>
      </c>
      <c r="F44" s="37">
        <f>L22/L20</f>
        <v>2929.059379926432</v>
      </c>
      <c r="G44" s="38">
        <f>F44*E44</f>
        <v>261281.25</v>
      </c>
      <c r="H44" s="2">
        <f>G44+E41</f>
        <v>1778078.125</v>
      </c>
      <c r="J44" t="str">
        <f t="shared" si="2"/>
        <v>Tropos Control</v>
      </c>
      <c r="K44" s="1">
        <f t="shared" si="2"/>
        <v>3554170</v>
      </c>
    </row>
    <row r="45" spans="3:13" x14ac:dyDescent="0.25">
      <c r="E45" s="4"/>
      <c r="J45" t="str">
        <f t="shared" si="2"/>
        <v>Design, Engineering Support, Project Management, network tuning</v>
      </c>
      <c r="K45" s="1">
        <f t="shared" si="2"/>
        <v>8920312.5</v>
      </c>
    </row>
    <row r="46" spans="3:13" x14ac:dyDescent="0.25">
      <c r="C46" s="7" t="s">
        <v>72</v>
      </c>
      <c r="D46" s="8" t="s">
        <v>73</v>
      </c>
      <c r="E46" s="34" t="s">
        <v>74</v>
      </c>
      <c r="F46" s="10"/>
      <c r="J46" t="str">
        <f t="shared" si="2"/>
        <v>Installation (optional)</v>
      </c>
      <c r="K46" s="1">
        <f t="shared" si="2"/>
        <v>8920312.5</v>
      </c>
    </row>
    <row r="47" spans="3:13" x14ac:dyDescent="0.25">
      <c r="C47" s="39">
        <f>A57*3300</f>
        <v>1980000</v>
      </c>
      <c r="D47" s="14">
        <f>3300*A60</f>
        <v>49500</v>
      </c>
      <c r="E47" s="40">
        <f>3300*A62</f>
        <v>165000</v>
      </c>
      <c r="F47" s="13"/>
      <c r="J47" t="str">
        <f t="shared" si="2"/>
        <v>Tropos Support</v>
      </c>
      <c r="K47" s="2">
        <f>15*J34</f>
        <v>22751953.125</v>
      </c>
    </row>
    <row r="48" spans="3:13" x14ac:dyDescent="0.25">
      <c r="C48" s="11"/>
      <c r="D48" s="12"/>
      <c r="E48" s="41"/>
      <c r="F48" s="13"/>
      <c r="J48" t="str">
        <f t="shared" si="2"/>
        <v>Replacement Cost</v>
      </c>
      <c r="K48" s="2">
        <f>J35*15</f>
        <v>3919218.75</v>
      </c>
    </row>
    <row r="49" spans="1:39" x14ac:dyDescent="0.25">
      <c r="C49" s="11"/>
      <c r="D49" s="12" t="s">
        <v>75</v>
      </c>
      <c r="E49" s="12" t="s">
        <v>76</v>
      </c>
      <c r="F49" s="13"/>
      <c r="K49" s="1">
        <f>SUM(K42:K48)</f>
        <v>100322216.875</v>
      </c>
    </row>
    <row r="50" spans="1:39" x14ac:dyDescent="0.25">
      <c r="C50" s="26"/>
      <c r="D50" s="42">
        <f>D47*12</f>
        <v>594000</v>
      </c>
      <c r="E50" s="43">
        <f>E47*12</f>
        <v>1980000</v>
      </c>
      <c r="F50" s="18"/>
    </row>
    <row r="51" spans="1:39" x14ac:dyDescent="0.25">
      <c r="E51" s="4"/>
    </row>
    <row r="52" spans="1:39" x14ac:dyDescent="0.25">
      <c r="E52" s="4"/>
    </row>
    <row r="54" spans="1:39" x14ac:dyDescent="0.25">
      <c r="C54" s="23" t="s">
        <v>57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0"/>
    </row>
    <row r="55" spans="1:39" x14ac:dyDescent="0.25">
      <c r="C55" s="11"/>
      <c r="D55" s="12" t="s">
        <v>29</v>
      </c>
      <c r="E55" s="12" t="s">
        <v>30</v>
      </c>
      <c r="F55" s="12" t="s">
        <v>31</v>
      </c>
      <c r="G55" s="12" t="s">
        <v>32</v>
      </c>
      <c r="H55" s="12" t="s">
        <v>33</v>
      </c>
      <c r="I55" s="12" t="s">
        <v>34</v>
      </c>
      <c r="J55" s="12" t="s">
        <v>35</v>
      </c>
      <c r="K55" s="12" t="s">
        <v>36</v>
      </c>
      <c r="L55" s="12" t="s">
        <v>37</v>
      </c>
      <c r="M55" s="12" t="s">
        <v>38</v>
      </c>
      <c r="N55" s="12" t="s">
        <v>39</v>
      </c>
      <c r="O55" s="12" t="s">
        <v>40</v>
      </c>
      <c r="P55" s="12" t="s">
        <v>41</v>
      </c>
      <c r="Q55" s="12" t="s">
        <v>42</v>
      </c>
      <c r="R55" s="13" t="s">
        <v>43</v>
      </c>
      <c r="S55" t="s">
        <v>44</v>
      </c>
    </row>
    <row r="56" spans="1:39" x14ac:dyDescent="0.25">
      <c r="A56" s="19" t="s">
        <v>66</v>
      </c>
      <c r="C56" s="11" t="s">
        <v>22</v>
      </c>
      <c r="D56" s="44">
        <f>L22+F31+E34+E41+E35</f>
        <v>75167841.875</v>
      </c>
      <c r="E56" s="14">
        <f>E41+G44</f>
        <v>1778078.125</v>
      </c>
      <c r="F56" s="14">
        <f>E41+G44</f>
        <v>1778078.125</v>
      </c>
      <c r="G56" s="14">
        <f>E41+G44</f>
        <v>1778078.125</v>
      </c>
      <c r="H56" s="14">
        <f>E41+G44</f>
        <v>1778078.125</v>
      </c>
      <c r="I56" s="14">
        <f>E41+G44</f>
        <v>1778078.125</v>
      </c>
      <c r="J56" s="14">
        <f>E41+G44</f>
        <v>1778078.125</v>
      </c>
      <c r="K56" s="14">
        <f>E41+G44</f>
        <v>1778078.125</v>
      </c>
      <c r="L56" s="14">
        <f>E41+G44</f>
        <v>1778078.125</v>
      </c>
      <c r="M56" s="14">
        <f>E41+G44</f>
        <v>1778078.125</v>
      </c>
      <c r="N56" s="14">
        <f>E41+G44</f>
        <v>1778078.125</v>
      </c>
      <c r="O56" s="14">
        <f>E41+G44</f>
        <v>1778078.125</v>
      </c>
      <c r="P56" s="14">
        <f>E41+G44</f>
        <v>1778078.125</v>
      </c>
      <c r="Q56" s="14">
        <f>E41+G44</f>
        <v>1778078.125</v>
      </c>
      <c r="R56" s="15">
        <f>E41+G44</f>
        <v>1778078.125</v>
      </c>
      <c r="S56" s="5">
        <f>SUM(D56:R56)</f>
        <v>100060935.625</v>
      </c>
      <c r="AK56">
        <f>1000*1*96</f>
        <v>96000</v>
      </c>
      <c r="AL56">
        <f>AK56/1000</f>
        <v>96</v>
      </c>
      <c r="AM56" t="s">
        <v>69</v>
      </c>
    </row>
    <row r="57" spans="1:39" x14ac:dyDescent="0.25">
      <c r="A57" s="20">
        <v>600</v>
      </c>
      <c r="C57" s="11" t="s">
        <v>27</v>
      </c>
      <c r="D57" s="14">
        <f>C47+D50</f>
        <v>2574000</v>
      </c>
      <c r="E57" s="14">
        <f>D50</f>
        <v>594000</v>
      </c>
      <c r="F57" s="14">
        <f>D50</f>
        <v>594000</v>
      </c>
      <c r="G57" s="14">
        <f>D50</f>
        <v>594000</v>
      </c>
      <c r="H57" s="14">
        <f>D50</f>
        <v>594000</v>
      </c>
      <c r="I57" s="14">
        <f>D50+C47</f>
        <v>2574000</v>
      </c>
      <c r="J57" s="14">
        <f>D50</f>
        <v>594000</v>
      </c>
      <c r="K57" s="14">
        <f>D50</f>
        <v>594000</v>
      </c>
      <c r="L57" s="14">
        <f>D50</f>
        <v>594000</v>
      </c>
      <c r="M57" s="14">
        <f>D50</f>
        <v>594000</v>
      </c>
      <c r="N57" s="14">
        <f>D50</f>
        <v>594000</v>
      </c>
      <c r="O57" s="14">
        <f>D50+C47</f>
        <v>2574000</v>
      </c>
      <c r="P57" s="14">
        <f>D50</f>
        <v>594000</v>
      </c>
      <c r="Q57" s="14">
        <f>D50</f>
        <v>594000</v>
      </c>
      <c r="R57" s="15">
        <f>D50</f>
        <v>594000</v>
      </c>
      <c r="S57" s="2">
        <f>SUM(D57:R57)</f>
        <v>14850000</v>
      </c>
      <c r="AL57">
        <f>AL56*30</f>
        <v>2880</v>
      </c>
      <c r="AM57" s="6" t="s">
        <v>70</v>
      </c>
    </row>
    <row r="58" spans="1:39" x14ac:dyDescent="0.25">
      <c r="A58" s="21"/>
      <c r="C58" s="11" t="s">
        <v>28</v>
      </c>
      <c r="D58" s="14">
        <f>E50+C47</f>
        <v>3960000</v>
      </c>
      <c r="E58" s="14">
        <f>E50</f>
        <v>1980000</v>
      </c>
      <c r="F58" s="14">
        <f>E50</f>
        <v>1980000</v>
      </c>
      <c r="G58" s="14">
        <f>E50</f>
        <v>1980000</v>
      </c>
      <c r="H58" s="14">
        <f>E50</f>
        <v>1980000</v>
      </c>
      <c r="I58" s="14">
        <f>E50+C47</f>
        <v>3960000</v>
      </c>
      <c r="J58" s="14">
        <f>E50</f>
        <v>1980000</v>
      </c>
      <c r="K58" s="14">
        <f>E50</f>
        <v>1980000</v>
      </c>
      <c r="L58" s="14">
        <f>E50</f>
        <v>1980000</v>
      </c>
      <c r="M58" s="14">
        <f>E50</f>
        <v>1980000</v>
      </c>
      <c r="N58" s="14">
        <f>E50</f>
        <v>1980000</v>
      </c>
      <c r="O58" s="14">
        <f>E50+C47</f>
        <v>3960000</v>
      </c>
      <c r="P58" s="14">
        <f>E50</f>
        <v>1980000</v>
      </c>
      <c r="Q58" s="14">
        <f>E50</f>
        <v>1980000</v>
      </c>
      <c r="R58" s="15">
        <f>E50</f>
        <v>1980000</v>
      </c>
      <c r="S58" s="2">
        <f>SUM(D58:R58)</f>
        <v>35640000</v>
      </c>
      <c r="AL58">
        <f>AL57/1000</f>
        <v>2.88</v>
      </c>
      <c r="AM58" s="6" t="s">
        <v>71</v>
      </c>
    </row>
    <row r="59" spans="1:39" x14ac:dyDescent="0.25">
      <c r="A59" s="21" t="s">
        <v>67</v>
      </c>
      <c r="C59" s="26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8"/>
    </row>
    <row r="60" spans="1:39" x14ac:dyDescent="0.25">
      <c r="A60" s="20">
        <v>15</v>
      </c>
    </row>
    <row r="61" spans="1:39" x14ac:dyDescent="0.25">
      <c r="A61" s="21" t="s">
        <v>68</v>
      </c>
    </row>
    <row r="62" spans="1:39" x14ac:dyDescent="0.25">
      <c r="A62" s="22">
        <v>50</v>
      </c>
    </row>
    <row r="70" spans="1:9" x14ac:dyDescent="0.25">
      <c r="A70" s="49"/>
      <c r="B70" s="49" t="s">
        <v>21</v>
      </c>
      <c r="C70" s="49" t="s">
        <v>23</v>
      </c>
      <c r="D70" s="49" t="s">
        <v>24</v>
      </c>
      <c r="E70" s="49" t="s">
        <v>26</v>
      </c>
    </row>
    <row r="71" spans="1:9" x14ac:dyDescent="0.25">
      <c r="A71" s="49" t="s">
        <v>22</v>
      </c>
      <c r="B71" s="50">
        <f>S56</f>
        <v>100060935.625</v>
      </c>
      <c r="C71" s="49" t="s">
        <v>25</v>
      </c>
      <c r="D71" s="50">
        <v>12000000</v>
      </c>
      <c r="E71" s="50">
        <f>SUM(B71:D71)</f>
        <v>112060935.625</v>
      </c>
    </row>
    <row r="72" spans="1:9" x14ac:dyDescent="0.25">
      <c r="A72" s="49" t="s">
        <v>27</v>
      </c>
      <c r="B72" s="50">
        <v>14850000</v>
      </c>
      <c r="C72" s="50">
        <v>43200000</v>
      </c>
      <c r="D72" s="50">
        <v>60000000</v>
      </c>
      <c r="E72" s="50">
        <f>SUM(B72:D72)</f>
        <v>118050000</v>
      </c>
      <c r="F72">
        <f>E72/E71</f>
        <v>1.0534447115009085</v>
      </c>
    </row>
    <row r="73" spans="1:9" x14ac:dyDescent="0.25">
      <c r="A73" s="49" t="s">
        <v>28</v>
      </c>
      <c r="B73" s="50">
        <v>35640000</v>
      </c>
      <c r="C73" s="50">
        <v>43200000</v>
      </c>
      <c r="D73" s="50">
        <v>60000000</v>
      </c>
      <c r="E73" s="50">
        <f>SUM(B73:D73)</f>
        <v>138840000</v>
      </c>
      <c r="F73">
        <f>E73/E71</f>
        <v>1.238968773780484</v>
      </c>
      <c r="G73">
        <f>E71/E73</f>
        <v>0.80712284374099685</v>
      </c>
    </row>
    <row r="75" spans="1:9" x14ac:dyDescent="0.25">
      <c r="B75" t="s">
        <v>188</v>
      </c>
      <c r="C75" t="s">
        <v>185</v>
      </c>
      <c r="D75" t="s">
        <v>184</v>
      </c>
      <c r="E75" t="s">
        <v>186</v>
      </c>
      <c r="F75" t="s">
        <v>187</v>
      </c>
      <c r="H75" t="s">
        <v>26</v>
      </c>
    </row>
    <row r="76" spans="1:9" x14ac:dyDescent="0.25">
      <c r="A76" t="s">
        <v>22</v>
      </c>
      <c r="B76" s="58">
        <f>(S56/$B$82)*100</f>
        <v>100</v>
      </c>
      <c r="C76" t="s">
        <v>25</v>
      </c>
      <c r="D76" s="58">
        <f>(M123/$B$82)*100</f>
        <v>11.79781093017338</v>
      </c>
      <c r="E76" s="58">
        <f>(N145/$B$82)*100</f>
        <v>23.59562186034676</v>
      </c>
      <c r="F76" s="45" t="s">
        <v>25</v>
      </c>
      <c r="H76" s="58">
        <f>SUM(B76:F76)</f>
        <v>135.39343279052014</v>
      </c>
    </row>
    <row r="77" spans="1:9" ht="30" x14ac:dyDescent="0.25">
      <c r="A77" s="60" t="s">
        <v>182</v>
      </c>
      <c r="B77" s="59">
        <f>(14850000/$B$82)*100</f>
        <v>14.840956570357875</v>
      </c>
      <c r="C77" s="58">
        <f>(F114/$B$82)*100</f>
        <v>16.190134440390409</v>
      </c>
      <c r="D77" s="58">
        <f>(K123/$B$82)*100</f>
        <v>49.969550741945703</v>
      </c>
      <c r="E77" s="58">
        <f>(N140/$B$82)*100</f>
        <v>90.925094225551817</v>
      </c>
      <c r="F77" s="58">
        <f>(F162/$B$82)*100</f>
        <v>4.4972595667751136</v>
      </c>
      <c r="G77" s="45"/>
      <c r="H77" s="58">
        <f>SUM(B77:F77)</f>
        <v>176.42299554502091</v>
      </c>
      <c r="I77">
        <f>H77/H76</f>
        <v>1.303039533815362</v>
      </c>
    </row>
    <row r="78" spans="1:9" ht="30" x14ac:dyDescent="0.25">
      <c r="A78" s="60" t="s">
        <v>183</v>
      </c>
      <c r="B78" s="58">
        <f>(35640000/$B$82)*100</f>
        <v>35.6182957688589</v>
      </c>
      <c r="C78" s="58">
        <f>(F115/$B$82)*100</f>
        <v>32.380268880780818</v>
      </c>
      <c r="D78" s="58">
        <f>(K123/$B$82)*100</f>
        <v>49.969550741945703</v>
      </c>
      <c r="E78" s="58">
        <f>(N140/$B$82)*100</f>
        <v>90.925094225551817</v>
      </c>
      <c r="F78" s="58">
        <f>(F162/$B$82)*100</f>
        <v>4.4972595667751136</v>
      </c>
      <c r="G78" s="45"/>
      <c r="H78" s="58">
        <f>SUM(B78:F78)</f>
        <v>213.39046918391236</v>
      </c>
      <c r="I78">
        <f>H78/H76</f>
        <v>1.5760769542941477</v>
      </c>
    </row>
    <row r="79" spans="1:9" x14ac:dyDescent="0.25">
      <c r="G79" s="45"/>
    </row>
    <row r="82" spans="2:2" x14ac:dyDescent="0.25">
      <c r="B82">
        <v>100060935.625</v>
      </c>
    </row>
    <row r="112" spans="1:7" x14ac:dyDescent="0.25">
      <c r="A112" s="7"/>
      <c r="B112" s="8"/>
      <c r="C112" s="9" t="s">
        <v>77</v>
      </c>
      <c r="D112" s="8" t="s">
        <v>82</v>
      </c>
      <c r="E112" s="8" t="s">
        <v>84</v>
      </c>
      <c r="F112" s="8" t="s">
        <v>85</v>
      </c>
      <c r="G112" s="10" t="s">
        <v>86</v>
      </c>
    </row>
    <row r="113" spans="1:13" x14ac:dyDescent="0.25">
      <c r="A113" s="11" t="s">
        <v>78</v>
      </c>
      <c r="B113" s="12"/>
      <c r="C113" s="12" t="s">
        <v>83</v>
      </c>
      <c r="D113" s="12"/>
      <c r="E113" s="12"/>
      <c r="F113" s="12"/>
      <c r="G113" s="13"/>
    </row>
    <row r="114" spans="1:13" x14ac:dyDescent="0.25">
      <c r="A114" s="11" t="s">
        <v>79</v>
      </c>
      <c r="B114" s="12"/>
      <c r="C114" s="12">
        <v>150</v>
      </c>
      <c r="D114" s="14">
        <f>C114*A117</f>
        <v>90000</v>
      </c>
      <c r="E114" s="14">
        <f>D114*12</f>
        <v>1080000</v>
      </c>
      <c r="F114" s="14">
        <f>E114*15</f>
        <v>16200000</v>
      </c>
      <c r="G114" s="15">
        <f>E114*20</f>
        <v>21600000</v>
      </c>
    </row>
    <row r="115" spans="1:13" x14ac:dyDescent="0.25">
      <c r="A115" s="11" t="s">
        <v>80</v>
      </c>
      <c r="B115" s="12"/>
      <c r="C115" s="12">
        <v>300</v>
      </c>
      <c r="D115" s="14">
        <f>C115*A117</f>
        <v>180000</v>
      </c>
      <c r="E115" s="14">
        <f>D115*12</f>
        <v>2160000</v>
      </c>
      <c r="F115" s="14">
        <f>E115*15</f>
        <v>32400000</v>
      </c>
      <c r="G115" s="15">
        <f>E115*20</f>
        <v>43200000</v>
      </c>
    </row>
    <row r="116" spans="1:13" x14ac:dyDescent="0.25">
      <c r="A116" s="11" t="s">
        <v>81</v>
      </c>
      <c r="B116" s="12"/>
      <c r="C116" s="12">
        <v>450</v>
      </c>
      <c r="D116" s="14">
        <f>C116*A117</f>
        <v>270000</v>
      </c>
      <c r="E116" s="14">
        <f>D116*12</f>
        <v>3240000</v>
      </c>
      <c r="F116" s="14">
        <f>E116*15</f>
        <v>48600000</v>
      </c>
      <c r="G116" s="15">
        <f>E116*20</f>
        <v>64800000</v>
      </c>
    </row>
    <row r="117" spans="1:13" x14ac:dyDescent="0.25">
      <c r="A117" s="16">
        <v>600</v>
      </c>
      <c r="B117" s="17"/>
      <c r="C117" s="17"/>
      <c r="D117" s="17"/>
      <c r="E117" s="17"/>
      <c r="F117" s="17"/>
      <c r="G117" s="18"/>
    </row>
    <row r="120" spans="1:13" x14ac:dyDescent="0.25">
      <c r="A120" t="s">
        <v>87</v>
      </c>
    </row>
    <row r="121" spans="1:13" x14ac:dyDescent="0.25">
      <c r="A121" s="7"/>
      <c r="B121" s="8"/>
      <c r="C121" s="8" t="s">
        <v>88</v>
      </c>
      <c r="D121" s="8" t="s">
        <v>91</v>
      </c>
      <c r="E121" s="8" t="s">
        <v>93</v>
      </c>
      <c r="F121" s="8" t="s">
        <v>94</v>
      </c>
      <c r="G121" s="8" t="s">
        <v>95</v>
      </c>
      <c r="H121" s="8" t="s">
        <v>96</v>
      </c>
      <c r="I121" s="8" t="s">
        <v>97</v>
      </c>
      <c r="J121" s="8" t="s">
        <v>98</v>
      </c>
      <c r="K121" s="10" t="s">
        <v>99</v>
      </c>
      <c r="L121" s="48" t="s">
        <v>137</v>
      </c>
      <c r="M121" s="48" t="s">
        <v>153</v>
      </c>
    </row>
    <row r="122" spans="1:13" x14ac:dyDescent="0.25">
      <c r="A122" s="11" t="s">
        <v>89</v>
      </c>
      <c r="B122" s="12"/>
      <c r="C122" s="12">
        <v>200</v>
      </c>
      <c r="D122" s="12">
        <f>A127*C122</f>
        <v>3000</v>
      </c>
      <c r="E122" s="14">
        <f>D122*A130</f>
        <v>1800000</v>
      </c>
      <c r="F122" s="14">
        <f>D122*A132</f>
        <v>75000</v>
      </c>
      <c r="G122" s="14">
        <f>D122*A134</f>
        <v>297000</v>
      </c>
      <c r="H122" s="14">
        <f>D122*500</f>
        <v>1500000</v>
      </c>
      <c r="I122" s="14">
        <f>H122+G122+E122</f>
        <v>3597000</v>
      </c>
      <c r="J122" s="14">
        <f>F122</f>
        <v>75000</v>
      </c>
      <c r="K122" s="15">
        <f>C122*A123</f>
        <v>20000000</v>
      </c>
      <c r="L122" s="2">
        <f>J122*15</f>
        <v>1125000</v>
      </c>
      <c r="M122" s="2">
        <f>L122+I122</f>
        <v>4722000</v>
      </c>
    </row>
    <row r="123" spans="1:13" x14ac:dyDescent="0.25">
      <c r="A123" s="39">
        <v>100000</v>
      </c>
      <c r="B123" s="12"/>
      <c r="C123" s="12">
        <v>500</v>
      </c>
      <c r="D123" s="12">
        <f>A127*C123</f>
        <v>7500</v>
      </c>
      <c r="E123" s="14">
        <f>D123*A130</f>
        <v>4500000</v>
      </c>
      <c r="F123" s="14">
        <f>D123*A132</f>
        <v>187500</v>
      </c>
      <c r="G123" s="14">
        <f>A134*D123</f>
        <v>742500</v>
      </c>
      <c r="H123" s="14">
        <f>D123*500</f>
        <v>3750000</v>
      </c>
      <c r="I123" s="14">
        <f>H123+G123+E123</f>
        <v>8992500</v>
      </c>
      <c r="J123" s="14">
        <f>F123</f>
        <v>187500</v>
      </c>
      <c r="K123" s="15">
        <f>C123*A123</f>
        <v>50000000</v>
      </c>
      <c r="L123" s="2">
        <f>J123*15</f>
        <v>2812500</v>
      </c>
      <c r="M123" s="2">
        <f>L123+I123</f>
        <v>11805000</v>
      </c>
    </row>
    <row r="124" spans="1:13" x14ac:dyDescent="0.25">
      <c r="A124" s="11"/>
      <c r="B124" s="12"/>
      <c r="C124" s="12">
        <v>800</v>
      </c>
      <c r="D124" s="12">
        <f>C124*A127</f>
        <v>12000</v>
      </c>
      <c r="E124" s="14">
        <f>D124*A130</f>
        <v>7200000</v>
      </c>
      <c r="F124" s="14">
        <f>D124*A132</f>
        <v>300000</v>
      </c>
      <c r="G124" s="14">
        <f>D124*A134</f>
        <v>1188000</v>
      </c>
      <c r="H124" s="14">
        <f>D124*500</f>
        <v>6000000</v>
      </c>
      <c r="I124" s="14">
        <f>H124+G124+E124</f>
        <v>14388000</v>
      </c>
      <c r="J124" s="14">
        <f>F124</f>
        <v>300000</v>
      </c>
      <c r="K124" s="15">
        <f>C124*A123</f>
        <v>80000000</v>
      </c>
      <c r="L124" s="2">
        <f>J124*15</f>
        <v>4500000</v>
      </c>
      <c r="M124" s="2">
        <f>L124+I124</f>
        <v>18888000</v>
      </c>
    </row>
    <row r="125" spans="1:13" x14ac:dyDescent="0.25">
      <c r="A125" s="11"/>
      <c r="B125" s="12"/>
      <c r="C125" s="12"/>
      <c r="D125" s="12"/>
      <c r="E125" s="12"/>
      <c r="F125" s="12"/>
      <c r="G125" s="12"/>
      <c r="H125" s="12"/>
      <c r="I125" s="12"/>
      <c r="J125" s="12"/>
      <c r="K125" s="13"/>
    </row>
    <row r="126" spans="1:13" x14ac:dyDescent="0.25">
      <c r="A126" s="11" t="s">
        <v>90</v>
      </c>
      <c r="B126" s="12"/>
      <c r="C126" s="12"/>
      <c r="D126" s="12"/>
      <c r="E126" s="12"/>
      <c r="F126" s="12"/>
      <c r="G126" s="12"/>
      <c r="H126" s="12"/>
      <c r="I126" s="12"/>
      <c r="J126" s="12"/>
      <c r="K126" s="13"/>
    </row>
    <row r="127" spans="1:13" x14ac:dyDescent="0.25">
      <c r="A127" s="11">
        <v>15</v>
      </c>
      <c r="B127" s="12"/>
      <c r="C127" s="12"/>
      <c r="D127" s="12"/>
      <c r="E127" s="12"/>
      <c r="F127" s="12"/>
      <c r="G127" s="12"/>
      <c r="H127" s="12"/>
      <c r="I127" s="12"/>
      <c r="J127" s="12"/>
      <c r="K127" s="13"/>
    </row>
    <row r="128" spans="1:13" x14ac:dyDescent="0.25">
      <c r="A128" s="11"/>
      <c r="B128" s="12"/>
      <c r="C128" s="12"/>
      <c r="D128" s="12"/>
      <c r="E128" s="12"/>
      <c r="F128" s="12"/>
      <c r="G128" s="12"/>
      <c r="H128" s="12"/>
      <c r="I128" s="12"/>
      <c r="J128" s="12"/>
      <c r="K128" s="13"/>
    </row>
    <row r="129" spans="1:15" x14ac:dyDescent="0.25">
      <c r="A129" s="11" t="s">
        <v>92</v>
      </c>
      <c r="B129" s="12"/>
      <c r="C129" s="12"/>
      <c r="D129" s="12"/>
      <c r="E129" s="12"/>
      <c r="F129" s="12"/>
      <c r="G129" s="12"/>
      <c r="H129" s="12"/>
      <c r="I129" s="12"/>
      <c r="J129" s="12"/>
      <c r="K129" s="13"/>
    </row>
    <row r="130" spans="1:15" x14ac:dyDescent="0.25">
      <c r="A130" s="11">
        <v>600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3"/>
    </row>
    <row r="131" spans="1:15" x14ac:dyDescent="0.25">
      <c r="A131" s="11" t="s">
        <v>124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3"/>
    </row>
    <row r="132" spans="1:15" x14ac:dyDescent="0.25">
      <c r="A132" s="11">
        <v>25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3"/>
    </row>
    <row r="133" spans="1:15" x14ac:dyDescent="0.25">
      <c r="A133" s="11" t="s">
        <v>125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13"/>
    </row>
    <row r="134" spans="1:15" x14ac:dyDescent="0.25">
      <c r="A134" s="26">
        <v>99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8"/>
    </row>
    <row r="137" spans="1:15" x14ac:dyDescent="0.25">
      <c r="A137" s="23" t="s">
        <v>100</v>
      </c>
      <c r="B137" s="8"/>
      <c r="C137" s="8" t="s">
        <v>115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10"/>
    </row>
    <row r="138" spans="1:15" x14ac:dyDescent="0.25">
      <c r="A138" s="46" t="s">
        <v>101</v>
      </c>
      <c r="B138" s="12"/>
      <c r="C138" s="12" t="s">
        <v>139</v>
      </c>
      <c r="D138" s="12" t="s">
        <v>109</v>
      </c>
      <c r="E138" s="12" t="s">
        <v>110</v>
      </c>
      <c r="F138" s="12" t="s">
        <v>121</v>
      </c>
      <c r="G138" s="48" t="s">
        <v>122</v>
      </c>
      <c r="H138" s="12" t="s">
        <v>114</v>
      </c>
      <c r="I138" s="12" t="s">
        <v>113</v>
      </c>
      <c r="J138" s="48" t="s">
        <v>123</v>
      </c>
      <c r="K138" s="12" t="s">
        <v>127</v>
      </c>
      <c r="L138" s="48" t="s">
        <v>126</v>
      </c>
      <c r="M138" s="48" t="s">
        <v>138</v>
      </c>
      <c r="N138" s="51" t="s">
        <v>154</v>
      </c>
    </row>
    <row r="139" spans="1:15" x14ac:dyDescent="0.25">
      <c r="A139" s="39">
        <v>100000</v>
      </c>
      <c r="B139" s="12"/>
      <c r="C139" s="12">
        <v>200</v>
      </c>
      <c r="D139" s="12">
        <v>120</v>
      </c>
      <c r="E139" s="14">
        <f>D139*A139</f>
        <v>12000000</v>
      </c>
      <c r="F139" s="12">
        <f>C139*(A152*A154)</f>
        <v>6000</v>
      </c>
      <c r="G139" s="44">
        <f>A143*F139</f>
        <v>9000000</v>
      </c>
      <c r="H139" s="12">
        <f>C139*4</f>
        <v>800</v>
      </c>
      <c r="I139" s="44">
        <f>H139*A141</f>
        <v>4400000</v>
      </c>
      <c r="J139" s="14">
        <f>J144+(H139*E30)</f>
        <v>753200</v>
      </c>
      <c r="K139" s="14">
        <f>K144+(H139*D39)</f>
        <v>210000</v>
      </c>
      <c r="L139" s="44">
        <f>500*F139</f>
        <v>3000000</v>
      </c>
      <c r="M139" s="14">
        <f>K139*15</f>
        <v>3150000</v>
      </c>
      <c r="N139" s="15">
        <f>M139+I139+G139+E139+J139+L139</f>
        <v>32303200</v>
      </c>
    </row>
    <row r="140" spans="1:15" x14ac:dyDescent="0.25">
      <c r="A140" s="11" t="s">
        <v>102</v>
      </c>
      <c r="B140" s="12"/>
      <c r="C140" s="12">
        <v>500</v>
      </c>
      <c r="D140" s="12">
        <v>420</v>
      </c>
      <c r="E140" s="14">
        <f>D140*A139</f>
        <v>42000000</v>
      </c>
      <c r="F140" s="12">
        <f>C140*(A152*A154)</f>
        <v>15000</v>
      </c>
      <c r="G140" s="44">
        <f>F140*A143</f>
        <v>22500000</v>
      </c>
      <c r="H140" s="12">
        <f>C140*4</f>
        <v>2000</v>
      </c>
      <c r="I140" s="44">
        <f>H140*A141</f>
        <v>11000000</v>
      </c>
      <c r="J140" s="14">
        <f>J145+(H140*E30)</f>
        <v>1883000</v>
      </c>
      <c r="K140" s="14">
        <f>K145+(D140*D39)</f>
        <v>406500</v>
      </c>
      <c r="L140" s="44">
        <f>500*F140</f>
        <v>7500000</v>
      </c>
      <c r="M140" s="14">
        <f>K140*15</f>
        <v>6097500</v>
      </c>
      <c r="N140" s="15">
        <f>M140+I140+G140+E140+J140+L140</f>
        <v>90980500</v>
      </c>
      <c r="O140" s="2">
        <f>117000000+N140</f>
        <v>207980500</v>
      </c>
    </row>
    <row r="141" spans="1:15" x14ac:dyDescent="0.25">
      <c r="A141" s="47">
        <v>5500</v>
      </c>
      <c r="B141" s="12"/>
      <c r="C141" s="12">
        <v>800</v>
      </c>
      <c r="D141" s="12">
        <v>720</v>
      </c>
      <c r="E141" s="14">
        <f>D141*A139</f>
        <v>72000000</v>
      </c>
      <c r="F141" s="12">
        <f>C141*(A154*A152)</f>
        <v>24000</v>
      </c>
      <c r="G141" s="44">
        <f>F141*A143</f>
        <v>36000000</v>
      </c>
      <c r="H141" s="12">
        <f>C141*4</f>
        <v>3200</v>
      </c>
      <c r="I141" s="44">
        <f>H141*A141</f>
        <v>17600000</v>
      </c>
      <c r="J141" s="14">
        <f>J146+(H141*E30)</f>
        <v>3012800</v>
      </c>
      <c r="K141" s="14">
        <f>K146+(H141*D39)</f>
        <v>840000</v>
      </c>
      <c r="L141" s="44">
        <f>500*F141</f>
        <v>12000000</v>
      </c>
      <c r="M141" s="14">
        <f>K141*15</f>
        <v>12600000</v>
      </c>
      <c r="N141" s="15">
        <f>M141+I141+G141+E141+J141+L141</f>
        <v>153212800</v>
      </c>
      <c r="O141" s="2"/>
    </row>
    <row r="142" spans="1:15" x14ac:dyDescent="0.25">
      <c r="A142" s="11" t="s">
        <v>103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3"/>
    </row>
    <row r="143" spans="1:15" x14ac:dyDescent="0.25">
      <c r="A143" s="47">
        <v>1500</v>
      </c>
      <c r="B143" s="12"/>
      <c r="C143" s="12" t="s">
        <v>22</v>
      </c>
      <c r="D143" s="12" t="s">
        <v>116</v>
      </c>
      <c r="E143" s="12" t="s">
        <v>118</v>
      </c>
      <c r="F143" s="12" t="s">
        <v>121</v>
      </c>
      <c r="G143" s="12" t="s">
        <v>122</v>
      </c>
      <c r="H143" s="12" t="s">
        <v>119</v>
      </c>
      <c r="I143" s="12" t="s">
        <v>120</v>
      </c>
      <c r="J143" s="48" t="s">
        <v>123</v>
      </c>
      <c r="K143" s="12" t="s">
        <v>127</v>
      </c>
      <c r="L143" s="12"/>
      <c r="M143" s="12"/>
      <c r="N143" s="52" t="s">
        <v>153</v>
      </c>
    </row>
    <row r="144" spans="1:15" x14ac:dyDescent="0.25">
      <c r="A144" s="11"/>
      <c r="B144" s="12"/>
      <c r="C144" s="12">
        <v>200</v>
      </c>
      <c r="D144" s="12">
        <v>0</v>
      </c>
      <c r="E144" s="14">
        <f>D144*A139</f>
        <v>0</v>
      </c>
      <c r="F144" s="12">
        <f>C139*(A152*A154)</f>
        <v>6000</v>
      </c>
      <c r="G144" s="14">
        <f>F144*A157</f>
        <v>3600000</v>
      </c>
      <c r="H144" s="12">
        <v>0</v>
      </c>
      <c r="I144" s="14">
        <v>0</v>
      </c>
      <c r="J144" s="14">
        <f>F144*A134</f>
        <v>594000</v>
      </c>
      <c r="K144" s="14">
        <f>F144*A132</f>
        <v>150000</v>
      </c>
      <c r="L144" s="44">
        <f>500*F144</f>
        <v>3000000</v>
      </c>
      <c r="M144" s="14">
        <f>K144*15</f>
        <v>2250000</v>
      </c>
      <c r="N144" s="15">
        <f>M144+I144+G144+E144+J144+L144</f>
        <v>9444000</v>
      </c>
    </row>
    <row r="145" spans="1:14" x14ac:dyDescent="0.25">
      <c r="A145" s="11" t="s">
        <v>107</v>
      </c>
      <c r="B145" s="12"/>
      <c r="C145" s="12">
        <v>500</v>
      </c>
      <c r="D145" s="12">
        <v>10</v>
      </c>
      <c r="E145" s="14">
        <v>0</v>
      </c>
      <c r="F145" s="12">
        <f>C140*(A152*A154)</f>
        <v>15000</v>
      </c>
      <c r="G145" s="14">
        <f>F145*A157</f>
        <v>9000000</v>
      </c>
      <c r="H145" s="12">
        <v>0</v>
      </c>
      <c r="I145" s="14">
        <v>0</v>
      </c>
      <c r="J145" s="14">
        <f>F145*A134</f>
        <v>1485000</v>
      </c>
      <c r="K145" s="14">
        <f>F145*A132</f>
        <v>375000</v>
      </c>
      <c r="L145" s="44">
        <f>500*F145</f>
        <v>7500000</v>
      </c>
      <c r="M145" s="14">
        <f>K145*15</f>
        <v>5625000</v>
      </c>
      <c r="N145" s="15">
        <f t="shared" ref="N145:N146" si="3">M145+I145+G145+E145+J145+L145</f>
        <v>23610000</v>
      </c>
    </row>
    <row r="146" spans="1:14" x14ac:dyDescent="0.25">
      <c r="A146" s="11">
        <v>1</v>
      </c>
      <c r="B146" s="12"/>
      <c r="C146" s="12">
        <v>800</v>
      </c>
      <c r="D146" s="12">
        <v>20</v>
      </c>
      <c r="E146" s="14">
        <v>0</v>
      </c>
      <c r="F146" s="12">
        <f>F141</f>
        <v>24000</v>
      </c>
      <c r="G146" s="14">
        <f>F146*A130</f>
        <v>14400000</v>
      </c>
      <c r="H146" s="12">
        <v>0</v>
      </c>
      <c r="I146" s="14">
        <v>0</v>
      </c>
      <c r="J146" s="14">
        <f>F146*A134</f>
        <v>2376000</v>
      </c>
      <c r="K146" s="14">
        <f>F146*A132</f>
        <v>600000</v>
      </c>
      <c r="L146" s="44">
        <f>500*F146</f>
        <v>12000000</v>
      </c>
      <c r="M146" s="14">
        <f>K146*15</f>
        <v>9000000</v>
      </c>
      <c r="N146" s="15">
        <f t="shared" si="3"/>
        <v>37776000</v>
      </c>
    </row>
    <row r="147" spans="1:14" x14ac:dyDescent="0.25">
      <c r="A147" s="11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3"/>
    </row>
    <row r="148" spans="1:14" x14ac:dyDescent="0.25">
      <c r="A148" s="11" t="s">
        <v>108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3"/>
    </row>
    <row r="149" spans="1:14" x14ac:dyDescent="0.25">
      <c r="A149" s="11">
        <v>80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3"/>
    </row>
    <row r="150" spans="1:14" x14ac:dyDescent="0.25">
      <c r="A150" s="11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3"/>
    </row>
    <row r="151" spans="1:14" x14ac:dyDescent="0.25">
      <c r="A151" s="11" t="s">
        <v>111</v>
      </c>
      <c r="B151" s="12"/>
      <c r="C151" s="12"/>
      <c r="D151" s="12"/>
      <c r="E151" s="12"/>
      <c r="F151" s="12"/>
      <c r="G151" s="12"/>
      <c r="H151" s="12">
        <f>4*5500</f>
        <v>22000</v>
      </c>
      <c r="I151" s="12"/>
      <c r="J151" s="12"/>
      <c r="K151" s="12"/>
      <c r="L151" s="12"/>
      <c r="M151" s="12"/>
      <c r="N151" s="13"/>
    </row>
    <row r="152" spans="1:14" x14ac:dyDescent="0.25">
      <c r="A152" s="11">
        <v>5</v>
      </c>
      <c r="B152" s="12"/>
      <c r="C152" s="12"/>
      <c r="D152" s="12"/>
      <c r="E152" s="12"/>
      <c r="F152" s="12"/>
      <c r="G152" s="12"/>
      <c r="H152" s="12">
        <f>30*1500</f>
        <v>45000</v>
      </c>
      <c r="I152" s="12"/>
      <c r="J152" s="12"/>
      <c r="K152" s="12"/>
      <c r="L152" s="12"/>
      <c r="M152" s="12"/>
      <c r="N152" s="13"/>
    </row>
    <row r="153" spans="1:14" x14ac:dyDescent="0.25">
      <c r="A153" s="11" t="s">
        <v>112</v>
      </c>
      <c r="B153" s="12"/>
      <c r="C153" s="12"/>
      <c r="D153" s="12"/>
      <c r="E153" s="12"/>
      <c r="F153" s="12"/>
      <c r="G153" s="12"/>
      <c r="H153" s="12">
        <f>H152+H151</f>
        <v>67000</v>
      </c>
      <c r="I153" s="12"/>
      <c r="J153" s="12"/>
      <c r="K153" s="12"/>
      <c r="L153" s="12"/>
      <c r="M153" s="12"/>
      <c r="N153" s="13"/>
    </row>
    <row r="154" spans="1:14" x14ac:dyDescent="0.25">
      <c r="A154" s="11">
        <v>6</v>
      </c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3"/>
    </row>
    <row r="155" spans="1:14" x14ac:dyDescent="0.25">
      <c r="A155" s="11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3"/>
    </row>
    <row r="156" spans="1:14" x14ac:dyDescent="0.25">
      <c r="A156" s="11" t="s">
        <v>117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3"/>
    </row>
    <row r="157" spans="1:14" x14ac:dyDescent="0.25">
      <c r="A157" s="26">
        <v>600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8"/>
    </row>
    <row r="160" spans="1:14" x14ac:dyDescent="0.25">
      <c r="A160" s="7" t="s">
        <v>128</v>
      </c>
      <c r="B160" s="8"/>
      <c r="C160" s="8" t="s">
        <v>130</v>
      </c>
      <c r="D160" s="8" t="s">
        <v>131</v>
      </c>
      <c r="E160" s="8" t="s">
        <v>132</v>
      </c>
      <c r="F160" s="8" t="s">
        <v>133</v>
      </c>
      <c r="G160" s="8"/>
      <c r="H160" s="8"/>
      <c r="I160" s="8"/>
      <c r="J160" s="8"/>
      <c r="K160" s="10"/>
    </row>
    <row r="161" spans="1:11" x14ac:dyDescent="0.25">
      <c r="A161" s="11"/>
      <c r="B161" s="12"/>
      <c r="C161" s="12">
        <v>200</v>
      </c>
      <c r="D161" s="14">
        <f>C161*A163</f>
        <v>10000</v>
      </c>
      <c r="E161" s="14">
        <f>D161*12</f>
        <v>120000</v>
      </c>
      <c r="F161" s="14">
        <f>E161*15</f>
        <v>1800000</v>
      </c>
      <c r="G161" s="12"/>
      <c r="H161" s="12"/>
      <c r="I161" s="12"/>
      <c r="J161" s="12"/>
      <c r="K161" s="13"/>
    </row>
    <row r="162" spans="1:11" x14ac:dyDescent="0.25">
      <c r="A162" s="11" t="s">
        <v>129</v>
      </c>
      <c r="B162" s="12"/>
      <c r="C162" s="12">
        <v>500</v>
      </c>
      <c r="D162" s="14">
        <f>C162*A163</f>
        <v>25000</v>
      </c>
      <c r="E162" s="14">
        <f>D162*12</f>
        <v>300000</v>
      </c>
      <c r="F162" s="14">
        <f>E162*15</f>
        <v>4500000</v>
      </c>
      <c r="G162" s="12"/>
      <c r="H162" s="12"/>
      <c r="I162" s="12"/>
      <c r="J162" s="12"/>
      <c r="K162" s="13"/>
    </row>
    <row r="163" spans="1:11" x14ac:dyDescent="0.25">
      <c r="A163" s="16">
        <v>50</v>
      </c>
      <c r="B163" s="17"/>
      <c r="C163" s="17">
        <v>800</v>
      </c>
      <c r="D163" s="42">
        <f>C163*A163</f>
        <v>40000</v>
      </c>
      <c r="E163" s="42">
        <f>D163*12</f>
        <v>480000</v>
      </c>
      <c r="F163" s="42">
        <f>E163*15</f>
        <v>7200000</v>
      </c>
      <c r="G163" s="17"/>
      <c r="H163" s="17"/>
      <c r="I163" s="17"/>
      <c r="J163" s="17"/>
      <c r="K163" s="18"/>
    </row>
    <row r="167" spans="1:11" x14ac:dyDescent="0.25">
      <c r="A167" t="s">
        <v>134</v>
      </c>
    </row>
    <row r="168" spans="1:11" x14ac:dyDescent="0.25">
      <c r="A168" s="7"/>
      <c r="B168" s="8"/>
      <c r="C168" s="8" t="s">
        <v>145</v>
      </c>
      <c r="D168" s="8" t="s">
        <v>147</v>
      </c>
      <c r="E168" s="10" t="s">
        <v>148</v>
      </c>
    </row>
    <row r="169" spans="1:11" x14ac:dyDescent="0.25">
      <c r="A169" s="11" t="s">
        <v>140</v>
      </c>
      <c r="B169" s="12" t="s">
        <v>146</v>
      </c>
      <c r="C169" s="14">
        <f>(A172*A177*A175)</f>
        <v>60000</v>
      </c>
      <c r="D169" s="14">
        <f>C169*12</f>
        <v>720000</v>
      </c>
      <c r="E169" s="15">
        <f>D169*15</f>
        <v>10800000</v>
      </c>
    </row>
    <row r="170" spans="1:11" x14ac:dyDescent="0.25">
      <c r="A170" s="39">
        <v>3900</v>
      </c>
      <c r="B170" s="12" t="s">
        <v>149</v>
      </c>
      <c r="C170" s="14">
        <f>A177*A175*A180</f>
        <v>150000</v>
      </c>
      <c r="D170" s="14">
        <f>C170*12</f>
        <v>1800000</v>
      </c>
      <c r="E170" s="15">
        <f>D170*15</f>
        <v>27000000</v>
      </c>
    </row>
    <row r="171" spans="1:11" x14ac:dyDescent="0.25">
      <c r="A171" s="11" t="s">
        <v>143</v>
      </c>
      <c r="B171" s="12"/>
      <c r="C171" s="12"/>
      <c r="D171" s="12"/>
      <c r="E171" s="13"/>
    </row>
    <row r="172" spans="1:11" x14ac:dyDescent="0.25">
      <c r="A172" s="53">
        <v>0.1</v>
      </c>
      <c r="B172" s="12"/>
      <c r="C172" s="12"/>
      <c r="D172" s="12"/>
      <c r="E172" s="13"/>
    </row>
    <row r="173" spans="1:11" x14ac:dyDescent="0.25">
      <c r="A173" s="11"/>
      <c r="B173" s="12"/>
      <c r="C173" s="12"/>
      <c r="D173" s="12"/>
      <c r="E173" s="13"/>
    </row>
    <row r="174" spans="1:11" x14ac:dyDescent="0.25">
      <c r="A174" s="11" t="s">
        <v>141</v>
      </c>
      <c r="B174" s="12"/>
      <c r="C174" s="12"/>
      <c r="D174" s="12"/>
      <c r="E174" s="13"/>
    </row>
    <row r="175" spans="1:11" x14ac:dyDescent="0.25">
      <c r="A175" s="11">
        <v>0.15</v>
      </c>
      <c r="B175" s="12"/>
      <c r="C175" s="12"/>
      <c r="D175" s="12"/>
      <c r="E175" s="13"/>
    </row>
    <row r="176" spans="1:11" x14ac:dyDescent="0.25">
      <c r="A176" s="11" t="s">
        <v>142</v>
      </c>
      <c r="B176" s="12"/>
      <c r="C176" s="12"/>
      <c r="D176" s="12"/>
      <c r="E176" s="13"/>
    </row>
    <row r="177" spans="1:5" x14ac:dyDescent="0.25">
      <c r="A177" s="54">
        <v>4000000</v>
      </c>
      <c r="B177" s="12"/>
      <c r="C177" s="12"/>
      <c r="D177" s="12"/>
      <c r="E177" s="13"/>
    </row>
    <row r="178" spans="1:5" x14ac:dyDescent="0.25">
      <c r="A178" s="11"/>
      <c r="B178" s="12"/>
      <c r="C178" s="12"/>
      <c r="D178" s="12"/>
      <c r="E178" s="13"/>
    </row>
    <row r="179" spans="1:5" x14ac:dyDescent="0.25">
      <c r="A179" s="11" t="s">
        <v>144</v>
      </c>
      <c r="B179" s="12"/>
      <c r="C179" s="12"/>
      <c r="D179" s="12"/>
      <c r="E179" s="13"/>
    </row>
    <row r="180" spans="1:5" x14ac:dyDescent="0.25">
      <c r="A180" s="16">
        <v>0.25</v>
      </c>
      <c r="B180" s="17"/>
      <c r="C180" s="17"/>
      <c r="D180" s="17"/>
      <c r="E180" s="18"/>
    </row>
    <row r="183" spans="1:5" x14ac:dyDescent="0.25">
      <c r="B183" t="s">
        <v>151</v>
      </c>
    </row>
    <row r="184" spans="1:5" x14ac:dyDescent="0.25">
      <c r="A184" t="s">
        <v>150</v>
      </c>
      <c r="B184" s="2">
        <f xml:space="preserve"> S58+F115+N140+F163+E170</f>
        <v>193220500</v>
      </c>
    </row>
    <row r="185" spans="1:5" x14ac:dyDescent="0.25">
      <c r="A185" t="s">
        <v>152</v>
      </c>
      <c r="B185" s="2">
        <f xml:space="preserve"> S57+F114+N139+E169+F161</f>
        <v>75953200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86"/>
  <sheetViews>
    <sheetView topLeftCell="H118" workbookViewId="0">
      <selection activeCell="B186" sqref="B186"/>
    </sheetView>
  </sheetViews>
  <sheetFormatPr defaultColWidth="8.85546875" defaultRowHeight="15" x14ac:dyDescent="0.25"/>
  <cols>
    <col min="1" max="1" width="50.7109375" bestFit="1" customWidth="1"/>
    <col min="2" max="2" width="15" bestFit="1" customWidth="1"/>
    <col min="3" max="3" width="38.28515625" customWidth="1"/>
    <col min="4" max="4" width="47.85546875" bestFit="1" customWidth="1"/>
    <col min="5" max="5" width="45" customWidth="1"/>
    <col min="6" max="6" width="39.140625" bestFit="1" customWidth="1"/>
    <col min="7" max="7" width="33.42578125" customWidth="1"/>
    <col min="8" max="8" width="40.28515625" bestFit="1" customWidth="1"/>
    <col min="9" max="9" width="32.85546875" bestFit="1" customWidth="1"/>
    <col min="10" max="10" width="23.28515625" bestFit="1" customWidth="1"/>
    <col min="11" max="11" width="19.140625" bestFit="1" customWidth="1"/>
    <col min="12" max="12" width="16.85546875" bestFit="1" customWidth="1"/>
    <col min="13" max="13" width="15" bestFit="1" customWidth="1"/>
    <col min="14" max="14" width="16.140625" bestFit="1" customWidth="1"/>
    <col min="15" max="15" width="15" bestFit="1" customWidth="1"/>
    <col min="16" max="18" width="13.140625" bestFit="1" customWidth="1"/>
    <col min="19" max="19" width="19" customWidth="1"/>
    <col min="20" max="22" width="13.140625" bestFit="1" customWidth="1"/>
    <col min="23" max="24" width="14" bestFit="1" customWidth="1"/>
  </cols>
  <sheetData>
    <row r="2" spans="1:11" x14ac:dyDescent="0.25">
      <c r="E2" t="s">
        <v>1</v>
      </c>
      <c r="F2" t="s">
        <v>2</v>
      </c>
      <c r="G2" t="s">
        <v>3</v>
      </c>
      <c r="H2" t="s">
        <v>16</v>
      </c>
      <c r="I2" t="s">
        <v>17</v>
      </c>
      <c r="J2" t="s">
        <v>18</v>
      </c>
      <c r="K2" t="s">
        <v>104</v>
      </c>
    </row>
    <row r="3" spans="1:11" x14ac:dyDescent="0.25">
      <c r="A3" t="s">
        <v>0</v>
      </c>
      <c r="B3">
        <v>3300</v>
      </c>
      <c r="E3">
        <f>B3</f>
        <v>3300</v>
      </c>
    </row>
    <row r="4" spans="1:11" x14ac:dyDescent="0.25">
      <c r="A4" t="s">
        <v>4</v>
      </c>
      <c r="B4">
        <v>4</v>
      </c>
    </row>
    <row r="5" spans="1:11" x14ac:dyDescent="0.25">
      <c r="A5" t="s">
        <v>5</v>
      </c>
      <c r="B5">
        <f>B3*B4</f>
        <v>13200</v>
      </c>
      <c r="E5">
        <f>B5*0.5</f>
        <v>6600</v>
      </c>
      <c r="F5">
        <f>B5*0.5</f>
        <v>6600</v>
      </c>
    </row>
    <row r="6" spans="1:11" x14ac:dyDescent="0.25">
      <c r="A6" t="s">
        <v>6</v>
      </c>
      <c r="B6">
        <v>6</v>
      </c>
    </row>
    <row r="7" spans="1:11" x14ac:dyDescent="0.25">
      <c r="A7" t="s">
        <v>7</v>
      </c>
      <c r="B7">
        <f>B3/B6</f>
        <v>550</v>
      </c>
    </row>
    <row r="8" spans="1:11" x14ac:dyDescent="0.25">
      <c r="A8" t="s">
        <v>8</v>
      </c>
      <c r="B8">
        <f>B7</f>
        <v>550</v>
      </c>
      <c r="G8">
        <f>B8</f>
        <v>550</v>
      </c>
    </row>
    <row r="9" spans="1:11" x14ac:dyDescent="0.25">
      <c r="A9" t="s">
        <v>9</v>
      </c>
      <c r="B9">
        <v>75</v>
      </c>
    </row>
    <row r="10" spans="1:11" x14ac:dyDescent="0.25">
      <c r="A10" t="s">
        <v>10</v>
      </c>
      <c r="B10">
        <f>100-B9</f>
        <v>25</v>
      </c>
    </row>
    <row r="11" spans="1:11" x14ac:dyDescent="0.25">
      <c r="A11" t="s">
        <v>11</v>
      </c>
      <c r="B11">
        <f>B8*(B9/100)</f>
        <v>412.5</v>
      </c>
      <c r="H11">
        <f>B11</f>
        <v>412.5</v>
      </c>
    </row>
    <row r="12" spans="1:11" x14ac:dyDescent="0.25">
      <c r="A12" t="s">
        <v>12</v>
      </c>
      <c r="B12">
        <v>4</v>
      </c>
    </row>
    <row r="13" spans="1:11" x14ac:dyDescent="0.25">
      <c r="A13" t="s">
        <v>13</v>
      </c>
      <c r="B13">
        <f>B11/B12</f>
        <v>103.125</v>
      </c>
      <c r="I13">
        <f>B13</f>
        <v>103.125</v>
      </c>
    </row>
    <row r="14" spans="1:11" x14ac:dyDescent="0.25">
      <c r="A14" t="s">
        <v>14</v>
      </c>
      <c r="B14">
        <f>B8*(B10/100)</f>
        <v>137.5</v>
      </c>
    </row>
    <row r="15" spans="1:11" x14ac:dyDescent="0.25">
      <c r="A15" t="s">
        <v>15</v>
      </c>
      <c r="B15">
        <f>B14*2</f>
        <v>275</v>
      </c>
      <c r="J15">
        <f>B15</f>
        <v>275</v>
      </c>
    </row>
    <row r="16" spans="1:11" x14ac:dyDescent="0.25">
      <c r="A16" t="s">
        <v>19</v>
      </c>
      <c r="B16">
        <f>B13+B14</f>
        <v>240.625</v>
      </c>
    </row>
    <row r="17" spans="1:12" x14ac:dyDescent="0.25">
      <c r="A17" t="s">
        <v>20</v>
      </c>
      <c r="B17">
        <f>B11+B14</f>
        <v>550</v>
      </c>
    </row>
    <row r="19" spans="1:12" x14ac:dyDescent="0.25">
      <c r="L19" t="s">
        <v>48</v>
      </c>
    </row>
    <row r="20" spans="1:12" x14ac:dyDescent="0.25">
      <c r="E20">
        <f t="shared" ref="E20:J20" si="0">SUM(E3:E17)</f>
        <v>9900</v>
      </c>
      <c r="F20">
        <f t="shared" si="0"/>
        <v>6600</v>
      </c>
      <c r="G20">
        <f t="shared" si="0"/>
        <v>550</v>
      </c>
      <c r="H20">
        <f t="shared" si="0"/>
        <v>412.5</v>
      </c>
      <c r="I20">
        <f t="shared" si="0"/>
        <v>103.125</v>
      </c>
      <c r="J20">
        <f t="shared" si="0"/>
        <v>275</v>
      </c>
      <c r="K20">
        <v>20</v>
      </c>
      <c r="L20">
        <f>SUM(E20:J20)</f>
        <v>17840.625</v>
      </c>
    </row>
    <row r="21" spans="1:12" x14ac:dyDescent="0.25">
      <c r="E21" s="1">
        <v>1400</v>
      </c>
      <c r="F21" s="1">
        <v>4400</v>
      </c>
      <c r="G21" s="1">
        <v>6000</v>
      </c>
      <c r="H21" s="1">
        <v>4000</v>
      </c>
      <c r="I21" s="1">
        <v>10000</v>
      </c>
      <c r="J21" s="1">
        <v>5000</v>
      </c>
      <c r="K21" s="1">
        <v>100000</v>
      </c>
    </row>
    <row r="22" spans="1:12" x14ac:dyDescent="0.25">
      <c r="A22" s="1">
        <f>SUM(E22:J22)</f>
        <v>50256250</v>
      </c>
      <c r="E22" s="1">
        <f t="shared" ref="E22:J22" si="1">E20*E21</f>
        <v>13860000</v>
      </c>
      <c r="F22" s="1">
        <f t="shared" si="1"/>
        <v>29040000</v>
      </c>
      <c r="G22" s="1">
        <f t="shared" si="1"/>
        <v>3300000</v>
      </c>
      <c r="H22" s="1">
        <f t="shared" si="1"/>
        <v>1650000</v>
      </c>
      <c r="I22" s="1">
        <f t="shared" si="1"/>
        <v>1031250</v>
      </c>
      <c r="J22" s="1">
        <f t="shared" si="1"/>
        <v>1375000</v>
      </c>
      <c r="K22" s="1">
        <f>K21*K20</f>
        <v>2000000</v>
      </c>
      <c r="L22" s="1">
        <f>SUM(E22:K22)</f>
        <v>52256250</v>
      </c>
    </row>
    <row r="23" spans="1:12" x14ac:dyDescent="0.25">
      <c r="A23" s="1"/>
      <c r="C23" t="s">
        <v>104</v>
      </c>
      <c r="D23" s="5">
        <f>A25*A27</f>
        <v>2000000</v>
      </c>
      <c r="E23" s="1"/>
      <c r="F23" s="1"/>
      <c r="G23" s="1"/>
      <c r="H23" s="1"/>
      <c r="I23" s="1"/>
      <c r="J23" s="1"/>
      <c r="L23" s="1"/>
    </row>
    <row r="24" spans="1:12" x14ac:dyDescent="0.25">
      <c r="A24" s="1" t="s">
        <v>105</v>
      </c>
      <c r="E24" s="1"/>
      <c r="F24" s="1"/>
      <c r="G24" s="1"/>
      <c r="H24" s="1"/>
      <c r="I24" s="1"/>
      <c r="J24" s="1"/>
      <c r="L24" s="1"/>
    </row>
    <row r="25" spans="1:12" x14ac:dyDescent="0.25">
      <c r="A25" s="1">
        <v>100000</v>
      </c>
      <c r="E25" s="1"/>
      <c r="F25" s="1"/>
      <c r="G25" s="1"/>
      <c r="H25" s="1"/>
      <c r="I25" s="1"/>
      <c r="J25" s="1"/>
      <c r="L25" s="1"/>
    </row>
    <row r="26" spans="1:12" x14ac:dyDescent="0.25">
      <c r="A26" s="1" t="s">
        <v>106</v>
      </c>
      <c r="E26" s="1"/>
      <c r="F26" s="1"/>
      <c r="G26" s="1"/>
      <c r="H26" s="1"/>
      <c r="I26" s="1"/>
      <c r="J26" s="1"/>
      <c r="L26" s="1"/>
    </row>
    <row r="27" spans="1:12" x14ac:dyDescent="0.25">
      <c r="A27" s="45">
        <v>20</v>
      </c>
      <c r="E27" s="1"/>
      <c r="F27" s="1"/>
      <c r="G27" s="1"/>
      <c r="H27" s="1"/>
      <c r="I27" s="1"/>
      <c r="J27" s="1"/>
      <c r="L27" s="1"/>
    </row>
    <row r="29" spans="1:12" x14ac:dyDescent="0.25">
      <c r="C29" s="23" t="s">
        <v>45</v>
      </c>
      <c r="D29" s="8" t="s">
        <v>46</v>
      </c>
      <c r="E29" s="8" t="s">
        <v>47</v>
      </c>
      <c r="F29" s="10" t="s">
        <v>49</v>
      </c>
      <c r="I29" t="s">
        <v>135</v>
      </c>
      <c r="J29" s="1">
        <f>(SUM(E22:J22))*2</f>
        <v>100512500</v>
      </c>
    </row>
    <row r="30" spans="1:12" x14ac:dyDescent="0.25">
      <c r="C30" s="11"/>
      <c r="D30" s="24">
        <v>3995</v>
      </c>
      <c r="E30" s="24">
        <v>199</v>
      </c>
      <c r="F30" s="25" t="s">
        <v>44</v>
      </c>
      <c r="I30" t="s">
        <v>136</v>
      </c>
      <c r="J30" s="1">
        <f>K22</f>
        <v>2000000</v>
      </c>
    </row>
    <row r="31" spans="1:12" x14ac:dyDescent="0.25">
      <c r="C31" s="26"/>
      <c r="D31" s="27">
        <f>2*D30</f>
        <v>7990</v>
      </c>
      <c r="E31" s="27">
        <f>17820*E30</f>
        <v>3546180</v>
      </c>
      <c r="F31" s="28">
        <f>E31+D31</f>
        <v>3554170</v>
      </c>
      <c r="I31" t="s">
        <v>45</v>
      </c>
      <c r="J31" s="3">
        <f>F31</f>
        <v>3554170</v>
      </c>
    </row>
    <row r="32" spans="1:12" x14ac:dyDescent="0.25">
      <c r="D32" s="3"/>
      <c r="E32" s="3"/>
      <c r="F32" s="3"/>
      <c r="I32" t="str">
        <f>C35</f>
        <v>Design, Engineering Support, Project Management, network tuning</v>
      </c>
      <c r="J32" s="3">
        <f>E35</f>
        <v>8920312.5</v>
      </c>
      <c r="L32" s="2">
        <f>J36*15</f>
        <v>3919218.75</v>
      </c>
    </row>
    <row r="33" spans="3:12" x14ac:dyDescent="0.25">
      <c r="C33" s="23" t="s">
        <v>50</v>
      </c>
      <c r="D33" s="29" t="s">
        <v>53</v>
      </c>
      <c r="E33" s="29" t="s">
        <v>44</v>
      </c>
      <c r="F33" s="30"/>
      <c r="I33" t="str">
        <f>C36</f>
        <v>Installation (optional)</v>
      </c>
      <c r="J33" s="3">
        <f>E36</f>
        <v>8920312.5</v>
      </c>
    </row>
    <row r="34" spans="3:12" x14ac:dyDescent="0.25">
      <c r="C34" s="56"/>
      <c r="D34" s="31"/>
      <c r="E34" s="31"/>
      <c r="F34" s="32"/>
      <c r="I34" t="s">
        <v>180</v>
      </c>
      <c r="J34" s="3">
        <f>J33/2</f>
        <v>4460156.25</v>
      </c>
    </row>
    <row r="35" spans="3:12" x14ac:dyDescent="0.25">
      <c r="C35" s="11" t="s">
        <v>51</v>
      </c>
      <c r="D35" s="31">
        <v>500</v>
      </c>
      <c r="E35" s="31">
        <f>D35*L20</f>
        <v>8920312.5</v>
      </c>
      <c r="F35" s="32"/>
      <c r="I35" t="str">
        <f>C39</f>
        <v>Tropos Support</v>
      </c>
      <c r="J35" s="2">
        <f>E42</f>
        <v>1516796.875</v>
      </c>
      <c r="K35" s="1">
        <f>SUM(J29:J35)</f>
        <v>129884248.125</v>
      </c>
      <c r="L35" s="5">
        <f>K35-J33</f>
        <v>120963935.625</v>
      </c>
    </row>
    <row r="36" spans="3:12" x14ac:dyDescent="0.25">
      <c r="C36" s="26" t="s">
        <v>52</v>
      </c>
      <c r="D36" s="27">
        <v>500</v>
      </c>
      <c r="E36" s="27">
        <f>D36*L20</f>
        <v>8920312.5</v>
      </c>
      <c r="F36" s="28"/>
      <c r="I36" t="str">
        <f>C44</f>
        <v>Replacement Cost</v>
      </c>
      <c r="J36" s="2">
        <f>G45</f>
        <v>261281.25</v>
      </c>
      <c r="K36" s="2">
        <f>19*(J36+J35)</f>
        <v>33783484.375</v>
      </c>
    </row>
    <row r="37" spans="3:12" x14ac:dyDescent="0.25">
      <c r="D37" s="3"/>
      <c r="E37" s="3"/>
      <c r="F37" s="3"/>
      <c r="K37" s="2">
        <f>K36+K35</f>
        <v>163667732.5</v>
      </c>
    </row>
    <row r="38" spans="3:12" x14ac:dyDescent="0.25">
      <c r="D38" s="3"/>
      <c r="E38" s="3"/>
      <c r="F38" s="3"/>
    </row>
    <row r="39" spans="3:12" x14ac:dyDescent="0.25">
      <c r="C39" s="23" t="s">
        <v>54</v>
      </c>
      <c r="D39" s="29" t="s">
        <v>58</v>
      </c>
      <c r="E39" s="29" t="s">
        <v>59</v>
      </c>
      <c r="F39" s="30"/>
    </row>
    <row r="40" spans="3:12" x14ac:dyDescent="0.25">
      <c r="C40" s="11" t="s">
        <v>56</v>
      </c>
      <c r="D40" s="14">
        <v>75</v>
      </c>
      <c r="E40" s="14">
        <f>D40*(E20+SUM(H20:J20))</f>
        <v>801796.875</v>
      </c>
      <c r="F40" s="13"/>
    </row>
    <row r="41" spans="3:12" x14ac:dyDescent="0.25">
      <c r="C41" s="11" t="s">
        <v>55</v>
      </c>
      <c r="D41" s="14">
        <v>100</v>
      </c>
      <c r="E41" s="14">
        <f>D41*(SUM(F20:G20))</f>
        <v>715000</v>
      </c>
      <c r="F41" s="13"/>
    </row>
    <row r="42" spans="3:12" x14ac:dyDescent="0.25">
      <c r="C42" s="26"/>
      <c r="D42" s="17"/>
      <c r="E42" s="33">
        <f>SUM(E40:E41)</f>
        <v>1516796.875</v>
      </c>
      <c r="F42" s="57">
        <f>E42*20</f>
        <v>30335937.5</v>
      </c>
    </row>
    <row r="43" spans="3:12" x14ac:dyDescent="0.25">
      <c r="E43" s="4"/>
      <c r="H43" s="2">
        <f>G45*18</f>
        <v>4703062.5</v>
      </c>
      <c r="J43" t="str">
        <f t="shared" ref="J43:K46" si="2">I29</f>
        <v>Tropos Routers</v>
      </c>
      <c r="K43" s="1">
        <f t="shared" si="2"/>
        <v>100512500</v>
      </c>
    </row>
    <row r="44" spans="3:12" x14ac:dyDescent="0.25">
      <c r="C44" s="7" t="s">
        <v>60</v>
      </c>
      <c r="D44" s="8" t="s">
        <v>62</v>
      </c>
      <c r="E44" s="34" t="s">
        <v>63</v>
      </c>
      <c r="F44" s="8" t="s">
        <v>64</v>
      </c>
      <c r="G44" s="10" t="s">
        <v>65</v>
      </c>
      <c r="J44" t="str">
        <f t="shared" si="2"/>
        <v>Towers</v>
      </c>
      <c r="K44" s="1">
        <f t="shared" si="2"/>
        <v>2000000</v>
      </c>
    </row>
    <row r="45" spans="3:12" x14ac:dyDescent="0.25">
      <c r="C45" s="26" t="s">
        <v>61</v>
      </c>
      <c r="D45" s="35">
        <v>5.0000000000000001E-3</v>
      </c>
      <c r="E45" s="36">
        <f>D45*L20</f>
        <v>89.203125</v>
      </c>
      <c r="F45" s="37">
        <f>L22/L20</f>
        <v>2929.059379926432</v>
      </c>
      <c r="G45" s="38">
        <f>F45*E45</f>
        <v>261281.25</v>
      </c>
      <c r="H45" s="2">
        <f>G45+E42</f>
        <v>1778078.125</v>
      </c>
      <c r="J45" t="str">
        <f t="shared" si="2"/>
        <v>Tropos Control</v>
      </c>
      <c r="K45" s="1">
        <f t="shared" si="2"/>
        <v>3554170</v>
      </c>
    </row>
    <row r="46" spans="3:12" x14ac:dyDescent="0.25">
      <c r="E46" s="4"/>
      <c r="J46" t="str">
        <f t="shared" si="2"/>
        <v>Design, Engineering Support, Project Management, network tuning</v>
      </c>
      <c r="K46" s="1">
        <f t="shared" si="2"/>
        <v>8920312.5</v>
      </c>
    </row>
    <row r="47" spans="3:12" x14ac:dyDescent="0.25">
      <c r="C47" s="7" t="s">
        <v>72</v>
      </c>
      <c r="D47" s="8" t="s">
        <v>73</v>
      </c>
      <c r="E47" s="34" t="s">
        <v>74</v>
      </c>
      <c r="F47" s="10"/>
      <c r="J47" t="str">
        <f>I33</f>
        <v>Installation (optional)</v>
      </c>
      <c r="K47" s="1">
        <f>J33*1.5</f>
        <v>13380468.75</v>
      </c>
    </row>
    <row r="48" spans="3:12" x14ac:dyDescent="0.25">
      <c r="C48" s="39">
        <f>A58*3300</f>
        <v>1980000</v>
      </c>
      <c r="D48" s="14">
        <f>3300*A61</f>
        <v>49500</v>
      </c>
      <c r="E48" s="40">
        <f>3300*A63</f>
        <v>165000</v>
      </c>
      <c r="F48" s="13"/>
      <c r="J48" t="str">
        <f t="shared" ref="J48:J49" si="3">I35</f>
        <v>Tropos Support</v>
      </c>
      <c r="K48" s="2">
        <f>20*J35</f>
        <v>30335937.5</v>
      </c>
    </row>
    <row r="49" spans="1:39" x14ac:dyDescent="0.25">
      <c r="C49" s="11"/>
      <c r="D49" s="12"/>
      <c r="E49" s="41"/>
      <c r="F49" s="13"/>
      <c r="J49" t="str">
        <f t="shared" si="3"/>
        <v>Replacement Cost</v>
      </c>
      <c r="K49" s="2">
        <f>J36*20</f>
        <v>5225625</v>
      </c>
    </row>
    <row r="50" spans="1:39" x14ac:dyDescent="0.25">
      <c r="C50" s="11"/>
      <c r="D50" s="12" t="s">
        <v>75</v>
      </c>
      <c r="E50" s="12" t="s">
        <v>76</v>
      </c>
      <c r="F50" s="13"/>
      <c r="K50" s="1">
        <f>SUM(K43:K49)</f>
        <v>163929013.75</v>
      </c>
    </row>
    <row r="51" spans="1:39" x14ac:dyDescent="0.25">
      <c r="C51" s="26"/>
      <c r="D51" s="42">
        <f>D48*12</f>
        <v>594000</v>
      </c>
      <c r="E51" s="43">
        <f>E48*12</f>
        <v>1980000</v>
      </c>
      <c r="F51" s="18"/>
    </row>
    <row r="52" spans="1:39" x14ac:dyDescent="0.25">
      <c r="E52" s="4"/>
    </row>
    <row r="53" spans="1:39" x14ac:dyDescent="0.25">
      <c r="E53" s="4"/>
    </row>
    <row r="55" spans="1:39" x14ac:dyDescent="0.25">
      <c r="C55" s="23" t="s">
        <v>159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0"/>
    </row>
    <row r="56" spans="1:39" x14ac:dyDescent="0.25">
      <c r="C56" s="11"/>
      <c r="D56" s="12" t="s">
        <v>29</v>
      </c>
      <c r="E56" s="12" t="s">
        <v>30</v>
      </c>
      <c r="F56" s="12" t="s">
        <v>31</v>
      </c>
      <c r="G56" s="12" t="s">
        <v>32</v>
      </c>
      <c r="H56" s="12" t="s">
        <v>33</v>
      </c>
      <c r="I56" s="12" t="s">
        <v>178</v>
      </c>
      <c r="J56" s="12" t="s">
        <v>35</v>
      </c>
      <c r="K56" s="12" t="s">
        <v>36</v>
      </c>
      <c r="L56" s="12" t="s">
        <v>37</v>
      </c>
      <c r="M56" s="12" t="s">
        <v>38</v>
      </c>
      <c r="N56" s="12" t="s">
        <v>39</v>
      </c>
      <c r="O56" s="12" t="s">
        <v>177</v>
      </c>
      <c r="P56" s="12" t="s">
        <v>41</v>
      </c>
      <c r="Q56" s="12" t="s">
        <v>42</v>
      </c>
      <c r="R56" s="13" t="s">
        <v>43</v>
      </c>
      <c r="S56" s="13" t="s">
        <v>160</v>
      </c>
      <c r="T56" s="13" t="s">
        <v>161</v>
      </c>
      <c r="U56" s="13" t="s">
        <v>176</v>
      </c>
      <c r="V56" s="13" t="s">
        <v>162</v>
      </c>
      <c r="W56" s="13" t="s">
        <v>175</v>
      </c>
      <c r="X56" t="s">
        <v>44</v>
      </c>
    </row>
    <row r="57" spans="1:39" x14ac:dyDescent="0.25">
      <c r="A57" s="19" t="s">
        <v>66</v>
      </c>
      <c r="C57" s="11" t="s">
        <v>22</v>
      </c>
      <c r="D57" s="44">
        <f>L22+F31+E35+E42+E36</f>
        <v>75167841.875</v>
      </c>
      <c r="E57" s="14">
        <f>E42+G45</f>
        <v>1778078.125</v>
      </c>
      <c r="F57" s="14">
        <f>E42+G45</f>
        <v>1778078.125</v>
      </c>
      <c r="G57" s="14">
        <f>E42+G45</f>
        <v>1778078.125</v>
      </c>
      <c r="H57" s="14">
        <f>E42+G45</f>
        <v>1778078.125</v>
      </c>
      <c r="I57" s="14">
        <f>E42+G45</f>
        <v>1778078.125</v>
      </c>
      <c r="J57" s="14">
        <f>E42+G45</f>
        <v>1778078.125</v>
      </c>
      <c r="K57" s="14">
        <f>E42+G45</f>
        <v>1778078.125</v>
      </c>
      <c r="L57" s="14">
        <f>E42+G45</f>
        <v>1778078.125</v>
      </c>
      <c r="M57" s="14">
        <f>E42+G45</f>
        <v>1778078.125</v>
      </c>
      <c r="N57" s="14">
        <f>E42+G45</f>
        <v>1778078.125</v>
      </c>
      <c r="O57" s="14">
        <f>E42+G45</f>
        <v>1778078.125</v>
      </c>
      <c r="P57" s="14">
        <f>E42+G45</f>
        <v>1778078.125</v>
      </c>
      <c r="Q57" s="14">
        <f>E42+G45</f>
        <v>1778078.125</v>
      </c>
      <c r="R57" s="15">
        <f>E42+G45</f>
        <v>1778078.125</v>
      </c>
      <c r="S57" s="2">
        <f>E42+G45</f>
        <v>1778078.125</v>
      </c>
      <c r="T57" s="2">
        <f>E42+G45</f>
        <v>1778078.125</v>
      </c>
      <c r="U57" s="2">
        <f>E42+G45</f>
        <v>1778078.125</v>
      </c>
      <c r="V57" s="2">
        <f>E42+G45</f>
        <v>1778078.125</v>
      </c>
      <c r="W57" s="2">
        <f>E42+G45+A22+(D36/2)</f>
        <v>52034578.125</v>
      </c>
      <c r="X57" s="5">
        <f>SUM(D57:W57)</f>
        <v>159207826.25</v>
      </c>
      <c r="AK57">
        <f>1000*1*96</f>
        <v>96000</v>
      </c>
      <c r="AL57">
        <f>AK57/1000</f>
        <v>96</v>
      </c>
      <c r="AM57" t="s">
        <v>69</v>
      </c>
    </row>
    <row r="58" spans="1:39" x14ac:dyDescent="0.25">
      <c r="A58" s="20">
        <v>600</v>
      </c>
      <c r="C58" s="11" t="s">
        <v>27</v>
      </c>
      <c r="D58" s="14">
        <f>C48+D51</f>
        <v>2574000</v>
      </c>
      <c r="E58" s="14">
        <f>D51</f>
        <v>594000</v>
      </c>
      <c r="F58" s="14">
        <f>D51</f>
        <v>594000</v>
      </c>
      <c r="G58" s="14">
        <f>D51</f>
        <v>594000</v>
      </c>
      <c r="H58" s="14">
        <f>D51</f>
        <v>594000</v>
      </c>
      <c r="I58" s="14">
        <f>D51+C48</f>
        <v>2574000</v>
      </c>
      <c r="J58" s="14">
        <f>D51</f>
        <v>594000</v>
      </c>
      <c r="K58" s="14">
        <f>D51</f>
        <v>594000</v>
      </c>
      <c r="L58" s="14">
        <f>D51</f>
        <v>594000</v>
      </c>
      <c r="M58" s="14">
        <f>D51</f>
        <v>594000</v>
      </c>
      <c r="N58" s="14">
        <f>D51</f>
        <v>594000</v>
      </c>
      <c r="O58" s="14">
        <f>D51+C48</f>
        <v>2574000</v>
      </c>
      <c r="P58" s="14">
        <f>D51</f>
        <v>594000</v>
      </c>
      <c r="Q58" s="14">
        <f>D51</f>
        <v>594000</v>
      </c>
      <c r="R58" s="15">
        <f>D51</f>
        <v>594000</v>
      </c>
      <c r="S58" s="2">
        <f>D51</f>
        <v>594000</v>
      </c>
      <c r="T58" s="2">
        <f>D51</f>
        <v>594000</v>
      </c>
      <c r="U58" s="2">
        <f>D51+C48</f>
        <v>2574000</v>
      </c>
      <c r="V58" s="2">
        <f>D51</f>
        <v>594000</v>
      </c>
      <c r="W58" s="2">
        <f>D51</f>
        <v>594000</v>
      </c>
      <c r="X58" s="2">
        <f>SUM(D58:W58)</f>
        <v>19800000</v>
      </c>
      <c r="AL58">
        <f>AL57*30</f>
        <v>2880</v>
      </c>
      <c r="AM58" s="6" t="s">
        <v>70</v>
      </c>
    </row>
    <row r="59" spans="1:39" x14ac:dyDescent="0.25">
      <c r="A59" s="21"/>
      <c r="C59" s="11" t="s">
        <v>28</v>
      </c>
      <c r="D59" s="14">
        <f>E51+C48</f>
        <v>3960000</v>
      </c>
      <c r="E59" s="14">
        <f>E51</f>
        <v>1980000</v>
      </c>
      <c r="F59" s="14">
        <f>E51</f>
        <v>1980000</v>
      </c>
      <c r="G59" s="14">
        <f>E51</f>
        <v>1980000</v>
      </c>
      <c r="H59" s="14">
        <f>E51</f>
        <v>1980000</v>
      </c>
      <c r="I59" s="14">
        <f>E51+C48</f>
        <v>3960000</v>
      </c>
      <c r="J59" s="14">
        <f>E51</f>
        <v>1980000</v>
      </c>
      <c r="K59" s="14">
        <f>E51</f>
        <v>1980000</v>
      </c>
      <c r="L59" s="14">
        <f>E51</f>
        <v>1980000</v>
      </c>
      <c r="M59" s="14">
        <f>E51</f>
        <v>1980000</v>
      </c>
      <c r="N59" s="14">
        <f>E51</f>
        <v>1980000</v>
      </c>
      <c r="O59" s="14">
        <f>E51+C48</f>
        <v>3960000</v>
      </c>
      <c r="P59" s="14">
        <f>E51</f>
        <v>1980000</v>
      </c>
      <c r="Q59" s="14">
        <f>E51</f>
        <v>1980000</v>
      </c>
      <c r="R59" s="15">
        <f>E51</f>
        <v>1980000</v>
      </c>
      <c r="S59" s="2">
        <f>E51</f>
        <v>1980000</v>
      </c>
      <c r="T59" s="2">
        <f>E51</f>
        <v>1980000</v>
      </c>
      <c r="U59" s="2">
        <f>E51+C48</f>
        <v>3960000</v>
      </c>
      <c r="V59" s="2">
        <f>E51</f>
        <v>1980000</v>
      </c>
      <c r="W59" s="2">
        <f>E51</f>
        <v>1980000</v>
      </c>
      <c r="X59" s="2">
        <f>SUM(D59:W59)</f>
        <v>47520000</v>
      </c>
      <c r="AL59">
        <f>AL58/1000</f>
        <v>2.88</v>
      </c>
      <c r="AM59" s="6" t="s">
        <v>71</v>
      </c>
    </row>
    <row r="60" spans="1:39" x14ac:dyDescent="0.25">
      <c r="A60" s="21" t="s">
        <v>67</v>
      </c>
      <c r="C60" s="26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8"/>
    </row>
    <row r="61" spans="1:39" x14ac:dyDescent="0.25">
      <c r="A61" s="20">
        <v>15</v>
      </c>
      <c r="W61" t="s">
        <v>174</v>
      </c>
    </row>
    <row r="62" spans="1:39" x14ac:dyDescent="0.25">
      <c r="A62" s="21" t="s">
        <v>68</v>
      </c>
      <c r="W62" t="s">
        <v>179</v>
      </c>
    </row>
    <row r="63" spans="1:39" x14ac:dyDescent="0.25">
      <c r="A63" s="22">
        <v>50</v>
      </c>
    </row>
    <row r="71" spans="1:9" x14ac:dyDescent="0.25">
      <c r="A71" s="49"/>
      <c r="B71" s="49" t="s">
        <v>21</v>
      </c>
      <c r="C71" s="49" t="s">
        <v>23</v>
      </c>
      <c r="D71" s="49" t="s">
        <v>24</v>
      </c>
      <c r="E71" s="49" t="s">
        <v>26</v>
      </c>
    </row>
    <row r="72" spans="1:9" x14ac:dyDescent="0.25">
      <c r="A72" s="49" t="s">
        <v>22</v>
      </c>
      <c r="B72" s="50">
        <f>X57</f>
        <v>159207826.25</v>
      </c>
      <c r="C72" s="49" t="s">
        <v>25</v>
      </c>
      <c r="D72" s="50">
        <v>12000000</v>
      </c>
      <c r="E72" s="50">
        <f>SUM(B72:D72)</f>
        <v>171207826.25</v>
      </c>
    </row>
    <row r="73" spans="1:9" x14ac:dyDescent="0.25">
      <c r="A73" s="49" t="s">
        <v>27</v>
      </c>
      <c r="B73" s="50">
        <v>14850000</v>
      </c>
      <c r="C73" s="50">
        <v>43200000</v>
      </c>
      <c r="D73" s="50">
        <v>60000000</v>
      </c>
      <c r="E73" s="50">
        <f>SUM(B73:D73)</f>
        <v>118050000</v>
      </c>
      <c r="F73">
        <f>E73/E72</f>
        <v>0.68951287207876688</v>
      </c>
    </row>
    <row r="74" spans="1:9" x14ac:dyDescent="0.25">
      <c r="A74" s="49" t="s">
        <v>28</v>
      </c>
      <c r="B74" s="50">
        <v>35640000</v>
      </c>
      <c r="C74" s="50">
        <v>43200000</v>
      </c>
      <c r="D74" s="50">
        <v>60000000</v>
      </c>
      <c r="E74" s="50">
        <f>SUM(B74:D74)</f>
        <v>138840000</v>
      </c>
      <c r="F74">
        <f>E74/E72</f>
        <v>0.81094423684384576</v>
      </c>
      <c r="G74">
        <f>E72/E74</f>
        <v>1.2331304109046384</v>
      </c>
    </row>
    <row r="76" spans="1:9" x14ac:dyDescent="0.25">
      <c r="B76" t="s">
        <v>21</v>
      </c>
      <c r="C76" t="s">
        <v>23</v>
      </c>
      <c r="D76" t="s">
        <v>24</v>
      </c>
      <c r="E76" t="s">
        <v>155</v>
      </c>
      <c r="F76" t="s">
        <v>128</v>
      </c>
      <c r="G76" t="s">
        <v>156</v>
      </c>
      <c r="H76" t="s">
        <v>26</v>
      </c>
    </row>
    <row r="77" spans="1:9" x14ac:dyDescent="0.25">
      <c r="A77" t="s">
        <v>22</v>
      </c>
      <c r="B77" s="2">
        <f>X57</f>
        <v>159207826.25</v>
      </c>
      <c r="C77" t="s">
        <v>25</v>
      </c>
      <c r="D77" s="2">
        <f>M124</f>
        <v>19117500</v>
      </c>
      <c r="E77" s="55">
        <f>N146</f>
        <v>38235000</v>
      </c>
      <c r="F77" s="45" t="s">
        <v>25</v>
      </c>
      <c r="G77" s="45"/>
      <c r="H77" s="2">
        <f>SUM(B77:G77)</f>
        <v>216560326.25</v>
      </c>
    </row>
    <row r="78" spans="1:9" x14ac:dyDescent="0.25">
      <c r="A78" t="s">
        <v>157</v>
      </c>
      <c r="B78" s="2">
        <v>14850000</v>
      </c>
      <c r="C78" s="2">
        <f>F115</f>
        <v>16200000</v>
      </c>
      <c r="D78" s="2">
        <f>K124</f>
        <v>50000000</v>
      </c>
      <c r="E78" s="55">
        <f>N141</f>
        <v>93013000</v>
      </c>
      <c r="F78" s="2">
        <f>F163</f>
        <v>6000000</v>
      </c>
      <c r="G78" s="2">
        <f>E170</f>
        <v>14400000</v>
      </c>
      <c r="H78" s="2">
        <f t="shared" ref="H78:H79" si="4">SUM(B78:G78)</f>
        <v>194463000</v>
      </c>
      <c r="I78">
        <f>H78/H77</f>
        <v>0.89796226006562918</v>
      </c>
    </row>
    <row r="79" spans="1:9" x14ac:dyDescent="0.25">
      <c r="A79" t="s">
        <v>158</v>
      </c>
      <c r="B79" s="2">
        <v>35640000</v>
      </c>
      <c r="C79" s="2">
        <f>F116</f>
        <v>32400000</v>
      </c>
      <c r="D79" s="2">
        <f>K124</f>
        <v>50000000</v>
      </c>
      <c r="E79" s="55">
        <f>N141</f>
        <v>93013000</v>
      </c>
      <c r="F79" s="2">
        <f>F163</f>
        <v>6000000</v>
      </c>
      <c r="G79" s="2">
        <f>E170</f>
        <v>14400000</v>
      </c>
      <c r="H79" s="2">
        <f t="shared" si="4"/>
        <v>231453000</v>
      </c>
      <c r="I79">
        <f>H79/H77</f>
        <v>1.0687691693482568</v>
      </c>
    </row>
    <row r="113" spans="1:13" x14ac:dyDescent="0.25">
      <c r="A113" s="7"/>
      <c r="B113" s="8"/>
      <c r="C113" s="9" t="s">
        <v>77</v>
      </c>
      <c r="D113" s="8" t="s">
        <v>82</v>
      </c>
      <c r="E113" s="8" t="s">
        <v>84</v>
      </c>
      <c r="F113" s="8" t="s">
        <v>85</v>
      </c>
      <c r="G113" s="10" t="s">
        <v>86</v>
      </c>
    </row>
    <row r="114" spans="1:13" x14ac:dyDescent="0.25">
      <c r="A114" s="11" t="s">
        <v>78</v>
      </c>
      <c r="B114" s="12"/>
      <c r="C114" s="12" t="s">
        <v>83</v>
      </c>
      <c r="D114" s="12"/>
      <c r="E114" s="12"/>
      <c r="F114" s="12"/>
      <c r="G114" s="13"/>
    </row>
    <row r="115" spans="1:13" x14ac:dyDescent="0.25">
      <c r="A115" s="11" t="s">
        <v>79</v>
      </c>
      <c r="B115" s="12"/>
      <c r="C115" s="12">
        <v>150</v>
      </c>
      <c r="D115" s="14">
        <f>C115*A118</f>
        <v>90000</v>
      </c>
      <c r="E115" s="14">
        <f>D115*12</f>
        <v>1080000</v>
      </c>
      <c r="F115" s="14">
        <f>E115*15</f>
        <v>16200000</v>
      </c>
      <c r="G115" s="15">
        <f>E115*20</f>
        <v>21600000</v>
      </c>
    </row>
    <row r="116" spans="1:13" x14ac:dyDescent="0.25">
      <c r="A116" s="11" t="s">
        <v>80</v>
      </c>
      <c r="B116" s="12"/>
      <c r="C116" s="12">
        <v>300</v>
      </c>
      <c r="D116" s="14">
        <f>C116*A118</f>
        <v>180000</v>
      </c>
      <c r="E116" s="14">
        <f>D116*12</f>
        <v>2160000</v>
      </c>
      <c r="F116" s="14">
        <f>E116*15</f>
        <v>32400000</v>
      </c>
      <c r="G116" s="15">
        <f>E116*20</f>
        <v>43200000</v>
      </c>
    </row>
    <row r="117" spans="1:13" x14ac:dyDescent="0.25">
      <c r="A117" s="11" t="s">
        <v>81</v>
      </c>
      <c r="B117" s="12"/>
      <c r="C117" s="12">
        <v>450</v>
      </c>
      <c r="D117" s="14">
        <f>C117*A118</f>
        <v>270000</v>
      </c>
      <c r="E117" s="14">
        <f>D117*12</f>
        <v>3240000</v>
      </c>
      <c r="F117" s="14">
        <f>E117*15</f>
        <v>48600000</v>
      </c>
      <c r="G117" s="15">
        <f>E117*20</f>
        <v>64800000</v>
      </c>
    </row>
    <row r="118" spans="1:13" x14ac:dyDescent="0.25">
      <c r="A118" s="16">
        <v>600</v>
      </c>
      <c r="B118" s="17"/>
      <c r="C118" s="17"/>
      <c r="D118" s="17"/>
      <c r="E118" s="17"/>
      <c r="F118" s="17"/>
      <c r="G118" s="18"/>
    </row>
    <row r="121" spans="1:13" x14ac:dyDescent="0.25">
      <c r="A121" t="s">
        <v>87</v>
      </c>
    </row>
    <row r="122" spans="1:13" x14ac:dyDescent="0.25">
      <c r="A122" s="7"/>
      <c r="B122" s="8"/>
      <c r="C122" s="8" t="s">
        <v>88</v>
      </c>
      <c r="D122" s="8" t="s">
        <v>91</v>
      </c>
      <c r="E122" s="8" t="s">
        <v>173</v>
      </c>
      <c r="F122" s="8" t="s">
        <v>94</v>
      </c>
      <c r="G122" s="8" t="s">
        <v>95</v>
      </c>
      <c r="H122" s="8" t="s">
        <v>167</v>
      </c>
      <c r="I122" s="8" t="s">
        <v>181</v>
      </c>
      <c r="J122" s="8" t="s">
        <v>98</v>
      </c>
      <c r="K122" s="10" t="s">
        <v>99</v>
      </c>
      <c r="L122" s="48" t="s">
        <v>163</v>
      </c>
      <c r="M122" s="48" t="s">
        <v>153</v>
      </c>
    </row>
    <row r="123" spans="1:13" x14ac:dyDescent="0.25">
      <c r="A123" s="11" t="s">
        <v>89</v>
      </c>
      <c r="B123" s="12"/>
      <c r="C123" s="12">
        <v>200</v>
      </c>
      <c r="D123" s="12">
        <f>A128*C123</f>
        <v>3000</v>
      </c>
      <c r="E123" s="14">
        <f>D123*A131*2</f>
        <v>3600000</v>
      </c>
      <c r="F123" s="14">
        <f>D123*A133</f>
        <v>75000</v>
      </c>
      <c r="G123" s="14">
        <f>D123*A135</f>
        <v>297000</v>
      </c>
      <c r="H123" s="14">
        <f t="shared" ref="H123:H124" si="5">(D123*500)+(D123*250)</f>
        <v>2250000</v>
      </c>
      <c r="I123" s="14">
        <f>H123+G123+E123</f>
        <v>6147000</v>
      </c>
      <c r="J123" s="14">
        <f>F123</f>
        <v>75000</v>
      </c>
      <c r="K123" s="15">
        <f>C123*A124</f>
        <v>20000000</v>
      </c>
      <c r="L123" s="2">
        <f>J123*20</f>
        <v>1500000</v>
      </c>
      <c r="M123" s="2">
        <f>L123+I123</f>
        <v>7647000</v>
      </c>
    </row>
    <row r="124" spans="1:13" x14ac:dyDescent="0.25">
      <c r="A124" s="39">
        <v>100000</v>
      </c>
      <c r="B124" s="12"/>
      <c r="C124" s="12">
        <v>500</v>
      </c>
      <c r="D124" s="12">
        <f>A128*C124</f>
        <v>7500</v>
      </c>
      <c r="E124" s="14">
        <f>D124*A131*2</f>
        <v>9000000</v>
      </c>
      <c r="F124" s="14">
        <f>D124*A133</f>
        <v>187500</v>
      </c>
      <c r="G124" s="14">
        <f>A135*D124</f>
        <v>742500</v>
      </c>
      <c r="H124" s="14">
        <f t="shared" si="5"/>
        <v>5625000</v>
      </c>
      <c r="I124" s="14">
        <f>H124+G124+E124</f>
        <v>15367500</v>
      </c>
      <c r="J124" s="14">
        <f>F124</f>
        <v>187500</v>
      </c>
      <c r="K124" s="15">
        <f>C124*A124</f>
        <v>50000000</v>
      </c>
      <c r="L124" s="2">
        <f>J124*20</f>
        <v>3750000</v>
      </c>
      <c r="M124" s="2">
        <f>L124+I124</f>
        <v>19117500</v>
      </c>
    </row>
    <row r="125" spans="1:13" x14ac:dyDescent="0.25">
      <c r="A125" s="11"/>
      <c r="B125" s="12"/>
      <c r="C125" s="12">
        <v>800</v>
      </c>
      <c r="D125" s="12">
        <f>C125*A128</f>
        <v>12000</v>
      </c>
      <c r="E125" s="14">
        <f>D125*A131*2</f>
        <v>14400000</v>
      </c>
      <c r="F125" s="14">
        <f>D125*A133</f>
        <v>300000</v>
      </c>
      <c r="G125" s="14">
        <f>D125*A135</f>
        <v>1188000</v>
      </c>
      <c r="H125" s="14">
        <f>(D125*500)+(D125*250)</f>
        <v>9000000</v>
      </c>
      <c r="I125" s="14">
        <f>H125+G125+E125</f>
        <v>24588000</v>
      </c>
      <c r="J125" s="14">
        <f>F125</f>
        <v>300000</v>
      </c>
      <c r="K125" s="15">
        <f>C125*A124</f>
        <v>80000000</v>
      </c>
      <c r="L125" s="2">
        <f>J125*20</f>
        <v>6000000</v>
      </c>
      <c r="M125" s="2">
        <f>L125+I125</f>
        <v>30588000</v>
      </c>
    </row>
    <row r="126" spans="1:13" x14ac:dyDescent="0.25">
      <c r="A126" s="11"/>
      <c r="B126" s="12"/>
      <c r="C126" s="12"/>
      <c r="D126" s="12"/>
      <c r="E126" s="12" t="s">
        <v>174</v>
      </c>
      <c r="F126" s="12"/>
      <c r="G126" s="12"/>
      <c r="H126" s="12"/>
      <c r="I126" s="12"/>
      <c r="J126" s="12"/>
      <c r="K126" s="13"/>
    </row>
    <row r="127" spans="1:13" x14ac:dyDescent="0.25">
      <c r="A127" s="11" t="s">
        <v>90</v>
      </c>
      <c r="B127" s="12"/>
      <c r="C127" s="12"/>
      <c r="D127" s="12"/>
      <c r="E127" s="12"/>
      <c r="F127" s="12"/>
      <c r="G127" s="12"/>
      <c r="H127" s="12" t="s">
        <v>168</v>
      </c>
      <c r="I127" s="12"/>
      <c r="J127" s="12"/>
      <c r="K127" s="13"/>
    </row>
    <row r="128" spans="1:13" x14ac:dyDescent="0.25">
      <c r="A128" s="11">
        <v>15</v>
      </c>
      <c r="B128" s="12"/>
      <c r="C128" s="12"/>
      <c r="D128" s="12"/>
      <c r="E128" s="12"/>
      <c r="F128" s="12"/>
      <c r="G128" s="12"/>
      <c r="H128" s="12"/>
      <c r="I128" s="12"/>
      <c r="J128" s="12"/>
      <c r="K128" s="13"/>
    </row>
    <row r="129" spans="1:15" x14ac:dyDescent="0.25">
      <c r="A129" s="11"/>
      <c r="B129" s="12"/>
      <c r="C129" s="12"/>
      <c r="D129" s="12"/>
      <c r="E129" s="12"/>
      <c r="F129" s="12"/>
      <c r="G129" s="12"/>
      <c r="H129" s="12"/>
      <c r="I129" s="12"/>
      <c r="J129" s="12"/>
      <c r="K129" s="13"/>
    </row>
    <row r="130" spans="1:15" x14ac:dyDescent="0.25">
      <c r="A130" s="11" t="s">
        <v>92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3"/>
    </row>
    <row r="131" spans="1:15" x14ac:dyDescent="0.25">
      <c r="A131" s="11">
        <v>600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3"/>
    </row>
    <row r="132" spans="1:15" x14ac:dyDescent="0.25">
      <c r="A132" s="11" t="s">
        <v>124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3"/>
    </row>
    <row r="133" spans="1:15" x14ac:dyDescent="0.25">
      <c r="A133" s="11">
        <v>25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13"/>
    </row>
    <row r="134" spans="1:15" x14ac:dyDescent="0.25">
      <c r="A134" s="11" t="s">
        <v>125</v>
      </c>
      <c r="B134" s="12"/>
      <c r="C134" s="12"/>
      <c r="D134" s="12"/>
      <c r="E134" s="12"/>
      <c r="F134" s="12"/>
      <c r="G134" s="12"/>
      <c r="H134" s="12"/>
      <c r="I134" s="12"/>
      <c r="J134" s="12"/>
      <c r="K134" s="13"/>
    </row>
    <row r="135" spans="1:15" x14ac:dyDescent="0.25">
      <c r="A135" s="26">
        <v>99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18"/>
    </row>
    <row r="138" spans="1:15" x14ac:dyDescent="0.25">
      <c r="A138" s="23" t="s">
        <v>100</v>
      </c>
      <c r="B138" s="8"/>
      <c r="C138" s="8" t="s">
        <v>115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10"/>
    </row>
    <row r="139" spans="1:15" x14ac:dyDescent="0.25">
      <c r="A139" s="46" t="s">
        <v>101</v>
      </c>
      <c r="B139" s="12"/>
      <c r="C139" s="12" t="s">
        <v>139</v>
      </c>
      <c r="D139" s="12" t="s">
        <v>109</v>
      </c>
      <c r="E139" s="12" t="s">
        <v>110</v>
      </c>
      <c r="F139" s="12" t="s">
        <v>121</v>
      </c>
      <c r="G139" s="48" t="s">
        <v>122</v>
      </c>
      <c r="H139" s="12" t="s">
        <v>114</v>
      </c>
      <c r="I139" s="12" t="s">
        <v>113</v>
      </c>
      <c r="J139" s="48" t="s">
        <v>123</v>
      </c>
      <c r="K139" s="12" t="s">
        <v>127</v>
      </c>
      <c r="L139" s="48" t="s">
        <v>126</v>
      </c>
      <c r="M139" s="48" t="s">
        <v>164</v>
      </c>
      <c r="N139" s="51" t="s">
        <v>154</v>
      </c>
    </row>
    <row r="140" spans="1:15" x14ac:dyDescent="0.25">
      <c r="A140" s="39">
        <v>100000</v>
      </c>
      <c r="B140" s="12"/>
      <c r="C140" s="12">
        <v>200</v>
      </c>
      <c r="D140" s="12">
        <v>120</v>
      </c>
      <c r="E140" s="14">
        <f>D140*A140</f>
        <v>12000000</v>
      </c>
      <c r="F140" s="12">
        <f>C140*(A153*A155)</f>
        <v>6000</v>
      </c>
      <c r="G140" s="44">
        <f>A144*F140</f>
        <v>9000000</v>
      </c>
      <c r="H140" s="12">
        <f>C140*4</f>
        <v>800</v>
      </c>
      <c r="I140" s="44">
        <f>H140*A142</f>
        <v>4400000</v>
      </c>
      <c r="J140" s="14">
        <f>J145+(H140*E30)</f>
        <v>753200</v>
      </c>
      <c r="K140" s="14">
        <f>K145+(H140*D40)</f>
        <v>210000</v>
      </c>
      <c r="L140" s="44">
        <f>500*F140</f>
        <v>3000000</v>
      </c>
      <c r="M140" s="14">
        <f>K140*20</f>
        <v>4200000</v>
      </c>
      <c r="N140" s="15">
        <f>M140+I140+G140+E140+J140+L140</f>
        <v>33353200</v>
      </c>
    </row>
    <row r="141" spans="1:15" x14ac:dyDescent="0.25">
      <c r="A141" s="11" t="s">
        <v>102</v>
      </c>
      <c r="B141" s="12"/>
      <c r="C141" s="12">
        <v>500</v>
      </c>
      <c r="D141" s="12">
        <v>420</v>
      </c>
      <c r="E141" s="14">
        <f>D141*A140</f>
        <v>42000000</v>
      </c>
      <c r="F141" s="12">
        <f>C141*(A153*A155)</f>
        <v>15000</v>
      </c>
      <c r="G141" s="44">
        <f>F141*A144</f>
        <v>22500000</v>
      </c>
      <c r="H141" s="12">
        <f>C141*4</f>
        <v>2000</v>
      </c>
      <c r="I141" s="44">
        <f>H141*A142</f>
        <v>11000000</v>
      </c>
      <c r="J141" s="14">
        <f>J146+(H141*E30)</f>
        <v>1883000</v>
      </c>
      <c r="K141" s="14">
        <f>K146+(D141*D40)</f>
        <v>406500</v>
      </c>
      <c r="L141" s="44">
        <f>500*F141</f>
        <v>7500000</v>
      </c>
      <c r="M141" s="14">
        <f>K141*20</f>
        <v>8130000</v>
      </c>
      <c r="N141" s="15">
        <f>M141+I141+G141+E141+J141+L141</f>
        <v>93013000</v>
      </c>
      <c r="O141" s="2">
        <f>117000000+N141</f>
        <v>210013000</v>
      </c>
    </row>
    <row r="142" spans="1:15" x14ac:dyDescent="0.25">
      <c r="A142" s="47">
        <v>5500</v>
      </c>
      <c r="B142" s="12"/>
      <c r="C142" s="12">
        <v>800</v>
      </c>
      <c r="D142" s="12">
        <v>720</v>
      </c>
      <c r="E142" s="14">
        <f>D142*A140</f>
        <v>72000000</v>
      </c>
      <c r="F142" s="12">
        <f>C142*(A155*A153)</f>
        <v>24000</v>
      </c>
      <c r="G142" s="44">
        <f>F142*A144</f>
        <v>36000000</v>
      </c>
      <c r="H142" s="12">
        <f>C142*4</f>
        <v>3200</v>
      </c>
      <c r="I142" s="44">
        <f>H142*A142</f>
        <v>17600000</v>
      </c>
      <c r="J142" s="14">
        <f>J147+(H142*E30)</f>
        <v>3012800</v>
      </c>
      <c r="K142" s="14">
        <f>K147+(H142*D40)</f>
        <v>840000</v>
      </c>
      <c r="L142" s="44">
        <f>500*F142</f>
        <v>12000000</v>
      </c>
      <c r="M142" s="14">
        <f>K142*20</f>
        <v>16800000</v>
      </c>
      <c r="N142" s="15">
        <f>M142+I142+G142+E142+J142+L142</f>
        <v>157412800</v>
      </c>
      <c r="O142" s="2"/>
    </row>
    <row r="143" spans="1:15" x14ac:dyDescent="0.25">
      <c r="A143" s="11" t="s">
        <v>103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3"/>
    </row>
    <row r="144" spans="1:15" x14ac:dyDescent="0.25">
      <c r="A144" s="47">
        <v>1500</v>
      </c>
      <c r="B144" s="12"/>
      <c r="C144" s="12" t="s">
        <v>22</v>
      </c>
      <c r="D144" s="12" t="s">
        <v>116</v>
      </c>
      <c r="E144" s="12" t="s">
        <v>118</v>
      </c>
      <c r="F144" s="12" t="s">
        <v>121</v>
      </c>
      <c r="G144" s="12" t="s">
        <v>171</v>
      </c>
      <c r="H144" s="12" t="s">
        <v>119</v>
      </c>
      <c r="I144" s="12" t="s">
        <v>120</v>
      </c>
      <c r="J144" s="48" t="s">
        <v>123</v>
      </c>
      <c r="K144" s="12" t="s">
        <v>127</v>
      </c>
      <c r="L144" s="48" t="s">
        <v>169</v>
      </c>
      <c r="M144" s="12"/>
      <c r="N144" s="52" t="s">
        <v>153</v>
      </c>
    </row>
    <row r="145" spans="1:14" x14ac:dyDescent="0.25">
      <c r="A145" s="11"/>
      <c r="B145" s="12"/>
      <c r="C145" s="12">
        <v>200</v>
      </c>
      <c r="D145" s="12">
        <v>0</v>
      </c>
      <c r="E145" s="14">
        <f>D145*A140</f>
        <v>0</v>
      </c>
      <c r="F145" s="12">
        <f>C140*(A153*A155)</f>
        <v>6000</v>
      </c>
      <c r="G145" s="14">
        <f>F145*A158*2</f>
        <v>7200000</v>
      </c>
      <c r="H145" s="12">
        <v>0</v>
      </c>
      <c r="I145" s="14">
        <v>0</v>
      </c>
      <c r="J145" s="14">
        <f>F145*A135</f>
        <v>594000</v>
      </c>
      <c r="K145" s="14">
        <f>F145*A133</f>
        <v>150000</v>
      </c>
      <c r="L145" s="44">
        <f>(500*F145)+(F145*250)</f>
        <v>4500000</v>
      </c>
      <c r="M145" s="14">
        <f>K145*20</f>
        <v>3000000</v>
      </c>
      <c r="N145" s="15">
        <f>M145+I145+G145+E145+J145+L145</f>
        <v>15294000</v>
      </c>
    </row>
    <row r="146" spans="1:14" x14ac:dyDescent="0.25">
      <c r="A146" s="11" t="s">
        <v>107</v>
      </c>
      <c r="B146" s="12"/>
      <c r="C146" s="12">
        <v>500</v>
      </c>
      <c r="D146" s="12">
        <v>10</v>
      </c>
      <c r="E146" s="14">
        <v>0</v>
      </c>
      <c r="F146" s="12">
        <f>C141*(A153*A155)</f>
        <v>15000</v>
      </c>
      <c r="G146" s="14">
        <f>F146*A158*2</f>
        <v>18000000</v>
      </c>
      <c r="H146" s="12">
        <v>0</v>
      </c>
      <c r="I146" s="14">
        <v>0</v>
      </c>
      <c r="J146" s="14">
        <f>F146*A135</f>
        <v>1485000</v>
      </c>
      <c r="K146" s="14">
        <f>F146*A133</f>
        <v>375000</v>
      </c>
      <c r="L146" s="44">
        <f t="shared" ref="L146:L147" si="6">(500*F146)+(F146*250)</f>
        <v>11250000</v>
      </c>
      <c r="M146" s="14">
        <f>K146*20</f>
        <v>7500000</v>
      </c>
      <c r="N146" s="15">
        <f t="shared" ref="N146:N147" si="7">M146+I146+G146+E146+J146+L146</f>
        <v>38235000</v>
      </c>
    </row>
    <row r="147" spans="1:14" x14ac:dyDescent="0.25">
      <c r="A147" s="11">
        <v>1</v>
      </c>
      <c r="B147" s="12"/>
      <c r="C147" s="12">
        <v>800</v>
      </c>
      <c r="D147" s="12">
        <v>20</v>
      </c>
      <c r="E147" s="14">
        <v>0</v>
      </c>
      <c r="F147" s="12">
        <f>F142</f>
        <v>24000</v>
      </c>
      <c r="G147" s="14">
        <f>F147*A131*2</f>
        <v>28800000</v>
      </c>
      <c r="H147" s="12">
        <v>0</v>
      </c>
      <c r="I147" s="14">
        <v>0</v>
      </c>
      <c r="J147" s="14">
        <f>F147*A135</f>
        <v>2376000</v>
      </c>
      <c r="K147" s="14">
        <f>F147*A133</f>
        <v>600000</v>
      </c>
      <c r="L147" s="44">
        <f t="shared" si="6"/>
        <v>18000000</v>
      </c>
      <c r="M147" s="14">
        <f>K147*20</f>
        <v>12000000</v>
      </c>
      <c r="N147" s="15">
        <f t="shared" si="7"/>
        <v>61176000</v>
      </c>
    </row>
    <row r="148" spans="1:14" x14ac:dyDescent="0.25">
      <c r="A148" s="11"/>
      <c r="B148" s="12"/>
      <c r="C148" s="12"/>
      <c r="D148" s="12"/>
      <c r="E148" s="12"/>
      <c r="F148" s="12"/>
      <c r="G148" s="12" t="s">
        <v>172</v>
      </c>
      <c r="H148" s="12"/>
      <c r="I148" s="12"/>
      <c r="J148" s="12"/>
      <c r="K148" s="12"/>
      <c r="L148" s="12"/>
      <c r="M148" s="12"/>
      <c r="N148" s="13"/>
    </row>
    <row r="149" spans="1:14" x14ac:dyDescent="0.25">
      <c r="A149" s="11" t="s">
        <v>108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48" t="s">
        <v>170</v>
      </c>
      <c r="M149" s="12"/>
      <c r="N149" s="13"/>
    </row>
    <row r="150" spans="1:14" x14ac:dyDescent="0.25">
      <c r="A150" s="11">
        <v>80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3"/>
    </row>
    <row r="151" spans="1:14" x14ac:dyDescent="0.25">
      <c r="A151" s="11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3"/>
    </row>
    <row r="152" spans="1:14" x14ac:dyDescent="0.25">
      <c r="A152" s="11" t="s">
        <v>111</v>
      </c>
      <c r="B152" s="12"/>
      <c r="C152" s="12"/>
      <c r="D152" s="12"/>
      <c r="E152" s="12"/>
      <c r="F152" s="12"/>
      <c r="G152" s="12"/>
      <c r="H152" s="12">
        <f>4*5500</f>
        <v>22000</v>
      </c>
      <c r="I152" s="12"/>
      <c r="J152" s="12"/>
      <c r="K152" s="12"/>
      <c r="L152" s="12"/>
      <c r="M152" s="12"/>
      <c r="N152" s="13"/>
    </row>
    <row r="153" spans="1:14" x14ac:dyDescent="0.25">
      <c r="A153" s="11">
        <v>5</v>
      </c>
      <c r="B153" s="12"/>
      <c r="C153" s="12"/>
      <c r="D153" s="12"/>
      <c r="E153" s="12"/>
      <c r="F153" s="12"/>
      <c r="G153" s="12"/>
      <c r="H153" s="12">
        <f>30*1500</f>
        <v>45000</v>
      </c>
      <c r="I153" s="12"/>
      <c r="J153" s="12"/>
      <c r="K153" s="12"/>
      <c r="L153" s="12"/>
      <c r="M153" s="12"/>
      <c r="N153" s="13"/>
    </row>
    <row r="154" spans="1:14" x14ac:dyDescent="0.25">
      <c r="A154" s="11" t="s">
        <v>112</v>
      </c>
      <c r="B154" s="12"/>
      <c r="C154" s="12"/>
      <c r="D154" s="12"/>
      <c r="E154" s="12"/>
      <c r="F154" s="12"/>
      <c r="G154" s="12"/>
      <c r="H154" s="12">
        <f>H153+H152</f>
        <v>67000</v>
      </c>
      <c r="I154" s="12"/>
      <c r="J154" s="12"/>
      <c r="K154" s="12"/>
      <c r="L154" s="12"/>
      <c r="M154" s="12"/>
      <c r="N154" s="13"/>
    </row>
    <row r="155" spans="1:14" x14ac:dyDescent="0.25">
      <c r="A155" s="11">
        <v>6</v>
      </c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3"/>
    </row>
    <row r="156" spans="1:14" x14ac:dyDescent="0.25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3"/>
    </row>
    <row r="157" spans="1:14" x14ac:dyDescent="0.25">
      <c r="A157" s="11" t="s">
        <v>117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3"/>
    </row>
    <row r="158" spans="1:14" x14ac:dyDescent="0.25">
      <c r="A158" s="26">
        <v>600</v>
      </c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8"/>
    </row>
    <row r="161" spans="1:13" x14ac:dyDescent="0.25">
      <c r="A161" s="7" t="s">
        <v>128</v>
      </c>
      <c r="B161" s="8"/>
      <c r="C161" s="8" t="s">
        <v>130</v>
      </c>
      <c r="D161" s="8" t="s">
        <v>131</v>
      </c>
      <c r="E161" s="8" t="s">
        <v>132</v>
      </c>
      <c r="F161" s="8" t="s">
        <v>165</v>
      </c>
      <c r="G161" s="8"/>
      <c r="H161" s="8"/>
      <c r="I161" s="8"/>
      <c r="J161" s="8"/>
      <c r="K161" s="10"/>
    </row>
    <row r="162" spans="1:13" x14ac:dyDescent="0.25">
      <c r="A162" s="11"/>
      <c r="B162" s="12"/>
      <c r="C162" s="12">
        <v>200</v>
      </c>
      <c r="D162" s="14">
        <f>C162*A164</f>
        <v>10000</v>
      </c>
      <c r="E162" s="14">
        <f>D162*12</f>
        <v>120000</v>
      </c>
      <c r="F162" s="14">
        <f>E162*20</f>
        <v>2400000</v>
      </c>
      <c r="G162" s="12"/>
      <c r="H162" s="12"/>
      <c r="I162" s="12"/>
      <c r="J162" s="12"/>
      <c r="K162" s="13"/>
    </row>
    <row r="163" spans="1:13" x14ac:dyDescent="0.25">
      <c r="A163" s="11" t="s">
        <v>129</v>
      </c>
      <c r="B163" s="12"/>
      <c r="C163" s="12">
        <v>500</v>
      </c>
      <c r="D163" s="14">
        <f>C163*A164</f>
        <v>25000</v>
      </c>
      <c r="E163" s="14">
        <f>D163*12</f>
        <v>300000</v>
      </c>
      <c r="F163" s="14">
        <f t="shared" ref="F163:F164" si="8">E163*20</f>
        <v>6000000</v>
      </c>
      <c r="G163" s="12"/>
      <c r="H163" s="12"/>
      <c r="I163" s="12"/>
      <c r="J163" s="12"/>
      <c r="K163" s="13"/>
    </row>
    <row r="164" spans="1:13" x14ac:dyDescent="0.25">
      <c r="A164" s="16">
        <v>50</v>
      </c>
      <c r="B164" s="17"/>
      <c r="C164" s="17">
        <v>800</v>
      </c>
      <c r="D164" s="42">
        <f>C164*A164</f>
        <v>40000</v>
      </c>
      <c r="E164" s="42">
        <f>D164*12</f>
        <v>480000</v>
      </c>
      <c r="F164" s="14">
        <f t="shared" si="8"/>
        <v>9600000</v>
      </c>
      <c r="G164" s="17"/>
      <c r="H164" s="17"/>
      <c r="I164" s="17"/>
      <c r="J164" s="17"/>
      <c r="K164" s="18"/>
    </row>
    <row r="168" spans="1:13" x14ac:dyDescent="0.25">
      <c r="A168" t="s">
        <v>134</v>
      </c>
    </row>
    <row r="169" spans="1:13" x14ac:dyDescent="0.25">
      <c r="A169" s="7"/>
      <c r="B169" s="8"/>
      <c r="C169" s="8" t="s">
        <v>145</v>
      </c>
      <c r="D169" s="8" t="s">
        <v>147</v>
      </c>
      <c r="E169" s="10" t="s">
        <v>166</v>
      </c>
    </row>
    <row r="170" spans="1:13" x14ac:dyDescent="0.25">
      <c r="A170" s="11" t="s">
        <v>140</v>
      </c>
      <c r="B170" s="12" t="s">
        <v>146</v>
      </c>
      <c r="C170" s="14">
        <f>(A173*A178*A176)</f>
        <v>60000</v>
      </c>
      <c r="D170" s="14">
        <f>C170*12</f>
        <v>720000</v>
      </c>
      <c r="E170" s="15">
        <f>D170*20</f>
        <v>14400000</v>
      </c>
    </row>
    <row r="171" spans="1:13" x14ac:dyDescent="0.25">
      <c r="A171" s="39">
        <v>3900</v>
      </c>
      <c r="B171" s="12" t="s">
        <v>149</v>
      </c>
      <c r="C171" s="14">
        <f>A178*A176*A181</f>
        <v>150000</v>
      </c>
      <c r="D171" s="14">
        <f>C171*12</f>
        <v>1800000</v>
      </c>
      <c r="E171" s="15">
        <f>D171*20</f>
        <v>36000000</v>
      </c>
    </row>
    <row r="172" spans="1:13" x14ac:dyDescent="0.25">
      <c r="A172" s="11" t="s">
        <v>143</v>
      </c>
      <c r="B172" s="12"/>
      <c r="C172" s="12"/>
      <c r="D172" s="12"/>
      <c r="E172" s="13"/>
    </row>
    <row r="173" spans="1:13" x14ac:dyDescent="0.25">
      <c r="A173" s="53">
        <v>0.1</v>
      </c>
      <c r="B173" s="12"/>
      <c r="C173" s="12"/>
      <c r="D173" s="12"/>
      <c r="E173" s="13"/>
    </row>
    <row r="174" spans="1:13" x14ac:dyDescent="0.25">
      <c r="A174" s="11"/>
      <c r="B174" s="12"/>
      <c r="C174" s="12"/>
      <c r="D174" s="12"/>
      <c r="E174" s="13"/>
    </row>
    <row r="175" spans="1:13" x14ac:dyDescent="0.25">
      <c r="A175" s="11" t="s">
        <v>141</v>
      </c>
      <c r="B175" s="12"/>
      <c r="C175" s="12"/>
      <c r="D175" s="12"/>
      <c r="E175" s="13"/>
    </row>
    <row r="176" spans="1:13" x14ac:dyDescent="0.25">
      <c r="A176" s="11">
        <v>0.15</v>
      </c>
      <c r="B176" s="12"/>
      <c r="C176" s="12"/>
      <c r="D176" s="12"/>
      <c r="E176" s="13"/>
      <c r="M176" s="2">
        <f>B185</f>
        <v>284733000</v>
      </c>
    </row>
    <row r="177" spans="1:5" x14ac:dyDescent="0.25">
      <c r="A177" s="11" t="s">
        <v>142</v>
      </c>
      <c r="B177" s="12"/>
      <c r="C177" s="12"/>
      <c r="D177" s="12"/>
      <c r="E177" s="13"/>
    </row>
    <row r="178" spans="1:5" x14ac:dyDescent="0.25">
      <c r="A178" s="54">
        <v>4000000</v>
      </c>
      <c r="B178" s="12"/>
      <c r="C178" s="12"/>
      <c r="D178" s="12"/>
      <c r="E178" s="13"/>
    </row>
    <row r="179" spans="1:5" x14ac:dyDescent="0.25">
      <c r="A179" s="11"/>
      <c r="B179" s="12"/>
      <c r="C179" s="12"/>
      <c r="D179" s="12"/>
      <c r="E179" s="13"/>
    </row>
    <row r="180" spans="1:5" x14ac:dyDescent="0.25">
      <c r="A180" s="11" t="s">
        <v>144</v>
      </c>
      <c r="B180" s="12"/>
      <c r="C180" s="12"/>
      <c r="D180" s="12"/>
      <c r="E180" s="13"/>
    </row>
    <row r="181" spans="1:5" x14ac:dyDescent="0.25">
      <c r="A181" s="16">
        <v>0.25</v>
      </c>
      <c r="B181" s="17"/>
      <c r="C181" s="17"/>
      <c r="D181" s="17"/>
      <c r="E181" s="18"/>
    </row>
    <row r="184" spans="1:5" x14ac:dyDescent="0.25">
      <c r="B184" t="s">
        <v>151</v>
      </c>
    </row>
    <row r="185" spans="1:5" x14ac:dyDescent="0.25">
      <c r="A185" t="s">
        <v>150</v>
      </c>
      <c r="B185" s="2">
        <f xml:space="preserve"> X59+F117+K124+N141+F164+E171</f>
        <v>284733000</v>
      </c>
    </row>
    <row r="186" spans="1:5" x14ac:dyDescent="0.25">
      <c r="A186" t="s">
        <v>152</v>
      </c>
      <c r="B186" s="2">
        <f xml:space="preserve"> X58+F115+K123+N140+E170+F162</f>
        <v>106153200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 year model</vt:lpstr>
      <vt:lpstr>20 year 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Dorn Hetzel</dc:creator>
  <cp:lastModifiedBy>Adam Guglielmo</cp:lastModifiedBy>
  <dcterms:created xsi:type="dcterms:W3CDTF">2013-07-31T15:10:28Z</dcterms:created>
  <dcterms:modified xsi:type="dcterms:W3CDTF">2014-01-13T18:41:32Z</dcterms:modified>
</cp:coreProperties>
</file>