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hl\Downloads\"/>
    </mc:Choice>
  </mc:AlternateContent>
  <xr:revisionPtr revIDLastSave="0" documentId="13_ncr:1_{414F0679-73B2-4755-B9A5-0EE496951BAC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Inputs" sheetId="1" r:id="rId1"/>
    <sheet name="Scenarios" sheetId="2" r:id="rId2"/>
    <sheet name="BreakEve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2" l="1"/>
  <c r="B9" i="2"/>
  <c r="B8" i="2"/>
  <c r="O7" i="2"/>
  <c r="B7" i="2"/>
  <c r="O6" i="2"/>
  <c r="B6" i="2"/>
  <c r="O5" i="2"/>
  <c r="B5" i="2"/>
  <c r="B4" i="2"/>
  <c r="B3" i="2"/>
  <c r="O2" i="2"/>
  <c r="B2" i="2"/>
  <c r="B11" i="1"/>
  <c r="O9" i="2" s="1"/>
  <c r="B9" i="1"/>
  <c r="B10" i="1" s="1"/>
  <c r="C4" i="2" l="1"/>
  <c r="D4" i="2" s="1"/>
  <c r="E4" i="2" s="1"/>
  <c r="C3" i="2"/>
  <c r="D3" i="2" s="1"/>
  <c r="E3" i="2" s="1"/>
  <c r="C6" i="2"/>
  <c r="D6" i="2" s="1"/>
  <c r="E6" i="2" s="1"/>
  <c r="C7" i="2"/>
  <c r="D7" i="2" s="1"/>
  <c r="E7" i="2" s="1"/>
  <c r="C9" i="2"/>
  <c r="D9" i="2" s="1"/>
  <c r="E9" i="2" s="1"/>
  <c r="C2" i="2"/>
  <c r="D2" i="2" s="1"/>
  <c r="E2" i="2" s="1"/>
  <c r="C5" i="2"/>
  <c r="D5" i="2" s="1"/>
  <c r="E5" i="2" s="1"/>
  <c r="C8" i="2"/>
  <c r="D8" i="2" s="1"/>
  <c r="E8" i="2" s="1"/>
  <c r="C10" i="2"/>
  <c r="D10" i="2" s="1"/>
  <c r="E10" i="2" s="1"/>
  <c r="O8" i="2"/>
  <c r="O4" i="2"/>
  <c r="O3" i="2"/>
  <c r="O10" i="2"/>
  <c r="B2" i="3"/>
  <c r="B3" i="3" s="1"/>
  <c r="L8" i="2" l="1"/>
  <c r="M8" i="2" s="1"/>
  <c r="G8" i="2"/>
  <c r="H8" i="2" s="1"/>
  <c r="F8" i="2"/>
  <c r="L2" i="2"/>
  <c r="M2" i="2" s="1"/>
  <c r="G2" i="2"/>
  <c r="H2" i="2" s="1"/>
  <c r="F2" i="2"/>
  <c r="G5" i="2"/>
  <c r="H5" i="2" s="1"/>
  <c r="F5" i="2"/>
  <c r="L5" i="2"/>
  <c r="M5" i="2" s="1"/>
  <c r="L9" i="2"/>
  <c r="M9" i="2" s="1"/>
  <c r="F9" i="2"/>
  <c r="G9" i="2"/>
  <c r="H9" i="2" s="1"/>
  <c r="G7" i="2"/>
  <c r="H7" i="2" s="1"/>
  <c r="F7" i="2"/>
  <c r="L7" i="2"/>
  <c r="M7" i="2" s="1"/>
  <c r="G6" i="2"/>
  <c r="H6" i="2" s="1"/>
  <c r="F6" i="2"/>
  <c r="L6" i="2"/>
  <c r="M6" i="2" s="1"/>
  <c r="G3" i="2"/>
  <c r="H3" i="2" s="1"/>
  <c r="F3" i="2"/>
  <c r="L3" i="2"/>
  <c r="M3" i="2" s="1"/>
  <c r="L10" i="2"/>
  <c r="M10" i="2" s="1"/>
  <c r="F10" i="2"/>
  <c r="G10" i="2"/>
  <c r="H10" i="2" s="1"/>
  <c r="L4" i="2"/>
  <c r="M4" i="2" s="1"/>
  <c r="G4" i="2"/>
  <c r="H4" i="2" s="1"/>
  <c r="F4" i="2"/>
  <c r="N4" i="2" l="1"/>
  <c r="I4" i="2"/>
  <c r="N5" i="2"/>
  <c r="I5" i="2"/>
  <c r="N2" i="2"/>
  <c r="I2" i="2"/>
  <c r="N9" i="2"/>
  <c r="I9" i="2"/>
  <c r="I8" i="2"/>
  <c r="N8" i="2"/>
  <c r="N7" i="2"/>
  <c r="I7" i="2"/>
  <c r="N10" i="2"/>
  <c r="I10" i="2"/>
  <c r="I3" i="2"/>
  <c r="N3" i="2"/>
  <c r="I6" i="2"/>
  <c r="N6" i="2"/>
  <c r="K3" i="2" l="1"/>
  <c r="J3" i="2"/>
  <c r="K7" i="2"/>
  <c r="J7" i="2"/>
  <c r="K9" i="2"/>
  <c r="J9" i="2"/>
  <c r="K5" i="2"/>
  <c r="J5" i="2"/>
  <c r="K10" i="2"/>
  <c r="J10" i="2"/>
  <c r="K4" i="2"/>
  <c r="J4" i="2"/>
  <c r="J8" i="2"/>
  <c r="K8" i="2"/>
  <c r="K2" i="2"/>
  <c r="J2" i="2"/>
  <c r="K6" i="2"/>
  <c r="J6" i="2"/>
</calcChain>
</file>

<file path=xl/sharedStrings.xml><?xml version="1.0" encoding="utf-8"?>
<sst xmlns="http://schemas.openxmlformats.org/spreadsheetml/2006/main" count="47" uniqueCount="45">
  <si>
    <t>Parameter</t>
  </si>
  <si>
    <t>Value</t>
  </si>
  <si>
    <t>Notes</t>
  </si>
  <si>
    <t>principal</t>
  </si>
  <si>
    <t>Capital borrowed, pounds</t>
  </si>
  <si>
    <t>apr</t>
  </si>
  <si>
    <t>Annual interest rate; template assumes simple interest for horizon</t>
  </si>
  <si>
    <t>term_years</t>
  </si>
  <si>
    <t>Loan horizon in years</t>
  </si>
  <si>
    <t>start_price</t>
  </si>
  <si>
    <t>Starting BTC price, pounds</t>
  </si>
  <si>
    <t>buy_fee_pct</t>
  </si>
  <si>
    <t>Estimated buy fee or spread as a fraction</t>
  </si>
  <si>
    <t>sell_fee_pct</t>
  </si>
  <si>
    <t>Estimated sell fee or spread as a fraction</t>
  </si>
  <si>
    <t>tax_rate_cgt</t>
  </si>
  <si>
    <t>Capital gains tax rate on realised gains</t>
  </si>
  <si>
    <t>btc_bought</t>
  </si>
  <si>
    <t>BTC acquired after buy fee</t>
  </si>
  <si>
    <t>cost_basis_per_btc</t>
  </si>
  <si>
    <t>Cost per BTC including buy fee</t>
  </si>
  <si>
    <t>repay_simple</t>
  </si>
  <si>
    <t>Amount to repay at horizon, pounds</t>
  </si>
  <si>
    <t>Edit the values in column B. Derived items update automatically.</t>
  </si>
  <si>
    <t>Change_vs_start</t>
  </si>
  <si>
    <t>End_Price</t>
  </si>
  <si>
    <t>Denom_per_x</t>
  </si>
  <si>
    <t>x_fraction_to_sell</t>
  </si>
  <si>
    <t>BTC_sold</t>
  </si>
  <si>
    <t>Gross</t>
  </si>
  <si>
    <t>Realised_gain</t>
  </si>
  <si>
    <t>Tax_paid</t>
  </si>
  <si>
    <t>Net_cash_from_sale</t>
  </si>
  <si>
    <t>External_cash_needed</t>
  </si>
  <si>
    <t>Able_to_repay</t>
  </si>
  <si>
    <t>BTC_remaining</t>
  </si>
  <si>
    <t>Value_remaining</t>
  </si>
  <si>
    <t>Total_fees_est</t>
  </si>
  <si>
    <t>Interest_paid</t>
  </si>
  <si>
    <t>Edit 'Change_vs_start' values in column A to add scenarios.</t>
  </si>
  <si>
    <t>Metric</t>
  </si>
  <si>
    <t>BreakEven_End_Price</t>
  </si>
  <si>
    <t>End price that allows full repayment by selling all BTC, zero BTC remaining.</t>
  </si>
  <si>
    <t>BreakEven_Change_pct</t>
  </si>
  <si>
    <t>Price change relative to starting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</si>
</sst>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£#,##0.00"/>
    <numFmt numFmtId="165" formatCode="0.000000"/>
    <numFmt numFmtId="166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66666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10" fontId="0" fillId="0" borderId="1" xfId="0" applyNumberFormat="1" applyBorder="1"/>
    <xf numFmtId="165" fontId="0" fillId="0" borderId="1" xfId="0" applyNumberFormat="1" applyBorder="1"/>
    <xf numFmtId="0" fontId="3" fillId="0" borderId="0" xfId="0" applyFont="1"/>
    <xf numFmtId="166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pane ySplit="1" topLeftCell="A2" activePane="bottomLeft" state="frozen"/>
      <selection pane="bottomLeft" activeCell="G13" sqref="G13"/>
    </sheetView>
  </sheetViews>
  <sheetFormatPr defaultRowHeight="14.4" x14ac:dyDescent="0.3"/>
  <cols>
    <col min="1" max="1" width="24.77734375" customWidth="1"/>
    <col min="2" max="2" width="22.6640625" customWidth="1"/>
    <col min="3" max="3" width="5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1000</v>
      </c>
      <c r="C2" s="4" t="s">
        <v>4</v>
      </c>
    </row>
    <row r="3" spans="1:3" x14ac:dyDescent="0.3">
      <c r="A3" s="2" t="s">
        <v>5</v>
      </c>
      <c r="B3" s="5">
        <v>0.06</v>
      </c>
      <c r="C3" s="4" t="s">
        <v>6</v>
      </c>
    </row>
    <row r="4" spans="1:3" x14ac:dyDescent="0.3">
      <c r="A4" s="2" t="s">
        <v>7</v>
      </c>
      <c r="B4" s="2">
        <v>1</v>
      </c>
      <c r="C4" s="4" t="s">
        <v>8</v>
      </c>
    </row>
    <row r="5" spans="1:3" x14ac:dyDescent="0.3">
      <c r="A5" s="2" t="s">
        <v>9</v>
      </c>
      <c r="B5" s="3">
        <v>25000</v>
      </c>
      <c r="C5" s="4" t="s">
        <v>10</v>
      </c>
    </row>
    <row r="6" spans="1:3" x14ac:dyDescent="0.3">
      <c r="A6" s="2" t="s">
        <v>11</v>
      </c>
      <c r="B6" s="5">
        <v>0.01</v>
      </c>
      <c r="C6" s="4" t="s">
        <v>12</v>
      </c>
    </row>
    <row r="7" spans="1:3" x14ac:dyDescent="0.3">
      <c r="A7" s="2" t="s">
        <v>13</v>
      </c>
      <c r="B7" s="5">
        <v>0.01</v>
      </c>
      <c r="C7" s="4" t="s">
        <v>14</v>
      </c>
    </row>
    <row r="8" spans="1:3" x14ac:dyDescent="0.3">
      <c r="A8" s="2" t="s">
        <v>15</v>
      </c>
      <c r="B8" s="5">
        <v>0.2</v>
      </c>
      <c r="C8" s="4" t="s">
        <v>16</v>
      </c>
    </row>
    <row r="9" spans="1:3" x14ac:dyDescent="0.3">
      <c r="A9" s="2" t="s">
        <v>17</v>
      </c>
      <c r="B9" s="6">
        <f>VLOOKUP("principal",Inputs!$A:$B,2,FALSE) * (1 - VLOOKUP("buy_fee_pct",Inputs!$A:$B,2,FALSE)) / VLOOKUP("start_price",Inputs!$A:$B,2,FALSE)</f>
        <v>3.9600000000000003E-2</v>
      </c>
      <c r="C9" s="4" t="s">
        <v>18</v>
      </c>
    </row>
    <row r="10" spans="1:3" x14ac:dyDescent="0.3">
      <c r="A10" s="2" t="s">
        <v>19</v>
      </c>
      <c r="B10" s="6">
        <f>VLOOKUP("principal",Inputs!$A:$B,2,FALSE) / VLOOKUP("btc_bought",Inputs!$A:$B,2,FALSE)</f>
        <v>25252.525252525251</v>
      </c>
      <c r="C10" s="4" t="s">
        <v>20</v>
      </c>
    </row>
    <row r="11" spans="1:3" x14ac:dyDescent="0.3">
      <c r="A11" s="2" t="s">
        <v>21</v>
      </c>
      <c r="B11" s="3">
        <f>VLOOKUP("principal",Inputs!$A:$B,2,FALSE) * (1 + VLOOKUP("apr",Inputs!$A:$B,2,FALSE) * VLOOKUP("term_years",Inputs!$A:$B,2,FALSE))</f>
        <v>1060</v>
      </c>
      <c r="C11" s="4" t="s">
        <v>22</v>
      </c>
    </row>
    <row r="13" spans="1:3" ht="18" x14ac:dyDescent="0.35">
      <c r="A13" s="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16.6640625" customWidth="1"/>
    <col min="2" max="2" width="14.6640625" customWidth="1"/>
    <col min="3" max="3" width="16.6640625" customWidth="1"/>
    <col min="4" max="4" width="20.6640625" customWidth="1"/>
    <col min="5" max="6" width="14.6640625" customWidth="1"/>
    <col min="7" max="7" width="16.6640625" customWidth="1"/>
    <col min="8" max="8" width="12.6640625" customWidth="1"/>
    <col min="9" max="9" width="20.6640625" customWidth="1"/>
    <col min="10" max="10" width="22.6640625" customWidth="1"/>
    <col min="11" max="13" width="16.6640625" customWidth="1"/>
    <col min="14" max="14" width="18.6640625" customWidth="1"/>
    <col min="15" max="15" width="14.6640625" customWidth="1"/>
  </cols>
  <sheetData>
    <row r="1" spans="1:15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 x14ac:dyDescent="0.3">
      <c r="A2" s="2">
        <v>-0.7</v>
      </c>
      <c r="B2" s="3">
        <f>VLOOKUP("start_price",Inputs!$A:$B,2,FALSE) * (1 + A2)</f>
        <v>7500.0000000000009</v>
      </c>
      <c r="C2" s="3">
        <f>VLOOKUP("btc_bought",Inputs!$A:$B,2,FALSE)*B2*(1 - VLOOKUP("sell_fee_pct",Inputs!$A:$B,2,FALSE)) - VLOOKUP("tax_rate_cgt",Inputs!$A:$B,2,FALSE)*VLOOKUP("btc_bought",Inputs!$A:$B,2,FALSE)*MAX(B2 - VLOOKUP("cost_basis_per_btc",Inputs!$A:$B,2,FALSE),0)</f>
        <v>294.03000000000003</v>
      </c>
      <c r="D2" s="8">
        <f>IF(C2&lt;=0,1,MIN(1,VLOOKUP("repay_simple",Inputs!$A:$B,2,FALSE) / C2))</f>
        <v>1</v>
      </c>
      <c r="E2" s="6">
        <f>D2*VLOOKUP("btc_bought",Inputs!$A:$B,2,FALSE)</f>
        <v>3.9600000000000003E-2</v>
      </c>
      <c r="F2" s="3">
        <f t="shared" ref="F2:F10" si="0">E2*B2</f>
        <v>297.00000000000006</v>
      </c>
      <c r="G2" s="3">
        <f>E2*MAX(B2 - VLOOKUP("cost_basis_per_btc",Inputs!$A:$B,2,FALSE),0)</f>
        <v>0</v>
      </c>
      <c r="H2" s="3">
        <f>VLOOKUP("tax_rate_cgt",Inputs!$A:$B,2,FALSE)*G2</f>
        <v>0</v>
      </c>
      <c r="I2" s="3">
        <f>F2*(1 - VLOOKUP("sell_fee_pct",Inputs!$A:$B,2,FALSE)) - H2</f>
        <v>294.03000000000003</v>
      </c>
      <c r="J2" s="3">
        <f>MAX(0,VLOOKUP("repay_simple",Inputs!$A:$B,2,FALSE) - I2)</f>
        <v>765.97</v>
      </c>
      <c r="K2" s="9" t="b">
        <f>I2&gt;=VLOOKUP("repay_simple",Inputs!$A:$B,2,FALSE)</f>
        <v>0</v>
      </c>
      <c r="L2" s="6">
        <f>MAX(0,VLOOKUP("btc_bought",Inputs!$A:$B,2,FALSE) - E2)</f>
        <v>0</v>
      </c>
      <c r="M2" s="3">
        <f t="shared" ref="M2:M10" si="1">L2*B2</f>
        <v>0</v>
      </c>
      <c r="N2" s="3">
        <f>VLOOKUP("principal",Inputs!$A:$B,2,FALSE)*VLOOKUP("buy_fee_pct",Inputs!$A:$B,2,FALSE) + F2*VLOOKUP("sell_fee_pct",Inputs!$A:$B,2,FALSE)</f>
        <v>12.97</v>
      </c>
      <c r="O2" s="3">
        <f>VLOOKUP("repay_simple",Inputs!$A:$B,2,FALSE) - VLOOKUP("principal",Inputs!$A:$B,2,FALSE)</f>
        <v>60</v>
      </c>
    </row>
    <row r="3" spans="1:15" x14ac:dyDescent="0.3">
      <c r="A3" s="2">
        <v>-0.5</v>
      </c>
      <c r="B3" s="3">
        <f>VLOOKUP("start_price",Inputs!$A:$B,2,FALSE) * (1 + A3)</f>
        <v>12500</v>
      </c>
      <c r="C3" s="3">
        <f>VLOOKUP("btc_bought",Inputs!$A:$B,2,FALSE)*B3*(1 - VLOOKUP("sell_fee_pct",Inputs!$A:$B,2,FALSE)) - VLOOKUP("tax_rate_cgt",Inputs!$A:$B,2,FALSE)*VLOOKUP("btc_bought",Inputs!$A:$B,2,FALSE)*MAX(B3 - VLOOKUP("cost_basis_per_btc",Inputs!$A:$B,2,FALSE),0)</f>
        <v>490.05000000000007</v>
      </c>
      <c r="D3" s="8">
        <f>IF(C3&lt;=0,1,MIN(1,VLOOKUP("repay_simple",Inputs!$A:$B,2,FALSE) / C3))</f>
        <v>1</v>
      </c>
      <c r="E3" s="6">
        <f>D3*VLOOKUP("btc_bought",Inputs!$A:$B,2,FALSE)</f>
        <v>3.9600000000000003E-2</v>
      </c>
      <c r="F3" s="3">
        <f t="shared" si="0"/>
        <v>495.00000000000006</v>
      </c>
      <c r="G3" s="3">
        <f>E3*MAX(B3 - VLOOKUP("cost_basis_per_btc",Inputs!$A:$B,2,FALSE),0)</f>
        <v>0</v>
      </c>
      <c r="H3" s="3">
        <f>VLOOKUP("tax_rate_cgt",Inputs!$A:$B,2,FALSE)*G3</f>
        <v>0</v>
      </c>
      <c r="I3" s="3">
        <f>F3*(1 - VLOOKUP("sell_fee_pct",Inputs!$A:$B,2,FALSE)) - H3</f>
        <v>490.05000000000007</v>
      </c>
      <c r="J3" s="3">
        <f>MAX(0,VLOOKUP("repay_simple",Inputs!$A:$B,2,FALSE) - I3)</f>
        <v>569.94999999999993</v>
      </c>
      <c r="K3" s="9" t="b">
        <f>I3&gt;=VLOOKUP("repay_simple",Inputs!$A:$B,2,FALSE)</f>
        <v>0</v>
      </c>
      <c r="L3" s="6">
        <f>MAX(0,VLOOKUP("btc_bought",Inputs!$A:$B,2,FALSE) - E3)</f>
        <v>0</v>
      </c>
      <c r="M3" s="3">
        <f t="shared" si="1"/>
        <v>0</v>
      </c>
      <c r="N3" s="3">
        <f>VLOOKUP("principal",Inputs!$A:$B,2,FALSE)*VLOOKUP("buy_fee_pct",Inputs!$A:$B,2,FALSE) + F3*VLOOKUP("sell_fee_pct",Inputs!$A:$B,2,FALSE)</f>
        <v>14.950000000000001</v>
      </c>
      <c r="O3" s="3">
        <f>VLOOKUP("repay_simple",Inputs!$A:$B,2,FALSE) - VLOOKUP("principal",Inputs!$A:$B,2,FALSE)</f>
        <v>60</v>
      </c>
    </row>
    <row r="4" spans="1:15" x14ac:dyDescent="0.3">
      <c r="A4" s="2">
        <v>-0.2</v>
      </c>
      <c r="B4" s="3">
        <f>VLOOKUP("start_price",Inputs!$A:$B,2,FALSE) * (1 + A4)</f>
        <v>20000</v>
      </c>
      <c r="C4" s="3">
        <f>VLOOKUP("btc_bought",Inputs!$A:$B,2,FALSE)*B4*(1 - VLOOKUP("sell_fee_pct",Inputs!$A:$B,2,FALSE)) - VLOOKUP("tax_rate_cgt",Inputs!$A:$B,2,FALSE)*VLOOKUP("btc_bought",Inputs!$A:$B,2,FALSE)*MAX(B4 - VLOOKUP("cost_basis_per_btc",Inputs!$A:$B,2,FALSE),0)</f>
        <v>784.08000000000015</v>
      </c>
      <c r="D4" s="8">
        <f>IF(C4&lt;=0,1,MIN(1,VLOOKUP("repay_simple",Inputs!$A:$B,2,FALSE) / C4))</f>
        <v>1</v>
      </c>
      <c r="E4" s="6">
        <f>D4*VLOOKUP("btc_bought",Inputs!$A:$B,2,FALSE)</f>
        <v>3.9600000000000003E-2</v>
      </c>
      <c r="F4" s="3">
        <f t="shared" si="0"/>
        <v>792.00000000000011</v>
      </c>
      <c r="G4" s="3">
        <f>E4*MAX(B4 - VLOOKUP("cost_basis_per_btc",Inputs!$A:$B,2,FALSE),0)</f>
        <v>0</v>
      </c>
      <c r="H4" s="3">
        <f>VLOOKUP("tax_rate_cgt",Inputs!$A:$B,2,FALSE)*G4</f>
        <v>0</v>
      </c>
      <c r="I4" s="3">
        <f>F4*(1 - VLOOKUP("sell_fee_pct",Inputs!$A:$B,2,FALSE)) - H4</f>
        <v>784.08000000000015</v>
      </c>
      <c r="J4" s="3">
        <f>MAX(0,VLOOKUP("repay_simple",Inputs!$A:$B,2,FALSE) - I4)</f>
        <v>275.91999999999985</v>
      </c>
      <c r="K4" s="9" t="b">
        <f>I4&gt;=VLOOKUP("repay_simple",Inputs!$A:$B,2,FALSE)</f>
        <v>0</v>
      </c>
      <c r="L4" s="6">
        <f>MAX(0,VLOOKUP("btc_bought",Inputs!$A:$B,2,FALSE) - E4)</f>
        <v>0</v>
      </c>
      <c r="M4" s="3">
        <f t="shared" si="1"/>
        <v>0</v>
      </c>
      <c r="N4" s="3">
        <f>VLOOKUP("principal",Inputs!$A:$B,2,FALSE)*VLOOKUP("buy_fee_pct",Inputs!$A:$B,2,FALSE) + F4*VLOOKUP("sell_fee_pct",Inputs!$A:$B,2,FALSE)</f>
        <v>17.920000000000002</v>
      </c>
      <c r="O4" s="3">
        <f>VLOOKUP("repay_simple",Inputs!$A:$B,2,FALSE) - VLOOKUP("principal",Inputs!$A:$B,2,FALSE)</f>
        <v>60</v>
      </c>
    </row>
    <row r="5" spans="1:15" x14ac:dyDescent="0.3">
      <c r="A5" s="2">
        <v>0</v>
      </c>
      <c r="B5" s="3">
        <f>VLOOKUP("start_price",Inputs!$A:$B,2,FALSE) * (1 + A5)</f>
        <v>25000</v>
      </c>
      <c r="C5" s="3">
        <f>VLOOKUP("btc_bought",Inputs!$A:$B,2,FALSE)*B5*(1 - VLOOKUP("sell_fee_pct",Inputs!$A:$B,2,FALSE)) - VLOOKUP("tax_rate_cgt",Inputs!$A:$B,2,FALSE)*VLOOKUP("btc_bought",Inputs!$A:$B,2,FALSE)*MAX(B5 - VLOOKUP("cost_basis_per_btc",Inputs!$A:$B,2,FALSE),0)</f>
        <v>980.10000000000014</v>
      </c>
      <c r="D5" s="8">
        <f>IF(C5&lt;=0,1,MIN(1,VLOOKUP("repay_simple",Inputs!$A:$B,2,FALSE) / C5))</f>
        <v>1</v>
      </c>
      <c r="E5" s="6">
        <f>D5*VLOOKUP("btc_bought",Inputs!$A:$B,2,FALSE)</f>
        <v>3.9600000000000003E-2</v>
      </c>
      <c r="F5" s="3">
        <f t="shared" si="0"/>
        <v>990.00000000000011</v>
      </c>
      <c r="G5" s="3">
        <f>E5*MAX(B5 - VLOOKUP("cost_basis_per_btc",Inputs!$A:$B,2,FALSE),0)</f>
        <v>0</v>
      </c>
      <c r="H5" s="3">
        <f>VLOOKUP("tax_rate_cgt",Inputs!$A:$B,2,FALSE)*G5</f>
        <v>0</v>
      </c>
      <c r="I5" s="3">
        <f>F5*(1 - VLOOKUP("sell_fee_pct",Inputs!$A:$B,2,FALSE)) - H5</f>
        <v>980.10000000000014</v>
      </c>
      <c r="J5" s="3">
        <f>MAX(0,VLOOKUP("repay_simple",Inputs!$A:$B,2,FALSE) - I5)</f>
        <v>79.899999999999864</v>
      </c>
      <c r="K5" s="9" t="b">
        <f>I5&gt;=VLOOKUP("repay_simple",Inputs!$A:$B,2,FALSE)</f>
        <v>0</v>
      </c>
      <c r="L5" s="6">
        <f>MAX(0,VLOOKUP("btc_bought",Inputs!$A:$B,2,FALSE) - E5)</f>
        <v>0</v>
      </c>
      <c r="M5" s="3">
        <f t="shared" si="1"/>
        <v>0</v>
      </c>
      <c r="N5" s="3">
        <f>VLOOKUP("principal",Inputs!$A:$B,2,FALSE)*VLOOKUP("buy_fee_pct",Inputs!$A:$B,2,FALSE) + F5*VLOOKUP("sell_fee_pct",Inputs!$A:$B,2,FALSE)</f>
        <v>19.900000000000002</v>
      </c>
      <c r="O5" s="3">
        <f>VLOOKUP("repay_simple",Inputs!$A:$B,2,FALSE) - VLOOKUP("principal",Inputs!$A:$B,2,FALSE)</f>
        <v>60</v>
      </c>
    </row>
    <row r="6" spans="1:15" x14ac:dyDescent="0.3">
      <c r="A6" s="2">
        <v>0.2</v>
      </c>
      <c r="B6" s="3">
        <f>VLOOKUP("start_price",Inputs!$A:$B,2,FALSE) * (1 + A6)</f>
        <v>30000</v>
      </c>
      <c r="C6" s="3">
        <f>VLOOKUP("btc_bought",Inputs!$A:$B,2,FALSE)*B6*(1 - VLOOKUP("sell_fee_pct",Inputs!$A:$B,2,FALSE)) - VLOOKUP("tax_rate_cgt",Inputs!$A:$B,2,FALSE)*VLOOKUP("btc_bought",Inputs!$A:$B,2,FALSE)*MAX(B6 - VLOOKUP("cost_basis_per_btc",Inputs!$A:$B,2,FALSE),0)</f>
        <v>1138.52</v>
      </c>
      <c r="D6" s="8">
        <f>IF(C6&lt;=0,1,MIN(1,VLOOKUP("repay_simple",Inputs!$A:$B,2,FALSE) / C6))</f>
        <v>0.93103327126444857</v>
      </c>
      <c r="E6" s="6">
        <f>D6*VLOOKUP("btc_bought",Inputs!$A:$B,2,FALSE)</f>
        <v>3.6868917542072166E-2</v>
      </c>
      <c r="F6" s="3">
        <f t="shared" si="0"/>
        <v>1106.0675262621651</v>
      </c>
      <c r="G6" s="3">
        <f>E6*MAX(B6 - VLOOKUP("cost_basis_per_btc",Inputs!$A:$B,2,FALSE),0)</f>
        <v>175.0342549977164</v>
      </c>
      <c r="H6" s="3">
        <f>VLOOKUP("tax_rate_cgt",Inputs!$A:$B,2,FALSE)*G6</f>
        <v>35.006850999543282</v>
      </c>
      <c r="I6" s="3">
        <f>F6*(1 - VLOOKUP("sell_fee_pct",Inputs!$A:$B,2,FALSE)) - H6</f>
        <v>1060</v>
      </c>
      <c r="J6" s="3">
        <f>MAX(0,VLOOKUP("repay_simple",Inputs!$A:$B,2,FALSE) - I6)</f>
        <v>0</v>
      </c>
      <c r="K6" s="9" t="b">
        <f>I6&gt;=VLOOKUP("repay_simple",Inputs!$A:$B,2,FALSE)</f>
        <v>1</v>
      </c>
      <c r="L6" s="6">
        <f>MAX(0,VLOOKUP("btc_bought",Inputs!$A:$B,2,FALSE) - E6)</f>
        <v>2.7310824579278373E-3</v>
      </c>
      <c r="M6" s="3">
        <f t="shared" si="1"/>
        <v>81.932473737835124</v>
      </c>
      <c r="N6" s="3">
        <f>VLOOKUP("principal",Inputs!$A:$B,2,FALSE)*VLOOKUP("buy_fee_pct",Inputs!$A:$B,2,FALSE) + F6*VLOOKUP("sell_fee_pct",Inputs!$A:$B,2,FALSE)</f>
        <v>21.06067526262165</v>
      </c>
      <c r="O6" s="3">
        <f>VLOOKUP("repay_simple",Inputs!$A:$B,2,FALSE) - VLOOKUP("principal",Inputs!$A:$B,2,FALSE)</f>
        <v>60</v>
      </c>
    </row>
    <row r="7" spans="1:15" x14ac:dyDescent="0.3">
      <c r="A7" s="2">
        <v>0.5</v>
      </c>
      <c r="B7" s="3">
        <f>VLOOKUP("start_price",Inputs!$A:$B,2,FALSE) * (1 + A7)</f>
        <v>37500</v>
      </c>
      <c r="C7" s="3">
        <f>VLOOKUP("btc_bought",Inputs!$A:$B,2,FALSE)*B7*(1 - VLOOKUP("sell_fee_pct",Inputs!$A:$B,2,FALSE)) - VLOOKUP("tax_rate_cgt",Inputs!$A:$B,2,FALSE)*VLOOKUP("btc_bought",Inputs!$A:$B,2,FALSE)*MAX(B7 - VLOOKUP("cost_basis_per_btc",Inputs!$A:$B,2,FALSE),0)</f>
        <v>1373.1500000000003</v>
      </c>
      <c r="D7" s="8">
        <f>IF(C7&lt;=0,1,MIN(1,VLOOKUP("repay_simple",Inputs!$A:$B,2,FALSE) / C7))</f>
        <v>0.77194771146633634</v>
      </c>
      <c r="E7" s="6">
        <f>D7*VLOOKUP("btc_bought",Inputs!$A:$B,2,FALSE)</f>
        <v>3.056912937406692E-2</v>
      </c>
      <c r="F7" s="3">
        <f t="shared" si="0"/>
        <v>1146.3423515275094</v>
      </c>
      <c r="G7" s="3">
        <f>E7*MAX(B7 - VLOOKUP("cost_basis_per_btc",Inputs!$A:$B,2,FALSE),0)</f>
        <v>374.39464006117316</v>
      </c>
      <c r="H7" s="3">
        <f>VLOOKUP("tax_rate_cgt",Inputs!$A:$B,2,FALSE)*G7</f>
        <v>74.878928012234638</v>
      </c>
      <c r="I7" s="3">
        <f>F7*(1 - VLOOKUP("sell_fee_pct",Inputs!$A:$B,2,FALSE)) - H7</f>
        <v>1059.9999999999998</v>
      </c>
      <c r="J7" s="3">
        <f>MAX(0,VLOOKUP("repay_simple",Inputs!$A:$B,2,FALSE) - I7)</f>
        <v>2.2737367544323206E-13</v>
      </c>
      <c r="K7" s="9" t="b">
        <f>I7&gt;=VLOOKUP("repay_simple",Inputs!$A:$B,2,FALSE)</f>
        <v>1</v>
      </c>
      <c r="L7" s="6">
        <f>MAX(0,VLOOKUP("btc_bought",Inputs!$A:$B,2,FALSE) - E7)</f>
        <v>9.030870625933083E-3</v>
      </c>
      <c r="M7" s="3">
        <f t="shared" si="1"/>
        <v>338.65764847249062</v>
      </c>
      <c r="N7" s="3">
        <f>VLOOKUP("principal",Inputs!$A:$B,2,FALSE)*VLOOKUP("buy_fee_pct",Inputs!$A:$B,2,FALSE) + F7*VLOOKUP("sell_fee_pct",Inputs!$A:$B,2,FALSE)</f>
        <v>21.463423515275096</v>
      </c>
      <c r="O7" s="3">
        <f>VLOOKUP("repay_simple",Inputs!$A:$B,2,FALSE) - VLOOKUP("principal",Inputs!$A:$B,2,FALSE)</f>
        <v>60</v>
      </c>
    </row>
    <row r="8" spans="1:15" x14ac:dyDescent="0.3">
      <c r="A8" s="2">
        <v>1</v>
      </c>
      <c r="B8" s="3">
        <f>VLOOKUP("start_price",Inputs!$A:$B,2,FALSE) * (1 + A8)</f>
        <v>50000</v>
      </c>
      <c r="C8" s="3">
        <f>VLOOKUP("btc_bought",Inputs!$A:$B,2,FALSE)*B8*(1 - VLOOKUP("sell_fee_pct",Inputs!$A:$B,2,FALSE)) - VLOOKUP("tax_rate_cgt",Inputs!$A:$B,2,FALSE)*VLOOKUP("btc_bought",Inputs!$A:$B,2,FALSE)*MAX(B8 - VLOOKUP("cost_basis_per_btc",Inputs!$A:$B,2,FALSE),0)</f>
        <v>1764.2000000000003</v>
      </c>
      <c r="D8" s="8">
        <f>IF(C8&lt;=0,1,MIN(1,VLOOKUP("repay_simple",Inputs!$A:$B,2,FALSE) / C8))</f>
        <v>0.60083890715338384</v>
      </c>
      <c r="E8" s="6">
        <f>D8*VLOOKUP("btc_bought",Inputs!$A:$B,2,FALSE)</f>
        <v>2.3793220723274004E-2</v>
      </c>
      <c r="F8" s="3">
        <f t="shared" si="0"/>
        <v>1189.6610361637001</v>
      </c>
      <c r="G8" s="3">
        <f>E8*MAX(B8 - VLOOKUP("cost_basis_per_btc",Inputs!$A:$B,2,FALSE),0)</f>
        <v>588.8221290103163</v>
      </c>
      <c r="H8" s="3">
        <f>VLOOKUP("tax_rate_cgt",Inputs!$A:$B,2,FALSE)*G8</f>
        <v>117.76442580206327</v>
      </c>
      <c r="I8" s="3">
        <f>F8*(1 - VLOOKUP("sell_fee_pct",Inputs!$A:$B,2,FALSE)) - H8</f>
        <v>1060</v>
      </c>
      <c r="J8" s="3">
        <f>MAX(0,VLOOKUP("repay_simple",Inputs!$A:$B,2,FALSE) - I8)</f>
        <v>0</v>
      </c>
      <c r="K8" s="9" t="b">
        <f>I8&gt;=VLOOKUP("repay_simple",Inputs!$A:$B,2,FALSE)</f>
        <v>1</v>
      </c>
      <c r="L8" s="6">
        <f>MAX(0,VLOOKUP("btc_bought",Inputs!$A:$B,2,FALSE) - E8)</f>
        <v>1.5806779276726E-2</v>
      </c>
      <c r="M8" s="3">
        <f t="shared" si="1"/>
        <v>790.33896383629997</v>
      </c>
      <c r="N8" s="3">
        <f>VLOOKUP("principal",Inputs!$A:$B,2,FALSE)*VLOOKUP("buy_fee_pct",Inputs!$A:$B,2,FALSE) + F8*VLOOKUP("sell_fee_pct",Inputs!$A:$B,2,FALSE)</f>
        <v>21.896610361637002</v>
      </c>
      <c r="O8" s="3">
        <f>VLOOKUP("repay_simple",Inputs!$A:$B,2,FALSE) - VLOOKUP("principal",Inputs!$A:$B,2,FALSE)</f>
        <v>60</v>
      </c>
    </row>
    <row r="9" spans="1:15" x14ac:dyDescent="0.3">
      <c r="A9" s="2">
        <v>2</v>
      </c>
      <c r="B9" s="3">
        <f>VLOOKUP("start_price",Inputs!$A:$B,2,FALSE) * (1 + A9)</f>
        <v>75000</v>
      </c>
      <c r="C9" s="3">
        <f>VLOOKUP("btc_bought",Inputs!$A:$B,2,FALSE)*B9*(1 - VLOOKUP("sell_fee_pct",Inputs!$A:$B,2,FALSE)) - VLOOKUP("tax_rate_cgt",Inputs!$A:$B,2,FALSE)*VLOOKUP("btc_bought",Inputs!$A:$B,2,FALSE)*MAX(B9 - VLOOKUP("cost_basis_per_btc",Inputs!$A:$B,2,FALSE),0)</f>
        <v>2546.3000000000006</v>
      </c>
      <c r="D9" s="8">
        <f>IF(C9&lt;=0,1,MIN(1,VLOOKUP("repay_simple",Inputs!$A:$B,2,FALSE) / C9))</f>
        <v>0.41629030357774016</v>
      </c>
      <c r="E9" s="6">
        <f>D9*VLOOKUP("btc_bought",Inputs!$A:$B,2,FALSE)</f>
        <v>1.6485096021678511E-2</v>
      </c>
      <c r="F9" s="3">
        <f t="shared" si="0"/>
        <v>1236.3822016258882</v>
      </c>
      <c r="G9" s="3">
        <f>E9*MAX(B9 - VLOOKUP("cost_basis_per_btc",Inputs!$A:$B,2,FALSE),0)</f>
        <v>820.09189804814821</v>
      </c>
      <c r="H9" s="3">
        <f>VLOOKUP("tax_rate_cgt",Inputs!$A:$B,2,FALSE)*G9</f>
        <v>164.01837960962965</v>
      </c>
      <c r="I9" s="3">
        <f>F9*(1 - VLOOKUP("sell_fee_pct",Inputs!$A:$B,2,FALSE)) - H9</f>
        <v>1059.9999999999998</v>
      </c>
      <c r="J9" s="3">
        <f>MAX(0,VLOOKUP("repay_simple",Inputs!$A:$B,2,FALSE) - I9)</f>
        <v>2.2737367544323206E-13</v>
      </c>
      <c r="K9" s="9" t="b">
        <f>I9&gt;=VLOOKUP("repay_simple",Inputs!$A:$B,2,FALSE)</f>
        <v>1</v>
      </c>
      <c r="L9" s="6">
        <f>MAX(0,VLOOKUP("btc_bought",Inputs!$A:$B,2,FALSE) - E9)</f>
        <v>2.3114903978321492E-2</v>
      </c>
      <c r="M9" s="3">
        <f t="shared" si="1"/>
        <v>1733.617798374112</v>
      </c>
      <c r="N9" s="3">
        <f>VLOOKUP("principal",Inputs!$A:$B,2,FALSE)*VLOOKUP("buy_fee_pct",Inputs!$A:$B,2,FALSE) + F9*VLOOKUP("sell_fee_pct",Inputs!$A:$B,2,FALSE)</f>
        <v>22.363822016258883</v>
      </c>
      <c r="O9" s="3">
        <f>VLOOKUP("repay_simple",Inputs!$A:$B,2,FALSE) - VLOOKUP("principal",Inputs!$A:$B,2,FALSE)</f>
        <v>60</v>
      </c>
    </row>
    <row r="10" spans="1:15" x14ac:dyDescent="0.3">
      <c r="A10" s="2">
        <v>5</v>
      </c>
      <c r="B10" s="3">
        <f>VLOOKUP("start_price",Inputs!$A:$B,2,FALSE) * (1 + A10)</f>
        <v>150000</v>
      </c>
      <c r="C10" s="3">
        <f>VLOOKUP("btc_bought",Inputs!$A:$B,2,FALSE)*B10*(1 - VLOOKUP("sell_fee_pct",Inputs!$A:$B,2,FALSE)) - VLOOKUP("tax_rate_cgt",Inputs!$A:$B,2,FALSE)*VLOOKUP("btc_bought",Inputs!$A:$B,2,FALSE)*MAX(B10 - VLOOKUP("cost_basis_per_btc",Inputs!$A:$B,2,FALSE),0)</f>
        <v>4892.6000000000013</v>
      </c>
      <c r="D10" s="8">
        <f>IF(C10&lt;=0,1,MIN(1,VLOOKUP("repay_simple",Inputs!$A:$B,2,FALSE) / C10))</f>
        <v>0.21665372194743077</v>
      </c>
      <c r="E10" s="6">
        <f>D10*VLOOKUP("btc_bought",Inputs!$A:$B,2,FALSE)</f>
        <v>8.5794873891182587E-3</v>
      </c>
      <c r="F10" s="3">
        <f t="shared" si="0"/>
        <v>1286.9231083677389</v>
      </c>
      <c r="G10" s="3">
        <f>E10*MAX(B10 - VLOOKUP("cost_basis_per_btc",Inputs!$A:$B,2,FALSE),0)</f>
        <v>1070.2693864203079</v>
      </c>
      <c r="H10" s="3">
        <f>VLOOKUP("tax_rate_cgt",Inputs!$A:$B,2,FALSE)*G10</f>
        <v>214.0538772840616</v>
      </c>
      <c r="I10" s="3">
        <f>F10*(1 - VLOOKUP("sell_fee_pct",Inputs!$A:$B,2,FALSE)) - H10</f>
        <v>1059.9999999999998</v>
      </c>
      <c r="J10" s="3">
        <f>MAX(0,VLOOKUP("repay_simple",Inputs!$A:$B,2,FALSE) - I10)</f>
        <v>2.2737367544323206E-13</v>
      </c>
      <c r="K10" s="9" t="b">
        <f>I10&gt;=VLOOKUP("repay_simple",Inputs!$A:$B,2,FALSE)</f>
        <v>1</v>
      </c>
      <c r="L10" s="6">
        <f>MAX(0,VLOOKUP("btc_bought",Inputs!$A:$B,2,FALSE) - E10)</f>
        <v>3.1020512610881745E-2</v>
      </c>
      <c r="M10" s="3">
        <f t="shared" si="1"/>
        <v>4653.0768916322613</v>
      </c>
      <c r="N10" s="3">
        <f>VLOOKUP("principal",Inputs!$A:$B,2,FALSE)*VLOOKUP("buy_fee_pct",Inputs!$A:$B,2,FALSE) + F10*VLOOKUP("sell_fee_pct",Inputs!$A:$B,2,FALSE)</f>
        <v>22.869231083677391</v>
      </c>
      <c r="O10" s="3">
        <f>VLOOKUP("repay_simple",Inputs!$A:$B,2,FALSE) - VLOOKUP("principal",Inputs!$A:$B,2,FALSE)</f>
        <v>60</v>
      </c>
    </row>
    <row r="13" spans="1:15" ht="18" x14ac:dyDescent="0.35">
      <c r="A13" s="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6.6640625" customWidth="1"/>
    <col min="2" max="2" width="22.6640625" customWidth="1"/>
    <col min="3" max="3" width="65.109375" customWidth="1"/>
  </cols>
  <sheetData>
    <row r="1" spans="1:3" x14ac:dyDescent="0.3">
      <c r="A1" s="1" t="s">
        <v>40</v>
      </c>
      <c r="B1" s="1" t="s">
        <v>1</v>
      </c>
      <c r="C1" s="1" t="s">
        <v>2</v>
      </c>
    </row>
    <row r="2" spans="1:3" x14ac:dyDescent="0.3">
      <c r="A2" s="2" t="s">
        <v>41</v>
      </c>
      <c r="B2" s="3">
        <f>IF(
VLOOKUP("repay_simple",Inputs!$A:$B,2,FALSE)/(VLOOKUP("btc_bought",Inputs!$A:$B,2,FALSE)*(1 - VLOOKUP("sell_fee_pct",Inputs!$A:$B,2,FALSE))) &lt;= VLOOKUP("cost_basis_per_btc",Inputs!$A:$B,2,FALSE),
VLOOKUP("repay_simple",Inputs!$A:$B,2,FALSE)/(VLOOKUP("btc_bought",Inputs!$A:$B,2,FALSE)*(1 - VLOOKUP("sell_fee_pct",Inputs!$A:$B,2,FALSE))),
(VLOOKUP("repay_simple",Inputs!$A:$B,2,FALSE)/VLOOKUP("btc_bought",Inputs!$A:$B,2,FALSE) - VLOOKUP("tax_rate_cgt",Inputs!$A:$B,2,FALSE)*VLOOKUP("cost_basis_per_btc",Inputs!$A:$B,2,FALSE)) / (1 - VLOOKUP("sell_fee_pct",Inputs!$A:$B,2,FALSE) - VLOOKUP("tax_rate_cgt",Inputs!$A:$B,2,FALSE))
)</f>
        <v>27490.090781230021</v>
      </c>
      <c r="C2" s="4" t="s">
        <v>42</v>
      </c>
    </row>
    <row r="3" spans="1:3" x14ac:dyDescent="0.3">
      <c r="A3" s="2" t="s">
        <v>43</v>
      </c>
      <c r="B3" s="5">
        <f>B2/VLOOKUP("start_price",Inputs!$A:$B,2,FALSE) - 1</f>
        <v>9.9603631249200797E-2</v>
      </c>
      <c r="C3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Scenarios</vt:lpstr>
      <vt:lpstr>BreakEven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Dalibor Juric</cp:lastModifiedBy>
  <dcterms:created xsi:type="dcterms:W3CDTF">2025-07-28T15:19:16Z</dcterms:created>
  <dcterms:modified xsi:type="dcterms:W3CDTF">2025-07-28T15:21:51Z</dcterms:modified>
</cp:coreProperties>
</file>