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4BD810BE-F4FA-4005-80DD-4D9CB5CBE506}" xr6:coauthVersionLast="47" xr6:coauthVersionMax="47" xr10:uidLastSave="{00000000-0000-0000-0000-000000000000}"/>
  <bookViews>
    <workbookView xWindow="-120" yWindow="-120" windowWidth="20730" windowHeight="11310" firstSheet="2" activeTab="8" xr2:uid="{00000000-000D-0000-FFFF-FFFF00000000}"/>
  </bookViews>
  <sheets>
    <sheet name="Exercise 2" sheetId="1" r:id="rId1"/>
    <sheet name="Exercise 3" sheetId="2" r:id="rId2"/>
    <sheet name="Exercise 4" sheetId="3" r:id="rId3"/>
    <sheet name="East" sheetId="4" r:id="rId4"/>
    <sheet name="West" sheetId="5" r:id="rId5"/>
    <sheet name="Combined" sheetId="6" r:id="rId6"/>
    <sheet name="ASS 13" sheetId="7" r:id="rId7"/>
    <sheet name="Sheet4" sheetId="8" r:id="rId8"/>
    <sheet name="Excercise 6" sheetId="9" r:id="rId9"/>
    <sheet name="Vlookup as 29" sheetId="10" r:id="rId10"/>
  </sheets>
  <calcPr calcId="191029"/>
  <pivotCaches>
    <pivotCache cacheId="7" r:id="rId11"/>
    <pivotCache cacheId="13" r:id="rId12"/>
  </pivotCaches>
  <fileRecoveryPr repairLoad="1"/>
</workbook>
</file>

<file path=xl/calcChain.xml><?xml version="1.0" encoding="utf-8"?>
<calcChain xmlns="http://schemas.openxmlformats.org/spreadsheetml/2006/main">
  <c r="C1037" i="9" l="1"/>
  <c r="C1036" i="9"/>
  <c r="C1032" i="9"/>
  <c r="H602" i="9"/>
  <c r="D410" i="9"/>
  <c r="D409" i="9"/>
  <c r="C503" i="9"/>
  <c r="G522" i="9"/>
  <c r="G521" i="9"/>
  <c r="B803" i="9"/>
  <c r="C803" i="9"/>
  <c r="H786" i="9"/>
  <c r="D788" i="9"/>
  <c r="D786" i="9"/>
  <c r="C946" i="9"/>
  <c r="C947" i="9"/>
  <c r="C945" i="9"/>
  <c r="C956" i="9"/>
  <c r="C957" i="9"/>
  <c r="C958" i="9"/>
  <c r="C959" i="9"/>
  <c r="C955" i="9"/>
  <c r="C998" i="9"/>
  <c r="C999" i="9"/>
  <c r="C1000" i="9"/>
  <c r="C1001" i="9"/>
  <c r="C997" i="9"/>
  <c r="D756" i="9"/>
  <c r="D755" i="9"/>
  <c r="D754" i="9"/>
  <c r="D753" i="9"/>
  <c r="D752" i="9"/>
  <c r="D751" i="9"/>
  <c r="D768" i="9"/>
  <c r="D767" i="9"/>
  <c r="D766" i="9"/>
  <c r="D765" i="9"/>
  <c r="D764" i="9"/>
  <c r="D763" i="9"/>
  <c r="D757" i="9"/>
  <c r="D758" i="9"/>
  <c r="D759" i="9"/>
  <c r="D760" i="9"/>
  <c r="D761" i="9"/>
  <c r="D762" i="9"/>
  <c r="D750" i="9"/>
  <c r="D74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D709" i="9"/>
  <c r="D710" i="9"/>
  <c r="D711" i="9"/>
  <c r="D712" i="9"/>
  <c r="D713" i="9"/>
  <c r="D714" i="9"/>
  <c r="D715" i="9"/>
  <c r="D716" i="9"/>
  <c r="D708" i="9"/>
  <c r="C699" i="9"/>
  <c r="B693" i="9"/>
  <c r="B687" i="9"/>
  <c r="B677" i="9"/>
  <c r="B668" i="9"/>
  <c r="B659" i="9"/>
  <c r="F10" i="10"/>
  <c r="F11" i="10"/>
  <c r="F3" i="10"/>
  <c r="F4" i="10"/>
  <c r="F5" i="10"/>
  <c r="F6" i="10"/>
  <c r="F7" i="10"/>
  <c r="F8" i="10"/>
  <c r="F9" i="10"/>
  <c r="F2" i="10"/>
  <c r="E3" i="10"/>
  <c r="E4" i="10"/>
  <c r="E5" i="10"/>
  <c r="E6" i="10"/>
  <c r="E7" i="10"/>
  <c r="E8" i="10"/>
  <c r="E9" i="10"/>
  <c r="E10" i="10"/>
  <c r="E11" i="10"/>
  <c r="E2" i="10"/>
  <c r="D3" i="10"/>
  <c r="D4" i="10"/>
  <c r="D5" i="10"/>
  <c r="D6" i="10"/>
  <c r="D7" i="10"/>
  <c r="D8" i="10"/>
  <c r="D9" i="10"/>
  <c r="D10" i="10"/>
  <c r="D11" i="10"/>
  <c r="D2" i="10"/>
  <c r="C5" i="10"/>
  <c r="C6" i="10"/>
  <c r="C7" i="10"/>
  <c r="C8" i="10"/>
  <c r="C9" i="10"/>
  <c r="C10" i="10"/>
  <c r="C11" i="10"/>
  <c r="C4" i="10"/>
  <c r="C2" i="10"/>
  <c r="C3" i="10"/>
  <c r="H598" i="9"/>
  <c r="I598" i="9"/>
  <c r="H599" i="9"/>
  <c r="G594" i="9"/>
  <c r="G593" i="9"/>
  <c r="G590" i="9"/>
  <c r="G587" i="9"/>
  <c r="E564" i="9"/>
  <c r="E565" i="9"/>
  <c r="E563" i="9"/>
  <c r="E556" i="9"/>
  <c r="E557" i="9"/>
  <c r="E558" i="9"/>
  <c r="E559" i="9"/>
  <c r="E560" i="9"/>
  <c r="E555" i="9"/>
  <c r="D541" i="9"/>
  <c r="D542" i="9"/>
  <c r="D543" i="9"/>
  <c r="D544" i="9"/>
  <c r="D545" i="9"/>
  <c r="D546" i="9"/>
  <c r="H533" i="9"/>
  <c r="H534" i="9"/>
  <c r="H535" i="9"/>
  <c r="H536" i="9"/>
  <c r="H532" i="9"/>
  <c r="H531" i="9"/>
  <c r="H530" i="9"/>
  <c r="H529" i="9"/>
  <c r="D530" i="9"/>
  <c r="D531" i="9"/>
  <c r="D532" i="9"/>
  <c r="D533" i="9"/>
  <c r="D529" i="9"/>
  <c r="K460" i="9"/>
  <c r="J460" i="9"/>
  <c r="L460" i="9" s="1"/>
  <c r="J457" i="9"/>
  <c r="I316" i="9"/>
  <c r="H278" i="9"/>
  <c r="D408" i="9"/>
  <c r="G477" i="9"/>
  <c r="G478" i="9"/>
  <c r="G479" i="9"/>
  <c r="G480" i="9"/>
  <c r="G481" i="9"/>
  <c r="G482" i="9"/>
  <c r="G476" i="9"/>
  <c r="G475" i="9"/>
  <c r="H357" i="9"/>
  <c r="J326" i="9"/>
  <c r="J325" i="9"/>
  <c r="H356" i="9"/>
  <c r="K454" i="9"/>
  <c r="J454" i="9"/>
  <c r="I454" i="9"/>
  <c r="D411" i="9"/>
  <c r="E216" i="9"/>
  <c r="D209" i="9"/>
  <c r="D396" i="9"/>
  <c r="D395" i="9"/>
  <c r="D394" i="9"/>
  <c r="D393" i="9"/>
  <c r="D392" i="9"/>
  <c r="D391" i="9"/>
  <c r="D390" i="9"/>
  <c r="D389" i="9"/>
  <c r="D388" i="9"/>
  <c r="C396" i="9"/>
  <c r="C395" i="9"/>
  <c r="C394" i="9"/>
  <c r="C393" i="9"/>
  <c r="C392" i="9"/>
  <c r="C391" i="9"/>
  <c r="C389" i="9"/>
  <c r="C390" i="9"/>
  <c r="C388" i="9"/>
  <c r="G474" i="9"/>
  <c r="A218" i="9"/>
  <c r="A217" i="9"/>
  <c r="A216" i="9"/>
  <c r="A172" i="9"/>
  <c r="A171" i="9"/>
  <c r="A170" i="9"/>
  <c r="C1038" i="9" s="1"/>
  <c r="A15" i="9"/>
  <c r="A14" i="9"/>
  <c r="B1109" i="9"/>
  <c r="E1102" i="9"/>
  <c r="F1102" i="9" s="1"/>
  <c r="D1102" i="9"/>
  <c r="C1102" i="9"/>
  <c r="E1101" i="9"/>
  <c r="D1101" i="9"/>
  <c r="C1101" i="9"/>
  <c r="E1100" i="9"/>
  <c r="F1100" i="9" s="1"/>
  <c r="D1100" i="9"/>
  <c r="C1100" i="9"/>
  <c r="E1099" i="9"/>
  <c r="F1099" i="9" s="1"/>
  <c r="D1099" i="9"/>
  <c r="C1099" i="9"/>
  <c r="E1098" i="9"/>
  <c r="F1098" i="9" s="1"/>
  <c r="D1098" i="9"/>
  <c r="C1098" i="9"/>
  <c r="E1097" i="9"/>
  <c r="F1097" i="9" s="1"/>
  <c r="D1097" i="9"/>
  <c r="C1097" i="9"/>
  <c r="E1096" i="9"/>
  <c r="F1096" i="9" s="1"/>
  <c r="D1096" i="9"/>
  <c r="C1096" i="9"/>
  <c r="E1095" i="9"/>
  <c r="F1095" i="9" s="1"/>
  <c r="D1095" i="9"/>
  <c r="C1095" i="9"/>
  <c r="E1094" i="9"/>
  <c r="F1094" i="9" s="1"/>
  <c r="D1094" i="9"/>
  <c r="C1094" i="9"/>
  <c r="E1093" i="9"/>
  <c r="F1093" i="9" s="1"/>
  <c r="D1093" i="9"/>
  <c r="C1093" i="9"/>
  <c r="E1092" i="9"/>
  <c r="D1092" i="9"/>
  <c r="C1092" i="9"/>
  <c r="M1151" i="9"/>
  <c r="J1068" i="9" s="1"/>
  <c r="M1150" i="9"/>
  <c r="J1067" i="9" s="1"/>
  <c r="M1149" i="9"/>
  <c r="J1066" i="9" s="1"/>
  <c r="M1148" i="9"/>
  <c r="J1065" i="9" s="1"/>
  <c r="M1147" i="9"/>
  <c r="J1064" i="9" s="1"/>
  <c r="M1146" i="9"/>
  <c r="J1063" i="9" s="1"/>
  <c r="M1145" i="9"/>
  <c r="J1062" i="9" s="1"/>
  <c r="M1144" i="9"/>
  <c r="J1061" i="9" s="1"/>
  <c r="M1143" i="9"/>
  <c r="J1060" i="9" s="1"/>
  <c r="M1142" i="9"/>
  <c r="J1059" i="9" s="1"/>
  <c r="M1141" i="9"/>
  <c r="J1058" i="9" s="1"/>
  <c r="B1030" i="9"/>
  <c r="H1027" i="9"/>
  <c r="J1027" i="9" s="1"/>
  <c r="H1026" i="9"/>
  <c r="J1026" i="9" s="1"/>
  <c r="H1025" i="9"/>
  <c r="J1025" i="9" s="1"/>
  <c r="H1024" i="9"/>
  <c r="J1024" i="9" s="1"/>
  <c r="H1023" i="9"/>
  <c r="J1023" i="9" s="1"/>
  <c r="D1032" i="9" s="1"/>
  <c r="H1022" i="9"/>
  <c r="J1022" i="9" s="1"/>
  <c r="D1038" i="9" s="1"/>
  <c r="H1021" i="9"/>
  <c r="J1021" i="9" s="1"/>
  <c r="H1020" i="9"/>
  <c r="J1020" i="9" s="1"/>
  <c r="D1037" i="9" s="1"/>
  <c r="H1019" i="9"/>
  <c r="J1019" i="9" s="1"/>
  <c r="D1036" i="9" s="1"/>
  <c r="H1018" i="9"/>
  <c r="J1018" i="9" s="1"/>
  <c r="H1017" i="9"/>
  <c r="J1017" i="9" s="1"/>
  <c r="B1040" i="9" s="1"/>
  <c r="D1009" i="9"/>
  <c r="D1008" i="9"/>
  <c r="D1007" i="9"/>
  <c r="D1006" i="9"/>
  <c r="D993" i="9"/>
  <c r="D992" i="9"/>
  <c r="D991" i="9"/>
  <c r="D994" i="9" s="1"/>
  <c r="D987" i="9"/>
  <c r="D986" i="9"/>
  <c r="D985" i="9"/>
  <c r="D984" i="9"/>
  <c r="D974" i="9"/>
  <c r="D973" i="9"/>
  <c r="C967" i="9"/>
  <c r="C966" i="9"/>
  <c r="C965" i="9"/>
  <c r="C964" i="9"/>
  <c r="C963" i="9"/>
  <c r="D941" i="9"/>
  <c r="D940" i="9"/>
  <c r="D939" i="9"/>
  <c r="D938" i="9"/>
  <c r="D937" i="9"/>
  <c r="D927" i="9"/>
  <c r="G926" i="9"/>
  <c r="D926" i="9"/>
  <c r="G925" i="9"/>
  <c r="D925" i="9"/>
  <c r="E913" i="9"/>
  <c r="E912" i="9"/>
  <c r="E911" i="9"/>
  <c r="E910" i="9"/>
  <c r="E909" i="9"/>
  <c r="D906" i="9"/>
  <c r="D905" i="9"/>
  <c r="D904" i="9"/>
  <c r="D903" i="9"/>
  <c r="D902" i="9"/>
  <c r="D901" i="9"/>
  <c r="D891" i="9"/>
  <c r="G890" i="9"/>
  <c r="D890" i="9"/>
  <c r="G889" i="9"/>
  <c r="D889" i="9"/>
  <c r="G888" i="9"/>
  <c r="D888" i="9"/>
  <c r="D887" i="9"/>
  <c r="D886" i="9"/>
  <c r="G648" i="9"/>
  <c r="H375" i="9"/>
  <c r="G375" i="9"/>
  <c r="H374" i="9"/>
  <c r="G374" i="9"/>
  <c r="H373" i="9"/>
  <c r="G373" i="9"/>
  <c r="H372" i="9"/>
  <c r="G372" i="9"/>
  <c r="H371" i="9"/>
  <c r="G371" i="9"/>
  <c r="H370" i="9"/>
  <c r="G370" i="9"/>
  <c r="H369" i="9"/>
  <c r="G369" i="9"/>
  <c r="H368" i="9"/>
  <c r="G368" i="9"/>
  <c r="H367" i="9"/>
  <c r="G367" i="9"/>
  <c r="H354" i="9"/>
  <c r="H353" i="9"/>
  <c r="G350" i="9"/>
  <c r="H347" i="9"/>
  <c r="G347" i="9"/>
  <c r="L322" i="9"/>
  <c r="K322" i="9"/>
  <c r="J322" i="9"/>
  <c r="I322" i="9"/>
  <c r="I319" i="9"/>
  <c r="J316" i="9"/>
  <c r="I313" i="9"/>
  <c r="H283" i="9"/>
  <c r="K278" i="9"/>
  <c r="K274" i="9"/>
  <c r="H274" i="9"/>
  <c r="K270" i="9"/>
  <c r="H270" i="9"/>
  <c r="L238" i="9"/>
  <c r="L237" i="9"/>
  <c r="O236" i="9"/>
  <c r="L236" i="9"/>
  <c r="O235" i="9"/>
  <c r="L235" i="9"/>
  <c r="L234" i="9"/>
  <c r="L233" i="9"/>
  <c r="L232" i="9"/>
  <c r="M231" i="9"/>
  <c r="L231" i="9"/>
  <c r="E218" i="9"/>
  <c r="E217" i="9"/>
  <c r="D211" i="9"/>
  <c r="D210" i="9"/>
  <c r="I180" i="9"/>
  <c r="L177" i="9"/>
  <c r="K177" i="9"/>
  <c r="I177" i="9"/>
  <c r="I174" i="9"/>
  <c r="G172" i="9"/>
  <c r="F172" i="9"/>
  <c r="E172" i="9"/>
  <c r="D172" i="9"/>
  <c r="C172" i="9"/>
  <c r="G171" i="9"/>
  <c r="F171" i="9"/>
  <c r="E171" i="9"/>
  <c r="D171" i="9"/>
  <c r="C171" i="9"/>
  <c r="G170" i="9"/>
  <c r="F170" i="9"/>
  <c r="E170" i="9"/>
  <c r="D170" i="9"/>
  <c r="C170" i="9"/>
  <c r="I162" i="9"/>
  <c r="H162" i="9"/>
  <c r="I161" i="9"/>
  <c r="H161" i="9"/>
  <c r="I160" i="9"/>
  <c r="H160" i="9"/>
  <c r="I159" i="9"/>
  <c r="H159" i="9"/>
  <c r="I158" i="9"/>
  <c r="H158" i="9"/>
  <c r="I157" i="9"/>
  <c r="H157" i="9"/>
  <c r="I156" i="9"/>
  <c r="H156" i="9"/>
  <c r="I155" i="9"/>
  <c r="H155" i="9"/>
  <c r="I154" i="9"/>
  <c r="H154" i="9"/>
  <c r="I153" i="9"/>
  <c r="H153" i="9"/>
  <c r="I152" i="9"/>
  <c r="H152" i="9"/>
  <c r="I151" i="9"/>
  <c r="H151" i="9"/>
  <c r="I150" i="9"/>
  <c r="H150" i="9"/>
  <c r="F144" i="9"/>
  <c r="G144" i="9" s="1"/>
  <c r="H144" i="9" s="1"/>
  <c r="F143" i="9"/>
  <c r="G143" i="9" s="1"/>
  <c r="H143" i="9" s="1"/>
  <c r="F142" i="9"/>
  <c r="G142" i="9" s="1"/>
  <c r="H142" i="9" s="1"/>
  <c r="F141" i="9"/>
  <c r="G141" i="9" s="1"/>
  <c r="H141" i="9" s="1"/>
  <c r="F140" i="9"/>
  <c r="G140" i="9" s="1"/>
  <c r="H140" i="9" s="1"/>
  <c r="F139" i="9"/>
  <c r="F138" i="9"/>
  <c r="G138" i="9" s="1"/>
  <c r="H138" i="9" s="1"/>
  <c r="F137" i="9"/>
  <c r="G137" i="9" s="1"/>
  <c r="H137" i="9" s="1"/>
  <c r="F136" i="9"/>
  <c r="F135" i="9"/>
  <c r="G135" i="9" s="1"/>
  <c r="L134" i="9"/>
  <c r="F128" i="9"/>
  <c r="G128" i="9" s="1"/>
  <c r="E128" i="9"/>
  <c r="D128" i="9"/>
  <c r="F127" i="9"/>
  <c r="G127" i="9" s="1"/>
  <c r="E127" i="9"/>
  <c r="D127" i="9"/>
  <c r="F126" i="9"/>
  <c r="G126" i="9" s="1"/>
  <c r="E126" i="9"/>
  <c r="D126" i="9"/>
  <c r="F125" i="9"/>
  <c r="G125" i="9" s="1"/>
  <c r="E125" i="9"/>
  <c r="D125" i="9"/>
  <c r="F124" i="9"/>
  <c r="G124" i="9" s="1"/>
  <c r="E124" i="9"/>
  <c r="D124" i="9"/>
  <c r="F123" i="9"/>
  <c r="G123" i="9" s="1"/>
  <c r="E123" i="9"/>
  <c r="D123" i="9"/>
  <c r="F122" i="9"/>
  <c r="G122" i="9" s="1"/>
  <c r="E122" i="9"/>
  <c r="D122" i="9"/>
  <c r="F121" i="9"/>
  <c r="G121" i="9" s="1"/>
  <c r="E121" i="9"/>
  <c r="D121" i="9"/>
  <c r="K120" i="9"/>
  <c r="F120" i="9"/>
  <c r="G120" i="9" s="1"/>
  <c r="E120" i="9"/>
  <c r="D120" i="9"/>
  <c r="F119" i="9"/>
  <c r="G119" i="9" s="1"/>
  <c r="E119" i="9"/>
  <c r="D119" i="9"/>
  <c r="F118" i="9"/>
  <c r="E118" i="9"/>
  <c r="D118" i="9"/>
  <c r="K117" i="9"/>
  <c r="F108" i="9"/>
  <c r="F107" i="9"/>
  <c r="F106" i="9"/>
  <c r="E104" i="9"/>
  <c r="E103" i="9"/>
  <c r="F97" i="9"/>
  <c r="E97" i="9"/>
  <c r="E95" i="9"/>
  <c r="F92" i="9"/>
  <c r="F91" i="9"/>
  <c r="F90" i="9"/>
  <c r="I79" i="9"/>
  <c r="K79" i="9" s="1"/>
  <c r="I78" i="9"/>
  <c r="K78" i="9" s="1"/>
  <c r="I77" i="9"/>
  <c r="K77" i="9" s="1"/>
  <c r="I76" i="9"/>
  <c r="K76" i="9" s="1"/>
  <c r="O75" i="9"/>
  <c r="I75" i="9"/>
  <c r="K75" i="9" s="1"/>
  <c r="O74" i="9"/>
  <c r="I74" i="9"/>
  <c r="K74" i="9" s="1"/>
  <c r="P74" i="9" s="1"/>
  <c r="O73" i="9"/>
  <c r="I73" i="9"/>
  <c r="K73" i="9" s="1"/>
  <c r="P72" i="9"/>
  <c r="O72" i="9"/>
  <c r="I72" i="9"/>
  <c r="K72" i="9" s="1"/>
  <c r="P73" i="9" s="1"/>
  <c r="I71" i="9"/>
  <c r="K71" i="9" s="1"/>
  <c r="P75" i="9" s="1"/>
  <c r="N70" i="9"/>
  <c r="I70" i="9"/>
  <c r="K70" i="9" s="1"/>
  <c r="I69" i="9"/>
  <c r="K69" i="9" s="1"/>
  <c r="N78" i="9" s="1"/>
  <c r="M61" i="9"/>
  <c r="M60" i="9"/>
  <c r="H60" i="9"/>
  <c r="G60" i="9"/>
  <c r="F60" i="9"/>
  <c r="I60" i="9" s="1"/>
  <c r="J60" i="9" s="1"/>
  <c r="H59" i="9"/>
  <c r="G59" i="9"/>
  <c r="F59" i="9"/>
  <c r="I59" i="9" s="1"/>
  <c r="J59" i="9" s="1"/>
  <c r="N61" i="9" s="1"/>
  <c r="H58" i="9"/>
  <c r="G58" i="9"/>
  <c r="F58" i="9"/>
  <c r="I58" i="9" s="1"/>
  <c r="J58" i="9" s="1"/>
  <c r="L57" i="9"/>
  <c r="H57" i="9"/>
  <c r="G57" i="9"/>
  <c r="F57" i="9"/>
  <c r="I57" i="9" s="1"/>
  <c r="J57" i="9" s="1"/>
  <c r="H56" i="9"/>
  <c r="G56" i="9"/>
  <c r="F56" i="9"/>
  <c r="I56" i="9" s="1"/>
  <c r="J56" i="9" s="1"/>
  <c r="P55" i="9"/>
  <c r="L55" i="9"/>
  <c r="H55" i="9"/>
  <c r="G55" i="9"/>
  <c r="F55" i="9"/>
  <c r="I55" i="9" s="1"/>
  <c r="J55" i="9" s="1"/>
  <c r="N60" i="9" s="1"/>
  <c r="P54" i="9"/>
  <c r="L54" i="9"/>
  <c r="H54" i="9"/>
  <c r="G54" i="9"/>
  <c r="F54" i="9"/>
  <c r="I54" i="9" s="1"/>
  <c r="J54" i="9" s="1"/>
  <c r="L53" i="9"/>
  <c r="G53" i="9"/>
  <c r="F53" i="9"/>
  <c r="I53" i="9" s="1"/>
  <c r="J53" i="9" s="1"/>
  <c r="G44" i="9"/>
  <c r="H44" i="9" s="1"/>
  <c r="F44" i="9"/>
  <c r="G43" i="9"/>
  <c r="H43" i="9" s="1"/>
  <c r="F43" i="9"/>
  <c r="G42" i="9"/>
  <c r="H42" i="9" s="1"/>
  <c r="F42" i="9"/>
  <c r="G41" i="9"/>
  <c r="H41" i="9" s="1"/>
  <c r="F41" i="9"/>
  <c r="G40" i="9"/>
  <c r="H40" i="9" s="1"/>
  <c r="F40" i="9"/>
  <c r="K39" i="9"/>
  <c r="G39" i="9"/>
  <c r="F39" i="9"/>
  <c r="K42" i="9" s="1"/>
  <c r="G38" i="9"/>
  <c r="H38" i="9" s="1"/>
  <c r="F38" i="9"/>
  <c r="K37" i="9"/>
  <c r="G37" i="9"/>
  <c r="H37" i="9" s="1"/>
  <c r="F37" i="9"/>
  <c r="G36" i="9"/>
  <c r="H36" i="9" s="1"/>
  <c r="F36" i="9"/>
  <c r="F29" i="9"/>
  <c r="G29" i="9" s="1"/>
  <c r="F28" i="9"/>
  <c r="G28" i="9" s="1"/>
  <c r="F27" i="9"/>
  <c r="G27" i="9" s="1"/>
  <c r="F26" i="9"/>
  <c r="G26" i="9" s="1"/>
  <c r="F25" i="9"/>
  <c r="G25" i="9" s="1"/>
  <c r="F24" i="9"/>
  <c r="G24" i="9" s="1"/>
  <c r="F23" i="9"/>
  <c r="G23" i="9" s="1"/>
  <c r="M22" i="9"/>
  <c r="L22" i="9"/>
  <c r="K22" i="9"/>
  <c r="F22" i="9"/>
  <c r="G22" i="9" s="1"/>
  <c r="F21" i="9"/>
  <c r="G21" i="9" s="1"/>
  <c r="I20" i="9"/>
  <c r="F20" i="9"/>
  <c r="G20" i="9" s="1"/>
  <c r="J11" i="9"/>
  <c r="K11" i="9" s="1"/>
  <c r="I11" i="9"/>
  <c r="J10" i="9"/>
  <c r="K10" i="9" s="1"/>
  <c r="I10" i="9"/>
  <c r="J9" i="9"/>
  <c r="K9" i="9" s="1"/>
  <c r="I9" i="9"/>
  <c r="O8" i="9"/>
  <c r="N8" i="9"/>
  <c r="J8" i="9"/>
  <c r="K8" i="9" s="1"/>
  <c r="I8" i="9"/>
  <c r="O7" i="9"/>
  <c r="N7" i="9"/>
  <c r="J7" i="9"/>
  <c r="K7" i="9" s="1"/>
  <c r="I7" i="9"/>
  <c r="J6" i="9"/>
  <c r="K6" i="9" s="1"/>
  <c r="I6" i="9"/>
  <c r="N5" i="9"/>
  <c r="J5" i="9"/>
  <c r="K5" i="9" s="1"/>
  <c r="I5" i="9"/>
  <c r="J4" i="9"/>
  <c r="I4" i="9"/>
  <c r="D15" i="9" s="1"/>
  <c r="J3" i="9"/>
  <c r="I3" i="9"/>
  <c r="D14" i="9" s="1"/>
  <c r="J2" i="9"/>
  <c r="K2" i="9" s="1"/>
  <c r="I2" i="9"/>
  <c r="E9" i="6"/>
  <c r="D9" i="6"/>
  <c r="C9" i="6"/>
  <c r="B9" i="6"/>
  <c r="F9" i="6" s="1"/>
  <c r="E8" i="6"/>
  <c r="D8" i="6"/>
  <c r="C8" i="6"/>
  <c r="B8" i="6"/>
  <c r="F8" i="6" s="1"/>
  <c r="E7" i="6"/>
  <c r="D7" i="6"/>
  <c r="C7" i="6"/>
  <c r="B7" i="6"/>
  <c r="F7" i="6" s="1"/>
  <c r="E6" i="6"/>
  <c r="D6" i="6"/>
  <c r="C6" i="6"/>
  <c r="B6" i="6"/>
  <c r="F6" i="6" s="1"/>
  <c r="E5" i="6"/>
  <c r="D5" i="6"/>
  <c r="C5" i="6"/>
  <c r="B5" i="6"/>
  <c r="F5" i="6" s="1"/>
  <c r="E4" i="6"/>
  <c r="D4" i="6"/>
  <c r="C4" i="6"/>
  <c r="B4" i="6"/>
  <c r="F4" i="6" s="1"/>
  <c r="E3" i="6"/>
  <c r="D3" i="6"/>
  <c r="C3" i="6"/>
  <c r="B3" i="6"/>
  <c r="F3" i="6" s="1"/>
  <c r="F9" i="5"/>
  <c r="F8" i="5"/>
  <c r="F7" i="5"/>
  <c r="F6" i="5"/>
  <c r="F5" i="5"/>
  <c r="F4" i="5"/>
  <c r="F3" i="5"/>
  <c r="F9" i="4"/>
  <c r="F8" i="4"/>
  <c r="F7" i="4"/>
  <c r="F6" i="4"/>
  <c r="F5" i="4"/>
  <c r="F4" i="4"/>
  <c r="F3" i="4"/>
  <c r="J43" i="3"/>
  <c r="I43" i="3"/>
  <c r="J42" i="3"/>
  <c r="I42" i="3"/>
  <c r="J41" i="3"/>
  <c r="I41" i="3"/>
  <c r="J40" i="3"/>
  <c r="I40" i="3"/>
  <c r="J39" i="3"/>
  <c r="I39" i="3"/>
  <c r="J38" i="3"/>
  <c r="I38" i="3"/>
  <c r="F29" i="3"/>
  <c r="F30" i="3" s="1"/>
  <c r="E29" i="3"/>
  <c r="E30" i="3" s="1"/>
  <c r="D29" i="3"/>
  <c r="D30" i="3" s="1"/>
  <c r="C29" i="3"/>
  <c r="C30" i="3" s="1"/>
  <c r="B29" i="3"/>
  <c r="B30" i="3" s="1"/>
  <c r="N28" i="3"/>
  <c r="M28" i="3"/>
  <c r="L28" i="3"/>
  <c r="K28" i="3"/>
  <c r="H27" i="3"/>
  <c r="G27" i="3"/>
  <c r="H26" i="3"/>
  <c r="G26" i="3"/>
  <c r="H25" i="3"/>
  <c r="G25" i="3"/>
  <c r="H24" i="3"/>
  <c r="G24" i="3"/>
  <c r="H23" i="3"/>
  <c r="G23" i="3"/>
  <c r="R18" i="3"/>
  <c r="Q18" i="3"/>
  <c r="P18" i="3"/>
  <c r="O18" i="3"/>
  <c r="N18" i="3"/>
  <c r="M18" i="3"/>
  <c r="U16" i="3"/>
  <c r="T16" i="3"/>
  <c r="V16" i="3" s="1"/>
  <c r="U15" i="3"/>
  <c r="T15" i="3"/>
  <c r="V15" i="3" s="1"/>
  <c r="U14" i="3"/>
  <c r="T14" i="3"/>
  <c r="V14" i="3" s="1"/>
  <c r="U13" i="3"/>
  <c r="T13" i="3"/>
  <c r="V13" i="3" s="1"/>
  <c r="U12" i="3"/>
  <c r="T12" i="3"/>
  <c r="V12" i="3" s="1"/>
  <c r="U11" i="3"/>
  <c r="T11" i="3"/>
  <c r="V11" i="3" s="1"/>
  <c r="U10" i="3"/>
  <c r="T10" i="3"/>
  <c r="V10" i="3" s="1"/>
  <c r="U9" i="3"/>
  <c r="T9" i="3"/>
  <c r="V9" i="3" s="1"/>
  <c r="D9" i="3"/>
  <c r="U8" i="3"/>
  <c r="T8" i="3"/>
  <c r="V8" i="3" s="1"/>
  <c r="J8" i="3"/>
  <c r="D8" i="3"/>
  <c r="U7" i="3"/>
  <c r="T7" i="3"/>
  <c r="V7" i="3" s="1"/>
  <c r="J7" i="3"/>
  <c r="D7" i="3"/>
  <c r="J6" i="3"/>
  <c r="D6" i="3"/>
  <c r="J5" i="3"/>
  <c r="D5" i="3"/>
  <c r="D10" i="3" s="1"/>
  <c r="D11" i="3" s="1"/>
  <c r="J4" i="3"/>
  <c r="J3" i="3"/>
  <c r="F23" i="2"/>
  <c r="M22" i="2"/>
  <c r="F22" i="2"/>
  <c r="M21" i="2"/>
  <c r="F21" i="2"/>
  <c r="M20" i="2"/>
  <c r="F20" i="2"/>
  <c r="M19" i="2"/>
  <c r="F19" i="2"/>
  <c r="M18" i="2"/>
  <c r="F18" i="2"/>
  <c r="M17" i="2"/>
  <c r="F17" i="2"/>
  <c r="M11" i="2"/>
  <c r="M10" i="2"/>
  <c r="M9" i="2"/>
  <c r="G9" i="2"/>
  <c r="D9" i="2"/>
  <c r="M8" i="2"/>
  <c r="G8" i="2"/>
  <c r="D8" i="2"/>
  <c r="M7" i="2"/>
  <c r="G7" i="2"/>
  <c r="D7" i="2"/>
  <c r="M6" i="2"/>
  <c r="G6" i="2"/>
  <c r="D6" i="2"/>
  <c r="O13" i="1"/>
  <c r="N13" i="1"/>
  <c r="M13" i="1"/>
  <c r="L13" i="1"/>
  <c r="K13" i="1"/>
  <c r="O12" i="1"/>
  <c r="N12" i="1"/>
  <c r="M12" i="1"/>
  <c r="L12" i="1"/>
  <c r="K12" i="1"/>
  <c r="O11" i="1"/>
  <c r="N11" i="1"/>
  <c r="M11" i="1"/>
  <c r="L11" i="1"/>
  <c r="K11" i="1"/>
  <c r="O8" i="1"/>
  <c r="N8" i="1"/>
  <c r="M8" i="1"/>
  <c r="L8" i="1"/>
  <c r="K8" i="1"/>
  <c r="O7" i="1"/>
  <c r="N7" i="1"/>
  <c r="M7" i="1"/>
  <c r="L7" i="1"/>
  <c r="K7" i="1"/>
  <c r="O6" i="1"/>
  <c r="N6" i="1"/>
  <c r="M6" i="1"/>
  <c r="L6" i="1"/>
  <c r="K6" i="1"/>
  <c r="O5" i="1"/>
  <c r="N5" i="1"/>
  <c r="M5" i="1"/>
  <c r="L5" i="1"/>
  <c r="K5" i="1"/>
  <c r="B1115" i="9" l="1"/>
  <c r="B1121" i="9"/>
  <c r="F1092" i="9"/>
  <c r="C1112" i="9"/>
  <c r="F1101" i="9"/>
  <c r="V19" i="3"/>
  <c r="V18" i="3"/>
  <c r="E14" i="9"/>
  <c r="K3" i="9"/>
  <c r="E15" i="9"/>
  <c r="K4" i="9"/>
  <c r="L42" i="9"/>
  <c r="H39" i="9"/>
  <c r="K126" i="9"/>
  <c r="K123" i="9"/>
  <c r="G118" i="9"/>
  <c r="H135" i="9"/>
  <c r="L140" i="9"/>
  <c r="G136" i="9"/>
  <c r="L141" i="9"/>
  <c r="G139" i="9"/>
  <c r="H139" i="9" s="1"/>
  <c r="H136" i="9" l="1"/>
  <c r="K137" i="9"/>
  <c r="K145" i="9"/>
  <c r="K144" i="9"/>
  <c r="N3" i="9"/>
  <c r="N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422013-DAB0-47E2-8CDF-357D561EC2FF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<sst xmlns="http://schemas.openxmlformats.org/spreadsheetml/2006/main" count="2463" uniqueCount="1060">
  <si>
    <t>A</t>
  </si>
  <si>
    <t>B</t>
  </si>
  <si>
    <t>C</t>
  </si>
  <si>
    <t>D</t>
  </si>
  <si>
    <t>E</t>
  </si>
  <si>
    <t>F</t>
  </si>
  <si>
    <t>DATE</t>
  </si>
  <si>
    <t>SERVICE</t>
  </si>
  <si>
    <t>STYLIST NAME</t>
  </si>
  <si>
    <t>PAYMENT</t>
  </si>
  <si>
    <t>PRICE</t>
  </si>
  <si>
    <t>HOW MANY TIMES TOTAL</t>
  </si>
  <si>
    <t>TOTAL PRICE</t>
  </si>
  <si>
    <t>HOW MANY TIMES BY CASH</t>
  </si>
  <si>
    <t>HOW MANY TIMES BY CREDIT</t>
  </si>
  <si>
    <t>TOTAL PRICE BY CASH</t>
  </si>
  <si>
    <t>SHAVING</t>
  </si>
  <si>
    <t>JANE</t>
  </si>
  <si>
    <t>CASH</t>
  </si>
  <si>
    <t>MARTHA</t>
  </si>
  <si>
    <t>CREDIT CARD</t>
  </si>
  <si>
    <t>WASHING AND COMBING</t>
  </si>
  <si>
    <t>LUCY</t>
  </si>
  <si>
    <t>DYEING</t>
  </si>
  <si>
    <t>ALEX</t>
  </si>
  <si>
    <t>MEETING HAIRSTYLE</t>
  </si>
  <si>
    <t>ALL SERVICE</t>
  </si>
  <si>
    <t>RACHEL</t>
  </si>
  <si>
    <t>HOW MANY TIMES SHAVING</t>
  </si>
  <si>
    <t>HOW AMNY TIMES KIDS</t>
  </si>
  <si>
    <t>SUM OF PRICE FOR SHAVING BETWEEN 5/1/2020 AND 5/2/2020</t>
  </si>
  <si>
    <t>ASHLEY</t>
  </si>
  <si>
    <t>SANDY</t>
  </si>
  <si>
    <t>KIDS</t>
  </si>
  <si>
    <t>a)</t>
  </si>
  <si>
    <t>b)</t>
  </si>
  <si>
    <t>NUMBER</t>
  </si>
  <si>
    <t>CHECK</t>
  </si>
  <si>
    <t>YEAR</t>
  </si>
  <si>
    <t>FIRST</t>
  </si>
  <si>
    <t>SECOND</t>
  </si>
  <si>
    <t>FIND</t>
  </si>
  <si>
    <t>c)</t>
  </si>
  <si>
    <t>d)</t>
  </si>
  <si>
    <t>THIRD</t>
  </si>
  <si>
    <t>COST OF PARTY</t>
  </si>
  <si>
    <t>DARTS</t>
  </si>
  <si>
    <t>QUIZE NIGHT</t>
  </si>
  <si>
    <t>NAME</t>
  </si>
  <si>
    <t>SCORE1</t>
  </si>
  <si>
    <t>SCORE2</t>
  </si>
  <si>
    <t>SCORE3</t>
  </si>
  <si>
    <t>FINAL</t>
  </si>
  <si>
    <t>ROUND</t>
  </si>
  <si>
    <t>JOKER ROUND</t>
  </si>
  <si>
    <t>TOTAL POINTS</t>
  </si>
  <si>
    <t>JOKER POINTS</t>
  </si>
  <si>
    <t>GRAND TOTAL</t>
  </si>
  <si>
    <t>ITEM</t>
  </si>
  <si>
    <t>COST$</t>
  </si>
  <si>
    <t>TOTAL COST</t>
  </si>
  <si>
    <t>MARIGOLD</t>
  </si>
  <si>
    <t>HARRY</t>
  </si>
  <si>
    <t>GENERAL</t>
  </si>
  <si>
    <t>CATERING</t>
  </si>
  <si>
    <t>STEVE</t>
  </si>
  <si>
    <t>HISTROY</t>
  </si>
  <si>
    <t>TV</t>
  </si>
  <si>
    <t>MUSIC</t>
  </si>
  <si>
    <t>KNOWLEDGE</t>
  </si>
  <si>
    <t>GEO</t>
  </si>
  <si>
    <t>FILM</t>
  </si>
  <si>
    <t>MAGICIAN</t>
  </si>
  <si>
    <t>DAVID</t>
  </si>
  <si>
    <t>PARTY BAG</t>
  </si>
  <si>
    <t>JOAN</t>
  </si>
  <si>
    <t>TEAM 1</t>
  </si>
  <si>
    <t>BALLOONS</t>
  </si>
  <si>
    <t>ELIZABETH JANE</t>
  </si>
  <si>
    <t>TEAM 2</t>
  </si>
  <si>
    <t>CAKE</t>
  </si>
  <si>
    <t>TEAM 3</t>
  </si>
  <si>
    <t>TOTAL</t>
  </si>
  <si>
    <t>TEAM 4</t>
  </si>
  <si>
    <t>PER CHILD</t>
  </si>
  <si>
    <t>TEAM 5</t>
  </si>
  <si>
    <t>TEAM 6</t>
  </si>
  <si>
    <t>TEAM 7</t>
  </si>
  <si>
    <t>TEAM 8</t>
  </si>
  <si>
    <t>TEAM 9</t>
  </si>
  <si>
    <t>TEAM 10</t>
  </si>
  <si>
    <t>AVERAGE  SCORE</t>
  </si>
  <si>
    <t>CHANPIONS</t>
  </si>
  <si>
    <t>WOODEN SPOON</t>
  </si>
  <si>
    <t>PETTY CASH EXPENSES</t>
  </si>
  <si>
    <t>SHARE</t>
  </si>
  <si>
    <t>POSTAGE</t>
  </si>
  <si>
    <t>COFFEE/TEA</t>
  </si>
  <si>
    <t>CLEANING</t>
  </si>
  <si>
    <t>STATIONERY/DRY</t>
  </si>
  <si>
    <t>MONTHS</t>
  </si>
  <si>
    <t>BELL</t>
  </si>
  <si>
    <t>SAM</t>
  </si>
  <si>
    <t>JIM</t>
  </si>
  <si>
    <t>ANN</t>
  </si>
  <si>
    <t>MAX</t>
  </si>
  <si>
    <t>MIN</t>
  </si>
  <si>
    <t>JAN</t>
  </si>
  <si>
    <t>FEB</t>
  </si>
  <si>
    <t>MAR</t>
  </si>
  <si>
    <t>MARCH</t>
  </si>
  <si>
    <t>APRIL</t>
  </si>
  <si>
    <t>MAY</t>
  </si>
  <si>
    <t>AVERAGE</t>
  </si>
  <si>
    <t>HOLIDAY BOOKING</t>
  </si>
  <si>
    <t>DATE OF BOOKING</t>
  </si>
  <si>
    <t>SURNAME</t>
  </si>
  <si>
    <t>VILLA</t>
  </si>
  <si>
    <t>START DATE</t>
  </si>
  <si>
    <t>END DATE</t>
  </si>
  <si>
    <t>DEPOSIT</t>
  </si>
  <si>
    <t>PRICE PER PERSION</t>
  </si>
  <si>
    <t>DEPOSIT HEADED BAL</t>
  </si>
  <si>
    <t>BILLINGS</t>
  </si>
  <si>
    <t>CAPRICE</t>
  </si>
  <si>
    <t>DERBYSHIRE</t>
  </si>
  <si>
    <t>MIRAMAR</t>
  </si>
  <si>
    <t>WINSLOW</t>
  </si>
  <si>
    <t xml:space="preserve">CAPRI </t>
  </si>
  <si>
    <t>HARRIS</t>
  </si>
  <si>
    <t>NUIT</t>
  </si>
  <si>
    <t>DAVIS</t>
  </si>
  <si>
    <t>POOLE</t>
  </si>
  <si>
    <t>SOLEIL</t>
  </si>
  <si>
    <t>year 10</t>
  </si>
  <si>
    <t>record</t>
  </si>
  <si>
    <t>sales</t>
  </si>
  <si>
    <t>in</t>
  </si>
  <si>
    <t>thousands</t>
  </si>
  <si>
    <t>East</t>
  </si>
  <si>
    <t>1st Quarter</t>
  </si>
  <si>
    <t>2nd Quarter</t>
  </si>
  <si>
    <t>3rd Quarter</t>
  </si>
  <si>
    <t>4th Quarter</t>
  </si>
  <si>
    <t>Annual total</t>
  </si>
  <si>
    <t>pop</t>
  </si>
  <si>
    <t>soul</t>
  </si>
  <si>
    <t>R&amp;B</t>
  </si>
  <si>
    <t>Country</t>
  </si>
  <si>
    <t>classical</t>
  </si>
  <si>
    <t>Soundtracks</t>
  </si>
  <si>
    <t>Children</t>
  </si>
  <si>
    <t>RECORD</t>
  </si>
  <si>
    <t>SALES</t>
  </si>
  <si>
    <t>IN</t>
  </si>
  <si>
    <t>THOUSANDS</t>
  </si>
  <si>
    <t>EAST</t>
  </si>
  <si>
    <t>1ST QUARTER</t>
  </si>
  <si>
    <t>2ND QUARTER</t>
  </si>
  <si>
    <t>3RD QUARTER</t>
  </si>
  <si>
    <t>4TH QUARTER</t>
  </si>
  <si>
    <t>ANNUAL TOTAL</t>
  </si>
  <si>
    <t>YEAR 10</t>
  </si>
  <si>
    <t>country</t>
  </si>
  <si>
    <t xml:space="preserve">Last Name </t>
  </si>
  <si>
    <t>Quarter</t>
  </si>
  <si>
    <t>Sum of Sales</t>
  </si>
  <si>
    <t>UK</t>
  </si>
  <si>
    <t>johnson</t>
  </si>
  <si>
    <t>Qtr 2</t>
  </si>
  <si>
    <t>johnson Total</t>
  </si>
  <si>
    <t>jones</t>
  </si>
  <si>
    <t>Qtr 1</t>
  </si>
  <si>
    <t>jones Total</t>
  </si>
  <si>
    <t>smith</t>
  </si>
  <si>
    <t>Qtr 3</t>
  </si>
  <si>
    <t>smith Total</t>
  </si>
  <si>
    <t>williams</t>
  </si>
  <si>
    <t>Qtr 4</t>
  </si>
  <si>
    <t>williams Total</t>
  </si>
  <si>
    <t>UK Total</t>
  </si>
  <si>
    <t>USA</t>
  </si>
  <si>
    <t>brown</t>
  </si>
  <si>
    <t>brown Total</t>
  </si>
  <si>
    <t>USA Total</t>
  </si>
  <si>
    <t xml:space="preserve">USA </t>
  </si>
  <si>
    <t>USA  Total</t>
  </si>
  <si>
    <t>Grand Total</t>
  </si>
  <si>
    <t xml:space="preserve">Season </t>
  </si>
  <si>
    <t>Type</t>
  </si>
  <si>
    <t>State</t>
  </si>
  <si>
    <t>Sum of Year</t>
  </si>
  <si>
    <t>Sum of Sales $</t>
  </si>
  <si>
    <t>Fall</t>
  </si>
  <si>
    <t>Amber Ale</t>
  </si>
  <si>
    <t>Califonia</t>
  </si>
  <si>
    <t>Oregon</t>
  </si>
  <si>
    <t>Washington</t>
  </si>
  <si>
    <t>Amber Ale Total</t>
  </si>
  <si>
    <t>Hefeweizen</t>
  </si>
  <si>
    <t>califonia</t>
  </si>
  <si>
    <t>Hefeweizen Total</t>
  </si>
  <si>
    <t>Pale Ale</t>
  </si>
  <si>
    <t>Pale Ale Total</t>
  </si>
  <si>
    <t>Pilsner</t>
  </si>
  <si>
    <t>Pilsner Total</t>
  </si>
  <si>
    <t>plisner</t>
  </si>
  <si>
    <t>oregon</t>
  </si>
  <si>
    <t>plisner Total</t>
  </si>
  <si>
    <t>Porter</t>
  </si>
  <si>
    <t>Porter Total</t>
  </si>
  <si>
    <t>stout</t>
  </si>
  <si>
    <t>stout Total</t>
  </si>
  <si>
    <t>Fall Total</t>
  </si>
  <si>
    <t>Spring</t>
  </si>
  <si>
    <t>pilsner</t>
  </si>
  <si>
    <t>Spring Total</t>
  </si>
  <si>
    <t>SRNO</t>
  </si>
  <si>
    <t>STUDENT NAME</t>
  </si>
  <si>
    <t>HINDI</t>
  </si>
  <si>
    <t>ENGLISH</t>
  </si>
  <si>
    <t>MATH</t>
  </si>
  <si>
    <t>PHYSICS</t>
  </si>
  <si>
    <t>CHEMISTRY</t>
  </si>
  <si>
    <t>GRADE</t>
  </si>
  <si>
    <t xml:space="preserve"> v </t>
  </si>
  <si>
    <t>RAM</t>
  </si>
  <si>
    <t>TOTAL GRADE "A"</t>
  </si>
  <si>
    <t>ASHOK</t>
  </si>
  <si>
    <t>TOTAL GRADE "B"</t>
  </si>
  <si>
    <t>MANOJ</t>
  </si>
  <si>
    <t>TOTAL STUDENT</t>
  </si>
  <si>
    <t>RAJESH</t>
  </si>
  <si>
    <t>STUDENT</t>
  </si>
  <si>
    <t>RANJANA</t>
  </si>
  <si>
    <t>GREATER</t>
  </si>
  <si>
    <t>LESS THAN</t>
  </si>
  <si>
    <t>POOJA</t>
  </si>
  <si>
    <t>MAHESH</t>
  </si>
  <si>
    <t>ASHUTOSH</t>
  </si>
  <si>
    <t>ASSIGNMENT 1</t>
  </si>
  <si>
    <t>ANIL</t>
  </si>
  <si>
    <t>PREM</t>
  </si>
  <si>
    <t>TOTAL NUMBER</t>
  </si>
  <si>
    <t>ASSIGNMENT 2</t>
  </si>
  <si>
    <t>ITEMS</t>
  </si>
  <si>
    <t>QTY</t>
  </si>
  <si>
    <t>RATE</t>
  </si>
  <si>
    <t>AMOUNT</t>
  </si>
  <si>
    <t>AC</t>
  </si>
  <si>
    <t>GOODS</t>
  </si>
  <si>
    <t>FRIDGE</t>
  </si>
  <si>
    <t>AMT</t>
  </si>
  <si>
    <t>COOLER</t>
  </si>
  <si>
    <t>COMPUTER</t>
  </si>
  <si>
    <t>WASHING MACHINE</t>
  </si>
  <si>
    <t>FAN</t>
  </si>
  <si>
    <t>KEYBOARD</t>
  </si>
  <si>
    <t>MOUSE</t>
  </si>
  <si>
    <t>PRINTER</t>
  </si>
  <si>
    <t>Assignment 3</t>
  </si>
  <si>
    <t>Subject</t>
  </si>
  <si>
    <t>1st</t>
  </si>
  <si>
    <t>2nd</t>
  </si>
  <si>
    <t>3rd</t>
  </si>
  <si>
    <t>Total</t>
  </si>
  <si>
    <t>Average</t>
  </si>
  <si>
    <t>Grade</t>
  </si>
  <si>
    <t xml:space="preserve">Hindi </t>
  </si>
  <si>
    <t>How many subjesct</t>
  </si>
  <si>
    <t>English</t>
  </si>
  <si>
    <t>Math</t>
  </si>
  <si>
    <t>how many grt 20</t>
  </si>
  <si>
    <t>Physics</t>
  </si>
  <si>
    <t>Chemistry</t>
  </si>
  <si>
    <t>History</t>
  </si>
  <si>
    <t>AVG</t>
  </si>
  <si>
    <t>Geo</t>
  </si>
  <si>
    <t>Bio</t>
  </si>
  <si>
    <t>Botany</t>
  </si>
  <si>
    <t>Assignment - 4</t>
  </si>
  <si>
    <t>Name</t>
  </si>
  <si>
    <t>Department</t>
  </si>
  <si>
    <t>Post</t>
  </si>
  <si>
    <t>Basic</t>
  </si>
  <si>
    <t>DA 2.5%</t>
  </si>
  <si>
    <t>HRA 3.5%</t>
  </si>
  <si>
    <t>PF 1.5%</t>
  </si>
  <si>
    <t>how many Emp</t>
  </si>
  <si>
    <t>MANAGER</t>
  </si>
  <si>
    <t>how many emp is manager &amp; guard</t>
  </si>
  <si>
    <t>SHYAM</t>
  </si>
  <si>
    <t>SUPERVISOR</t>
  </si>
  <si>
    <t>PION</t>
  </si>
  <si>
    <t>ELECTRICAL</t>
  </si>
  <si>
    <t>GUARD</t>
  </si>
  <si>
    <t>how com salary</t>
  </si>
  <si>
    <t>RAHUL</t>
  </si>
  <si>
    <t>CASHIER</t>
  </si>
  <si>
    <t>RAKESH</t>
  </si>
  <si>
    <t>ACCOUNTANT</t>
  </si>
  <si>
    <t>ASHISH</t>
  </si>
  <si>
    <t>FINANCE</t>
  </si>
  <si>
    <t xml:space="preserve">Name </t>
  </si>
  <si>
    <t>MANISH</t>
  </si>
  <si>
    <t>manoj</t>
  </si>
  <si>
    <t>ashish</t>
  </si>
  <si>
    <t>ASSIGNMENT 5 (SALES REPORT)</t>
  </si>
  <si>
    <t>SALESMAN</t>
  </si>
  <si>
    <t>APR</t>
  </si>
  <si>
    <t>JUNE</t>
  </si>
  <si>
    <t>TARGET</t>
  </si>
  <si>
    <t>RESULT</t>
  </si>
  <si>
    <t>RAMESH</t>
  </si>
  <si>
    <t>how man emp</t>
  </si>
  <si>
    <t>name</t>
  </si>
  <si>
    <t>Target</t>
  </si>
  <si>
    <t>Result</t>
  </si>
  <si>
    <t>ajeet</t>
  </si>
  <si>
    <t>pooja</t>
  </si>
  <si>
    <t>ashok</t>
  </si>
  <si>
    <t>AJEET</t>
  </si>
  <si>
    <t>rahul</t>
  </si>
  <si>
    <t>ALOK</t>
  </si>
  <si>
    <t>AMRIT</t>
  </si>
  <si>
    <t>TARGET ACHIVED</t>
  </si>
  <si>
    <t>SURENDRA</t>
  </si>
  <si>
    <t>SHASHI</t>
  </si>
  <si>
    <t>WHICH EMP JAN &amp; FEB</t>
  </si>
  <si>
    <t>DONE IN GOOGLE SHEET</t>
  </si>
  <si>
    <t xml:space="preserve">     </t>
  </si>
  <si>
    <t>Assignment -6</t>
  </si>
  <si>
    <t>items</t>
  </si>
  <si>
    <t>Date</t>
  </si>
  <si>
    <t>Cost</t>
  </si>
  <si>
    <t>Brakes</t>
  </si>
  <si>
    <t>How many Brake,window,Tyres</t>
  </si>
  <si>
    <t>Tyres</t>
  </si>
  <si>
    <t>Window</t>
  </si>
  <si>
    <t>Service</t>
  </si>
  <si>
    <t>HOW MANY ITEM</t>
  </si>
  <si>
    <t>HOW MANY ITEM COST &gt;1000 &amp;&gt;=1000</t>
  </si>
  <si>
    <t>Clutch</t>
  </si>
  <si>
    <t>conditional F</t>
  </si>
  <si>
    <t>total cost of win &amp; brakes</t>
  </si>
  <si>
    <t>Assignment -7</t>
  </si>
  <si>
    <t>Total student</t>
  </si>
  <si>
    <t>Date of Birth</t>
  </si>
  <si>
    <t>Day</t>
  </si>
  <si>
    <t>Month</t>
  </si>
  <si>
    <t>Year</t>
  </si>
  <si>
    <t>HOW ADULT/CHILD</t>
  </si>
  <si>
    <t>SURENDRA AGE</t>
  </si>
  <si>
    <t>HOW MANY STD&gt;20</t>
  </si>
  <si>
    <t>ALO</t>
  </si>
  <si>
    <t>HOW MANY STD &gt;=25</t>
  </si>
  <si>
    <t>Assignment -8</t>
  </si>
  <si>
    <t>Student Name</t>
  </si>
  <si>
    <t>Total Student</t>
  </si>
  <si>
    <t>Maths</t>
  </si>
  <si>
    <t>Percentage</t>
  </si>
  <si>
    <t>Alan</t>
  </si>
  <si>
    <t>Bob</t>
  </si>
  <si>
    <t>HOW MANY &gt;50</t>
  </si>
  <si>
    <t>Carol</t>
  </si>
  <si>
    <t>oor</t>
  </si>
  <si>
    <t>David</t>
  </si>
  <si>
    <t>Eric</t>
  </si>
  <si>
    <t>Absent</t>
  </si>
  <si>
    <t>TOTAL NO</t>
  </si>
  <si>
    <t>Fred</t>
  </si>
  <si>
    <t>BOB</t>
  </si>
  <si>
    <t>Gail</t>
  </si>
  <si>
    <t>ERIC</t>
  </si>
  <si>
    <t>Harry</t>
  </si>
  <si>
    <t>Ian</t>
  </si>
  <si>
    <t>BAD AND GOOD IN LIST</t>
  </si>
  <si>
    <t>Janice</t>
  </si>
  <si>
    <t>Assignment -9</t>
  </si>
  <si>
    <t>Empoyee ID</t>
  </si>
  <si>
    <t>Last Name</t>
  </si>
  <si>
    <t>First Name</t>
  </si>
  <si>
    <t>Pay</t>
  </si>
  <si>
    <t>First N.</t>
  </si>
  <si>
    <t>Last N.</t>
  </si>
  <si>
    <t>Doe</t>
  </si>
  <si>
    <t>John</t>
  </si>
  <si>
    <t>Cline</t>
  </si>
  <si>
    <t>Andy</t>
  </si>
  <si>
    <t>Smith</t>
  </si>
  <si>
    <t>Pan</t>
  </si>
  <si>
    <t>peter</t>
  </si>
  <si>
    <t>Favre</t>
  </si>
  <si>
    <t>Bret</t>
  </si>
  <si>
    <t>Elway</t>
  </si>
  <si>
    <t>Manning</t>
  </si>
  <si>
    <t>Eli</t>
  </si>
  <si>
    <t>Vick</t>
  </si>
  <si>
    <t>Micheal</t>
  </si>
  <si>
    <t>Woods</t>
  </si>
  <si>
    <t>Tiger</t>
  </si>
  <si>
    <t>Jordan</t>
  </si>
  <si>
    <t>Stark</t>
  </si>
  <si>
    <t>Tony</t>
  </si>
  <si>
    <t>Williams</t>
  </si>
  <si>
    <t>Prince</t>
  </si>
  <si>
    <t>Pitt</t>
  </si>
  <si>
    <t>Brad</t>
  </si>
  <si>
    <t>Assignment - 10</t>
  </si>
  <si>
    <t>Employee ID</t>
  </si>
  <si>
    <t>Full Name</t>
  </si>
  <si>
    <t>SSN</t>
  </si>
  <si>
    <t>Start Date</t>
  </si>
  <si>
    <t>Earnings</t>
  </si>
  <si>
    <t>Emp001</t>
  </si>
  <si>
    <t>Emp002</t>
  </si>
  <si>
    <t>Emp003</t>
  </si>
  <si>
    <t>HOW MANY EMP IN LIST</t>
  </si>
  <si>
    <t>Earning</t>
  </si>
  <si>
    <t>faith K. Macias</t>
  </si>
  <si>
    <t>845-04-3962</t>
  </si>
  <si>
    <t>Marketing</t>
  </si>
  <si>
    <t>Lucian Q. Franklin</t>
  </si>
  <si>
    <t>845-28-4935</t>
  </si>
  <si>
    <t>IT/IS</t>
  </si>
  <si>
    <t>HOW MANY EMP IN FINANCE / MARKETING</t>
  </si>
  <si>
    <t>Blaze V. Bridges</t>
  </si>
  <si>
    <t>503-53-8350</t>
  </si>
  <si>
    <t>Emp004</t>
  </si>
  <si>
    <t>Denton Q. Dale</t>
  </si>
  <si>
    <t>858-39-7967</t>
  </si>
  <si>
    <t>$1,05,000.00</t>
  </si>
  <si>
    <t>Emp005</t>
  </si>
  <si>
    <t>Blossom K. Fox</t>
  </si>
  <si>
    <t>245-18-5890</t>
  </si>
  <si>
    <t>Engineering</t>
  </si>
  <si>
    <t>$90000.00</t>
  </si>
  <si>
    <t>AMOUNT EARNING IN MARKET DEPARTMENT</t>
  </si>
  <si>
    <t>Emp006</t>
  </si>
  <si>
    <t>Kerry V.David</t>
  </si>
  <si>
    <t>873-45-8675</t>
  </si>
  <si>
    <t>Finance</t>
  </si>
  <si>
    <t>$60,000.00</t>
  </si>
  <si>
    <t>Emp007</t>
  </si>
  <si>
    <t>Melanie X. Baker</t>
  </si>
  <si>
    <t>190-08-3679</t>
  </si>
  <si>
    <t>$87,000.00</t>
  </si>
  <si>
    <t>Emp008</t>
  </si>
  <si>
    <t>Adele M. Fulton</t>
  </si>
  <si>
    <t>352-36-9553</t>
  </si>
  <si>
    <t>$1,04,000.00</t>
  </si>
  <si>
    <t>Emp009</t>
  </si>
  <si>
    <t>Justina O. Jensen</t>
  </si>
  <si>
    <t>645-74-0451</t>
  </si>
  <si>
    <t>$3,80,050.00</t>
  </si>
  <si>
    <t>Emp010</t>
  </si>
  <si>
    <t>Yoshi J. England</t>
  </si>
  <si>
    <t>558-53-1475</t>
  </si>
  <si>
    <t>$93,000.00</t>
  </si>
  <si>
    <t>Emp011</t>
  </si>
  <si>
    <t>Brooke Y. Mccarty</t>
  </si>
  <si>
    <t>129-42-6148</t>
  </si>
  <si>
    <t>$1,80,000.00</t>
  </si>
  <si>
    <t>Emp012</t>
  </si>
  <si>
    <t>Kay G. Colon</t>
  </si>
  <si>
    <t>796-50-4767</t>
  </si>
  <si>
    <t>$1,00,000.00</t>
  </si>
  <si>
    <t>Emp013</t>
  </si>
  <si>
    <t>Callie I. Forbes</t>
  </si>
  <si>
    <t>266-48-1339</t>
  </si>
  <si>
    <t>Human Resources</t>
  </si>
  <si>
    <t>$1,36,000.00</t>
  </si>
  <si>
    <t>Emp014</t>
  </si>
  <si>
    <t>Zachery O.Mann</t>
  </si>
  <si>
    <t>663-00-3285</t>
  </si>
  <si>
    <t>$68,000.00</t>
  </si>
  <si>
    <t>ASSIGNMENT -11</t>
  </si>
  <si>
    <t>CLASS FAVORITES</t>
  </si>
  <si>
    <t>TALL</t>
  </si>
  <si>
    <t>GRANDE</t>
  </si>
  <si>
    <t>VENTI</t>
  </si>
  <si>
    <t>caffe Latte</t>
  </si>
  <si>
    <t xml:space="preserve">cappiccino </t>
  </si>
  <si>
    <t>caramel Macchiato</t>
  </si>
  <si>
    <t xml:space="preserve">Caffe Mocha </t>
  </si>
  <si>
    <t>White Chocolate mocha</t>
  </si>
  <si>
    <t>Caffe Americano</t>
  </si>
  <si>
    <t>Cinnamon Dolce Latte</t>
  </si>
  <si>
    <t>stream</t>
  </si>
  <si>
    <t>Drip coffee</t>
  </si>
  <si>
    <t>WHAT IS THE COLUMN NUMBER FOR THE SIZE GRANDE,TALL,VENTI?</t>
  </si>
  <si>
    <t>WHAT IS THE PRICE OF A CAFFE MOCHA ,SIZE GRANDE,TALL,VENTI ?</t>
  </si>
  <si>
    <t>Caffe Mocha</t>
  </si>
  <si>
    <t>ASSIGNMENT -12</t>
  </si>
  <si>
    <t>Product Name</t>
  </si>
  <si>
    <t>Jan</t>
  </si>
  <si>
    <t>Feb</t>
  </si>
  <si>
    <t>Mar</t>
  </si>
  <si>
    <t>Apr</t>
  </si>
  <si>
    <t>May</t>
  </si>
  <si>
    <t>Jun</t>
  </si>
  <si>
    <t>july</t>
  </si>
  <si>
    <t>Aug</t>
  </si>
  <si>
    <t>Total Sales</t>
  </si>
  <si>
    <t>how many fruit</t>
  </si>
  <si>
    <t>Apples</t>
  </si>
  <si>
    <t>Grapefruit</t>
  </si>
  <si>
    <t>Lemons</t>
  </si>
  <si>
    <t>Lime</t>
  </si>
  <si>
    <t>Sales in Mar &amp; Jul</t>
  </si>
  <si>
    <t>Oranges</t>
  </si>
  <si>
    <t>pineapples</t>
  </si>
  <si>
    <t>Peaches</t>
  </si>
  <si>
    <t>Pears</t>
  </si>
  <si>
    <t>Pineapples</t>
  </si>
  <si>
    <t>Assignment -13</t>
  </si>
  <si>
    <t>Sales</t>
  </si>
  <si>
    <t>DONE IN ASS 13</t>
  </si>
  <si>
    <t>Assignment -14</t>
  </si>
  <si>
    <t>Sales $</t>
  </si>
  <si>
    <t>HOW MANY SPRING AND FALL</t>
  </si>
  <si>
    <t>HOW MANY FALL IN CALIFORNIA and Washington</t>
  </si>
  <si>
    <t>total sales in spring washington and califonia</t>
  </si>
  <si>
    <t>how spring season in washington</t>
  </si>
  <si>
    <t>amber Ale</t>
  </si>
  <si>
    <t>porter</t>
  </si>
  <si>
    <t>Assignment -15</t>
  </si>
  <si>
    <t>Order ID</t>
  </si>
  <si>
    <t>Product</t>
  </si>
  <si>
    <t>Category</t>
  </si>
  <si>
    <t>Amount</t>
  </si>
  <si>
    <t>Carrots</t>
  </si>
  <si>
    <t>vegetable</t>
  </si>
  <si>
    <t>United States</t>
  </si>
  <si>
    <t>Broccoli</t>
  </si>
  <si>
    <t>United Kingdom</t>
  </si>
  <si>
    <t>Banana</t>
  </si>
  <si>
    <t>fruit</t>
  </si>
  <si>
    <t>canada</t>
  </si>
  <si>
    <t>1.How many vegetables items in a list ?</t>
  </si>
  <si>
    <t>Beans</t>
  </si>
  <si>
    <t>Germany</t>
  </si>
  <si>
    <t>Orange</t>
  </si>
  <si>
    <t>United states</t>
  </si>
  <si>
    <t>Australia</t>
  </si>
  <si>
    <t>2.Total Apple and Banana Amount ?</t>
  </si>
  <si>
    <t>New Zealand</t>
  </si>
  <si>
    <t>Apple</t>
  </si>
  <si>
    <t>France</t>
  </si>
  <si>
    <t>Canada</t>
  </si>
  <si>
    <t>3.How many Product in a list ?</t>
  </si>
  <si>
    <t>4.How many Apple and Banana Use in Canada &amp; United Kingdom?</t>
  </si>
  <si>
    <t>5.Apple and Banana sales in United States?</t>
  </si>
  <si>
    <t>united states</t>
  </si>
  <si>
    <t>Mango</t>
  </si>
  <si>
    <t>Assignment -16</t>
  </si>
  <si>
    <t>Gender</t>
  </si>
  <si>
    <t>Score</t>
  </si>
  <si>
    <t>Richard</t>
  </si>
  <si>
    <t>Male</t>
  </si>
  <si>
    <t>1.How many male and Female Candidate in list?</t>
  </si>
  <si>
    <t>Jennifer</t>
  </si>
  <si>
    <t>Female</t>
  </si>
  <si>
    <t>United kingdom</t>
  </si>
  <si>
    <t>James</t>
  </si>
  <si>
    <t>Lisa</t>
  </si>
  <si>
    <t>2.How many Male Employee in United States?</t>
  </si>
  <si>
    <t>Sharon</t>
  </si>
  <si>
    <t>Elizabeth</t>
  </si>
  <si>
    <t>3.Lisa and john Which country Belong?</t>
  </si>
  <si>
    <t>Mark</t>
  </si>
  <si>
    <t>Susan</t>
  </si>
  <si>
    <t>4.United States Male and Female Candidate Scores?</t>
  </si>
  <si>
    <t>5.How many male Candidate Belong Country United States Total Score?</t>
  </si>
  <si>
    <t>Assignment -17</t>
  </si>
  <si>
    <t>ID</t>
  </si>
  <si>
    <t>Brand</t>
  </si>
  <si>
    <t>Dell</t>
  </si>
  <si>
    <t>Computer</t>
  </si>
  <si>
    <t>HP</t>
  </si>
  <si>
    <t>Printer</t>
  </si>
  <si>
    <t>Logitech</t>
  </si>
  <si>
    <t>Keyboard</t>
  </si>
  <si>
    <t>Mouse</t>
  </si>
  <si>
    <t>Assignment -18</t>
  </si>
  <si>
    <t>Assignment -19</t>
  </si>
  <si>
    <t>Region</t>
  </si>
  <si>
    <t>North</t>
  </si>
  <si>
    <t>South</t>
  </si>
  <si>
    <t>West</t>
  </si>
  <si>
    <t>Assignment -21</t>
  </si>
  <si>
    <t>Emp Name</t>
  </si>
  <si>
    <t>Salary</t>
  </si>
  <si>
    <t>Emp ID</t>
  </si>
  <si>
    <t>salary</t>
  </si>
  <si>
    <t>Raju</t>
  </si>
  <si>
    <t>Prd001</t>
  </si>
  <si>
    <t>Ramesh</t>
  </si>
  <si>
    <t>Operations</t>
  </si>
  <si>
    <t>Prd002</t>
  </si>
  <si>
    <t>Ramila</t>
  </si>
  <si>
    <t>Prd003</t>
  </si>
  <si>
    <t>Rajeshwari</t>
  </si>
  <si>
    <t>HR</t>
  </si>
  <si>
    <t>Prd004</t>
  </si>
  <si>
    <t>Karan</t>
  </si>
  <si>
    <t>Prd005</t>
  </si>
  <si>
    <t>Rohith</t>
  </si>
  <si>
    <t>IT</t>
  </si>
  <si>
    <t>Prd006</t>
  </si>
  <si>
    <t>Jacob</t>
  </si>
  <si>
    <t>Prd007</t>
  </si>
  <si>
    <t>Fleming</t>
  </si>
  <si>
    <t>Prd008</t>
  </si>
  <si>
    <t>Navya</t>
  </si>
  <si>
    <t>Prd009</t>
  </si>
  <si>
    <t>Kavya</t>
  </si>
  <si>
    <t>Prd010</t>
  </si>
  <si>
    <t>Santosh</t>
  </si>
  <si>
    <t>Prd011</t>
  </si>
  <si>
    <t>Shankar</t>
  </si>
  <si>
    <t>Prd012</t>
  </si>
  <si>
    <t>Rajesh</t>
  </si>
  <si>
    <t>Prd013</t>
  </si>
  <si>
    <t>Mahesh</t>
  </si>
  <si>
    <t>Prd014</t>
  </si>
  <si>
    <t>Hemaraj</t>
  </si>
  <si>
    <t>Prd015</t>
  </si>
  <si>
    <t>Nagaraj</t>
  </si>
  <si>
    <t>Prd016</t>
  </si>
  <si>
    <t>Johnson</t>
  </si>
  <si>
    <t>Prd017</t>
  </si>
  <si>
    <t>Prd018</t>
  </si>
  <si>
    <t>Anderson</t>
  </si>
  <si>
    <t>Prd019</t>
  </si>
  <si>
    <t>Peter</t>
  </si>
  <si>
    <t>Prd020</t>
  </si>
  <si>
    <t>Assignment -22</t>
  </si>
  <si>
    <t>Assignment -23</t>
  </si>
  <si>
    <t>Biology</t>
  </si>
  <si>
    <t>Passed the Exam?</t>
  </si>
  <si>
    <t>NITIN</t>
  </si>
  <si>
    <t>PASS</t>
  </si>
  <si>
    <t>FAIL</t>
  </si>
  <si>
    <t>FEROZ</t>
  </si>
  <si>
    <t>ANITHA</t>
  </si>
  <si>
    <t>MADAN</t>
  </si>
  <si>
    <t>SUMITH</t>
  </si>
  <si>
    <t>HARSH</t>
  </si>
  <si>
    <t>TRIVEDI</t>
  </si>
  <si>
    <t>Assignment - 24</t>
  </si>
  <si>
    <t>Units sold</t>
  </si>
  <si>
    <t>student</t>
  </si>
  <si>
    <t>semester</t>
  </si>
  <si>
    <t>score</t>
  </si>
  <si>
    <t>Second</t>
  </si>
  <si>
    <t>gary</t>
  </si>
  <si>
    <t>Third</t>
  </si>
  <si>
    <t>Richa</t>
  </si>
  <si>
    <t>Hari</t>
  </si>
  <si>
    <t xml:space="preserve">Tom </t>
  </si>
  <si>
    <t>Will</t>
  </si>
  <si>
    <t>Average Of B</t>
  </si>
  <si>
    <t>Average Of D</t>
  </si>
  <si>
    <t>Zone</t>
  </si>
  <si>
    <t>City</t>
  </si>
  <si>
    <t xml:space="preserve">        </t>
  </si>
  <si>
    <t>Avg of Units Sold above 250</t>
  </si>
  <si>
    <t>Avg of Units Sold Below 100</t>
  </si>
  <si>
    <t>Assignment - 26</t>
  </si>
  <si>
    <t>List 1</t>
  </si>
  <si>
    <t>List 2</t>
  </si>
  <si>
    <t>result</t>
  </si>
  <si>
    <t>Raj</t>
  </si>
  <si>
    <t>Anikta</t>
  </si>
  <si>
    <t>Rohit</t>
  </si>
  <si>
    <t>Kajal</t>
  </si>
  <si>
    <t>Abhay</t>
  </si>
  <si>
    <t>Rohan</t>
  </si>
  <si>
    <t>rohan</t>
  </si>
  <si>
    <t>Akshay</t>
  </si>
  <si>
    <t>Puneet</t>
  </si>
  <si>
    <t>Color List -1</t>
  </si>
  <si>
    <t>Color List- 2</t>
  </si>
  <si>
    <t>Red</t>
  </si>
  <si>
    <t>Yellow</t>
  </si>
  <si>
    <t>Green</t>
  </si>
  <si>
    <t>Grey</t>
  </si>
  <si>
    <t>Blue</t>
  </si>
  <si>
    <t>White</t>
  </si>
  <si>
    <t>Black</t>
  </si>
  <si>
    <t>Assignment -27</t>
  </si>
  <si>
    <t>D21</t>
  </si>
  <si>
    <t>Vishal</t>
  </si>
  <si>
    <t>Mohan</t>
  </si>
  <si>
    <t>Vishal Mohan</t>
  </si>
  <si>
    <t>D22</t>
  </si>
  <si>
    <t>Mathew</t>
  </si>
  <si>
    <t>John Mathew</t>
  </si>
  <si>
    <t>D23</t>
  </si>
  <si>
    <t>Jamemah</t>
  </si>
  <si>
    <t>Powel</t>
  </si>
  <si>
    <t>Jamemah Powel</t>
  </si>
  <si>
    <t>D24</t>
  </si>
  <si>
    <t>Arundhati</t>
  </si>
  <si>
    <t>Swaminathan</t>
  </si>
  <si>
    <t>Arundhati Swaminathan</t>
  </si>
  <si>
    <t>D25</t>
  </si>
  <si>
    <t>Potter</t>
  </si>
  <si>
    <t>Peter potter</t>
  </si>
  <si>
    <t>D26</t>
  </si>
  <si>
    <t>Roger</t>
  </si>
  <si>
    <t xml:space="preserve">Willams </t>
  </si>
  <si>
    <t>Roger williams</t>
  </si>
  <si>
    <t>Assignment -28</t>
  </si>
  <si>
    <t>Employee Database</t>
  </si>
  <si>
    <t>Designation</t>
  </si>
  <si>
    <t>KRA</t>
  </si>
  <si>
    <t>ARUN</t>
  </si>
  <si>
    <t>MIS-OPERATION</t>
  </si>
  <si>
    <t>OPERATION</t>
  </si>
  <si>
    <t>PHP</t>
  </si>
  <si>
    <t>BISWAS</t>
  </si>
  <si>
    <t>SOFTWARE ENG</t>
  </si>
  <si>
    <t>JAVA</t>
  </si>
  <si>
    <t>DINESH</t>
  </si>
  <si>
    <t>SME</t>
  </si>
  <si>
    <t>MAILS</t>
  </si>
  <si>
    <t>ESHWAR</t>
  </si>
  <si>
    <t>PROGRAMMER</t>
  </si>
  <si>
    <t>C++</t>
  </si>
  <si>
    <t>FAHAD</t>
  </si>
  <si>
    <t>DOT NET</t>
  </si>
  <si>
    <t>GANGA</t>
  </si>
  <si>
    <t>SOFTWARE ASSOCIATE</t>
  </si>
  <si>
    <t>TESTING</t>
  </si>
  <si>
    <t>HEMA</t>
  </si>
  <si>
    <t>NETWORK ENG</t>
  </si>
  <si>
    <t>SERVER</t>
  </si>
  <si>
    <t>FARZANA</t>
  </si>
  <si>
    <t>SALES EXECUTIVE</t>
  </si>
  <si>
    <t>AYESH</t>
  </si>
  <si>
    <t>AMAZON</t>
  </si>
  <si>
    <t>PRAVEEN</t>
  </si>
  <si>
    <t>VISHAL</t>
  </si>
  <si>
    <t>GROFFERS</t>
  </si>
  <si>
    <t>VISHNU</t>
  </si>
  <si>
    <t>PAYTM</t>
  </si>
  <si>
    <t>KRISHNA</t>
  </si>
  <si>
    <t>ABHISHEK</t>
  </si>
  <si>
    <t>MYNTRA</t>
  </si>
  <si>
    <t>FARZANA BANU</t>
  </si>
  <si>
    <t>VAMSEE KRISHNA</t>
  </si>
  <si>
    <t>BRAND MANAGER</t>
  </si>
  <si>
    <t>MARKETING</t>
  </si>
  <si>
    <t>ASSIGNMENT -29</t>
  </si>
  <si>
    <t>Location</t>
  </si>
  <si>
    <t>Donald</t>
  </si>
  <si>
    <t>Patrick</t>
  </si>
  <si>
    <t>Banglore</t>
  </si>
  <si>
    <t>Samuei</t>
  </si>
  <si>
    <t>Samson</t>
  </si>
  <si>
    <t>Hyderabad</t>
  </si>
  <si>
    <t>Pune</t>
  </si>
  <si>
    <t>Henry</t>
  </si>
  <si>
    <t>Madrid</t>
  </si>
  <si>
    <t>Ronica</t>
  </si>
  <si>
    <t>Brave</t>
  </si>
  <si>
    <t>Chistine</t>
  </si>
  <si>
    <t>Salvi</t>
  </si>
  <si>
    <t>Andrew</t>
  </si>
  <si>
    <t>Baisley</t>
  </si>
  <si>
    <t>Erica</t>
  </si>
  <si>
    <t>Irons</t>
  </si>
  <si>
    <t>Assignment -30</t>
  </si>
  <si>
    <t>Date of sale</t>
  </si>
  <si>
    <t>Sales Amt</t>
  </si>
  <si>
    <t xml:space="preserve">January </t>
  </si>
  <si>
    <t>Sum of Sales Amt</t>
  </si>
  <si>
    <t>February</t>
  </si>
  <si>
    <t>Grand total</t>
  </si>
  <si>
    <t>Assignment - 31</t>
  </si>
  <si>
    <t>Months</t>
  </si>
  <si>
    <t>January</t>
  </si>
  <si>
    <t>March</t>
  </si>
  <si>
    <t>April</t>
  </si>
  <si>
    <t>June</t>
  </si>
  <si>
    <t>Sale</t>
  </si>
  <si>
    <t>?</t>
  </si>
  <si>
    <t>Mat</t>
  </si>
  <si>
    <t>Jim</t>
  </si>
  <si>
    <t>Cole</t>
  </si>
  <si>
    <t>Ricky</t>
  </si>
  <si>
    <t>Mary</t>
  </si>
  <si>
    <t>Science</t>
  </si>
  <si>
    <t>Marks in English</t>
  </si>
  <si>
    <t>Marks in Maths</t>
  </si>
  <si>
    <t>EMP</t>
  </si>
  <si>
    <t>FIS6067</t>
  </si>
  <si>
    <t>FIS5228</t>
  </si>
  <si>
    <t>FIS6799</t>
  </si>
  <si>
    <t>FIS1149</t>
  </si>
  <si>
    <t>FIS5834</t>
  </si>
  <si>
    <t>SALES1</t>
  </si>
  <si>
    <t>SALES2</t>
  </si>
  <si>
    <t>SALES3</t>
  </si>
  <si>
    <t>SALES4</t>
  </si>
  <si>
    <t>SALES5</t>
  </si>
  <si>
    <t>Sales4</t>
  </si>
  <si>
    <t>Temperature(In clesius)</t>
  </si>
  <si>
    <t>Cities</t>
  </si>
  <si>
    <t>New Delhi</t>
  </si>
  <si>
    <t>Patna</t>
  </si>
  <si>
    <t>Mumbai</t>
  </si>
  <si>
    <t>Bangalore</t>
  </si>
  <si>
    <t>Employee</t>
  </si>
  <si>
    <t>Albert</t>
  </si>
  <si>
    <t>Aaron</t>
  </si>
  <si>
    <t>Albama</t>
  </si>
  <si>
    <t>Abeey</t>
  </si>
  <si>
    <t>Cathy</t>
  </si>
  <si>
    <t>Assignment - 32</t>
  </si>
  <si>
    <t>Total Numbers Earned</t>
  </si>
  <si>
    <t>Grade earned</t>
  </si>
  <si>
    <t>John Wilkins</t>
  </si>
  <si>
    <t>Steve Harrington</t>
  </si>
  <si>
    <t>Edward Clark</t>
  </si>
  <si>
    <t>Jimmey Chemberlin</t>
  </si>
  <si>
    <t>Alex Wilkins</t>
  </si>
  <si>
    <t>Patty Scott</t>
  </si>
  <si>
    <t>Andrew Wiliams</t>
  </si>
  <si>
    <t>Emilia johnson</t>
  </si>
  <si>
    <t>Anthony Rogers</t>
  </si>
  <si>
    <t>ASSIGNMENT - 33</t>
  </si>
  <si>
    <t>Table 1</t>
  </si>
  <si>
    <t>Table 2</t>
  </si>
  <si>
    <t>Table 3</t>
  </si>
  <si>
    <t>Dept</t>
  </si>
  <si>
    <t>EMP ID</t>
  </si>
  <si>
    <t xml:space="preserve">Rajesh </t>
  </si>
  <si>
    <t>ASSIGNMENT- 34</t>
  </si>
  <si>
    <t xml:space="preserve">Owner </t>
  </si>
  <si>
    <t>Product Class</t>
  </si>
  <si>
    <t>Quantity Sold</t>
  </si>
  <si>
    <t>Ben</t>
  </si>
  <si>
    <t>A1</t>
  </si>
  <si>
    <t>Jeff</t>
  </si>
  <si>
    <t>A4</t>
  </si>
  <si>
    <t>C3</t>
  </si>
  <si>
    <t>C14</t>
  </si>
  <si>
    <t xml:space="preserve">Jenny </t>
  </si>
  <si>
    <t>A12</t>
  </si>
  <si>
    <t>B3</t>
  </si>
  <si>
    <t>B7</t>
  </si>
  <si>
    <t>B11</t>
  </si>
  <si>
    <t>Total Quantity sold by Ben</t>
  </si>
  <si>
    <t>Total Quantity sold by Jenny</t>
  </si>
  <si>
    <t>Total Quantity sold by Ben &amp;jenny</t>
  </si>
  <si>
    <t>Total Quantity sold by Ben &amp; Jenny</t>
  </si>
  <si>
    <t>Total Quantity Sold By Ben &amp;Jenny</t>
  </si>
  <si>
    <t>Total Quantity Sold By Jeff &amp; Jenny</t>
  </si>
  <si>
    <t>ASSIGNMENT -36</t>
  </si>
  <si>
    <t>Incentive</t>
  </si>
  <si>
    <t>Bonus</t>
  </si>
  <si>
    <t xml:space="preserve">Emp </t>
  </si>
  <si>
    <t xml:space="preserve">First Name </t>
  </si>
  <si>
    <t>TA</t>
  </si>
  <si>
    <t>Mktg</t>
  </si>
  <si>
    <t>Raja</t>
  </si>
  <si>
    <t>north</t>
  </si>
  <si>
    <t>R&amp;D</t>
  </si>
  <si>
    <t>Suman</t>
  </si>
  <si>
    <t>east</t>
  </si>
  <si>
    <t>Beena</t>
  </si>
  <si>
    <t>Admin</t>
  </si>
  <si>
    <t>Seema</t>
  </si>
  <si>
    <t>Director</t>
  </si>
  <si>
    <t>Julie</t>
  </si>
  <si>
    <t>Personal</t>
  </si>
  <si>
    <t>Neena</t>
  </si>
  <si>
    <t>CCD</t>
  </si>
  <si>
    <t>Pankaj</t>
  </si>
  <si>
    <t>Andre</t>
  </si>
  <si>
    <t>Sujay</t>
  </si>
  <si>
    <t>west</t>
  </si>
  <si>
    <t>Shilpa</t>
  </si>
  <si>
    <t>Meera</t>
  </si>
  <si>
    <t>Sheetal</t>
  </si>
  <si>
    <t>south</t>
  </si>
  <si>
    <t>K.Sita</t>
  </si>
  <si>
    <t>Priya</t>
  </si>
  <si>
    <t>Aalok</t>
  </si>
  <si>
    <t>Aakash</t>
  </si>
  <si>
    <t>Parvati</t>
  </si>
  <si>
    <t>ASSIGNMENT -37</t>
  </si>
  <si>
    <t>Empcode</t>
  </si>
  <si>
    <t>INCENTIVE</t>
  </si>
  <si>
    <t>Salary slab</t>
  </si>
  <si>
    <t>Juile</t>
  </si>
  <si>
    <t>G</t>
  </si>
  <si>
    <t>H</t>
  </si>
  <si>
    <t>Sheetai</t>
  </si>
  <si>
    <t>Farhan</t>
  </si>
  <si>
    <t>Satinder Kaur</t>
  </si>
  <si>
    <t>Suchita</t>
  </si>
  <si>
    <t>Shazia</t>
  </si>
  <si>
    <t>Pooja</t>
  </si>
  <si>
    <t>Jasbinder</t>
  </si>
  <si>
    <t>Bharat</t>
  </si>
  <si>
    <t>Rishi</t>
  </si>
  <si>
    <t>Mala</t>
  </si>
  <si>
    <t>Hajra</t>
  </si>
  <si>
    <t>Aalam</t>
  </si>
  <si>
    <t>Giriraj</t>
  </si>
  <si>
    <t>Ankur</t>
  </si>
  <si>
    <t>Tapan</t>
  </si>
  <si>
    <t>Zarina</t>
  </si>
  <si>
    <t>Arun</t>
  </si>
  <si>
    <t>Chitra</t>
  </si>
  <si>
    <t>sheetai</t>
  </si>
  <si>
    <t>Kiritkar</t>
  </si>
  <si>
    <t>ASSIGNMENT -38</t>
  </si>
  <si>
    <t>First Date</t>
  </si>
  <si>
    <t>Second Date</t>
  </si>
  <si>
    <t>Interval</t>
  </si>
  <si>
    <t>Difference</t>
  </si>
  <si>
    <t>Days</t>
  </si>
  <si>
    <t>Date of Birth:</t>
  </si>
  <si>
    <t>Years</t>
  </si>
  <si>
    <t>years lived:</t>
  </si>
  <si>
    <t>yeardays</t>
  </si>
  <si>
    <t>and months:</t>
  </si>
  <si>
    <t>YearMonths</t>
  </si>
  <si>
    <t>and the days:</t>
  </si>
  <si>
    <t>Monthdays</t>
  </si>
  <si>
    <t>ASSIGNMENT - 44</t>
  </si>
  <si>
    <t>Text</t>
  </si>
  <si>
    <t>Letter to Find</t>
  </si>
  <si>
    <t>Position of Letter</t>
  </si>
  <si>
    <t>Hello</t>
  </si>
  <si>
    <t>e</t>
  </si>
  <si>
    <t>o</t>
  </si>
  <si>
    <t xml:space="preserve">Alan Williams </t>
  </si>
  <si>
    <t>a</t>
  </si>
  <si>
    <t>T</t>
  </si>
  <si>
    <t>Values</t>
  </si>
  <si>
    <t>Highest Values</t>
  </si>
  <si>
    <t>2nd Highest Values</t>
  </si>
  <si>
    <t>3rd Highest Values</t>
  </si>
  <si>
    <t>4th Highest Values</t>
  </si>
  <si>
    <t>5th Highest Values</t>
  </si>
  <si>
    <t xml:space="preserve">Feb </t>
  </si>
  <si>
    <t>Highest</t>
  </si>
  <si>
    <t>lowest</t>
  </si>
  <si>
    <t>ASSIGNMENT -45</t>
  </si>
  <si>
    <t>Number of Characters required</t>
  </si>
  <si>
    <t>Left String</t>
  </si>
  <si>
    <t>Alan Jones</t>
  </si>
  <si>
    <t>USE OF LEFT</t>
  </si>
  <si>
    <t>Cardiff</t>
  </si>
  <si>
    <t>ABC123</t>
  </si>
  <si>
    <t>Alan JOnes</t>
  </si>
  <si>
    <t>USE OF LEFT AND FIND</t>
  </si>
  <si>
    <t>Bob Smith</t>
  </si>
  <si>
    <t>Carol Williams</t>
  </si>
  <si>
    <t>Length</t>
  </si>
  <si>
    <t>USE OF LEN</t>
  </si>
  <si>
    <t>Carrol Williams</t>
  </si>
  <si>
    <t>Upper Case text</t>
  </si>
  <si>
    <t>Lower Case</t>
  </si>
  <si>
    <t>ALAN JONES</t>
  </si>
  <si>
    <t>BOB SMITH</t>
  </si>
  <si>
    <t>USE OF LOWER</t>
  </si>
  <si>
    <t>CAROL WILLIAMS</t>
  </si>
  <si>
    <t>CARDIFF</t>
  </si>
  <si>
    <t>AB123</t>
  </si>
  <si>
    <t>End Date</t>
  </si>
  <si>
    <t>Work Days</t>
  </si>
  <si>
    <t>USE OF NETWORKDAYS</t>
  </si>
  <si>
    <t>ASSIGNMENT -46</t>
  </si>
  <si>
    <t>POWER</t>
  </si>
  <si>
    <t>USE OF POWER</t>
  </si>
  <si>
    <t>NUMBERS</t>
  </si>
  <si>
    <t>PRODUCT</t>
  </si>
  <si>
    <t>USE OF PRODUCT</t>
  </si>
  <si>
    <t>Original Text</t>
  </si>
  <si>
    <t>Proper</t>
  </si>
  <si>
    <t>alan jones</t>
  </si>
  <si>
    <t>bob smith</t>
  </si>
  <si>
    <t>caRol wiLLIAMS</t>
  </si>
  <si>
    <t>USE OF PROPER</t>
  </si>
  <si>
    <t>cardiff</t>
  </si>
  <si>
    <t>USE OF REPT</t>
  </si>
  <si>
    <t>TEXT TO REPEAT</t>
  </si>
  <si>
    <t>NUMBERS OF REPEATS</t>
  </si>
  <si>
    <t>REPEATED TEXT</t>
  </si>
  <si>
    <t>AB</t>
  </si>
  <si>
    <t>-</t>
  </si>
  <si>
    <t>|</t>
  </si>
  <si>
    <t>ASSIGNMENT- 48</t>
  </si>
  <si>
    <t>COMISSION</t>
  </si>
  <si>
    <t>1. HOW MANY SALES MAN ? SALESMAN AJEET TARGET &amp; RESULT??</t>
  </si>
  <si>
    <t xml:space="preserve">NAME </t>
  </si>
  <si>
    <t>2.RAHUL,POOJA AND ASHOK TARGET &amp; RESULT??</t>
  </si>
  <si>
    <t>3.HOW MANY SALESMAN ACHIVED TARGET??</t>
  </si>
  <si>
    <t>4.WHICH SALES MAN JAN SALES 2000 &amp; FEB SALES IS 2500 ?</t>
  </si>
  <si>
    <t>5.HOW MANY SALESMAN SALES JAN MONTHS SALES &gt;2000 &amp; MARCH SALES&lt;=1500?</t>
  </si>
  <si>
    <t>6.JAN TO TARGET HIGHLIGHTS 2000 BETWEEN 5000, FONT RED &amp; BACKGROUND YELOOW?</t>
  </si>
  <si>
    <t>7.IF SALES GREATER THEN TARGET THEN COMISSION 10% otherwise 5% ??</t>
  </si>
  <si>
    <t>ASSIGNMENT -49</t>
  </si>
  <si>
    <t>1. HOW MANY SALESMAN ? SALESMAN AJEET TARGET &amp; RESULT??</t>
  </si>
  <si>
    <t>3.HOW MANY SALESMAN ACHIVED TARGET.</t>
  </si>
  <si>
    <t>4.WHICH SALES MAN JAN SALES 2000 FEB  SALES IS 2500?</t>
  </si>
  <si>
    <t>5.HOW MANY SALES MAN SALES JAN MONTHS SALES&gt;2000 &amp; MARCH SALES &lt;=1500?</t>
  </si>
  <si>
    <t>6.JAN TO TARGET HIGHLIGHTS 2000 BETWEEN 5000, FRONT RED &amp; BACKGROUND YELBOW??</t>
  </si>
  <si>
    <t>ASSIGNMENT -50</t>
  </si>
  <si>
    <t>DATE OF BIRTH</t>
  </si>
  <si>
    <t>DAY</t>
  </si>
  <si>
    <t>MONTH</t>
  </si>
  <si>
    <t>1. HOW MANY STUDENT??</t>
  </si>
  <si>
    <t>2.STUDENT SURENDRA IS HOW MANY YEAR OLD??</t>
  </si>
  <si>
    <t>3.HOW MANY STUDENT AGE GREATER THEN 20 YEARS?</t>
  </si>
  <si>
    <t>4.IF STUDENT AGE IS GREATHER THEN 20 THEN STUDENT ADULT/CHILD??</t>
  </si>
  <si>
    <t>5.HOW MANY STUDENT AGE IS &gt;=25 YEARS??</t>
  </si>
  <si>
    <t/>
  </si>
  <si>
    <t>1. How mant Emp in work HR,IT,marketing Department?</t>
  </si>
  <si>
    <t>male</t>
  </si>
  <si>
    <t>female</t>
  </si>
  <si>
    <t>2.Employee Santosh Salary ?</t>
  </si>
  <si>
    <t>3. IT &amp; Marketing Department Total Salary?</t>
  </si>
  <si>
    <t>1.How many Employee??</t>
  </si>
  <si>
    <t>2.How Many Employee In Sales?</t>
  </si>
  <si>
    <t>3.How many Employee Sales Executive in Amazone And Mynthra ?</t>
  </si>
  <si>
    <t>4.Employee Dinesh and Vishal Post and KRA ??</t>
  </si>
  <si>
    <t xml:space="preserve">Post </t>
  </si>
  <si>
    <t>Kra</t>
  </si>
  <si>
    <t>xlookup</t>
  </si>
  <si>
    <t>5.employee Abhishak and Hema Emp ID?</t>
  </si>
  <si>
    <t>Abhishak</t>
  </si>
  <si>
    <t>Hema</t>
  </si>
  <si>
    <t>Done in Vlookup as 29</t>
  </si>
  <si>
    <t>roger</t>
  </si>
  <si>
    <t>cathy</t>
  </si>
  <si>
    <t>ADULT/CHILD</t>
  </si>
  <si>
    <t>ddddddddddddd</t>
  </si>
  <si>
    <t>Rahul</t>
  </si>
  <si>
    <t>Ashok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</si>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</sst>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d/m/yyyy"/>
    <numFmt numFmtId="165" formatCode="[$$]#,##0.00"/>
    <numFmt numFmtId="166" formatCode="dd\-mm\-yyyy"/>
    <numFmt numFmtId="167" formatCode="d\-m\-yyyy"/>
    <numFmt numFmtId="168" formatCode="_-[$$-409]* #,##0_ ;_-[$$-409]* \-#,##0\ ;_-[$$-409]* &quot;-&quot;??_ ;_-@_ "/>
    <numFmt numFmtId="169" formatCode="_-[$$-409]* #,##0.00_ ;_-[$$-409]* \-#,##0.00\ ;_-[$$-409]* &quot;-&quot;??_ ;_-@_ "/>
    <numFmt numFmtId="170" formatCode="[$$]#,##0"/>
    <numFmt numFmtId="171" formatCode="#,##0;\(#,##0\)"/>
    <numFmt numFmtId="172" formatCode="dd\-mm\-yy"/>
    <numFmt numFmtId="173" formatCode="[$£-809]#,##0"/>
    <numFmt numFmtId="174" formatCode="d\-mmm\-yy"/>
  </numFmts>
  <fonts count="4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b/>
      <sz val="14"/>
      <color theme="1"/>
      <name val="Calibri"/>
    </font>
    <font>
      <b/>
      <sz val="11"/>
      <color theme="1"/>
      <name val="Algerian"/>
    </font>
    <font>
      <b/>
      <sz val="20"/>
      <color theme="1"/>
      <name val="Calibri"/>
    </font>
    <font>
      <sz val="11"/>
      <color theme="1"/>
      <name val="Calibri"/>
      <scheme val="minor"/>
    </font>
    <font>
      <sz val="24"/>
      <color rgb="FFFF0000"/>
      <name val="Calibri"/>
    </font>
    <font>
      <sz val="22"/>
      <color theme="1"/>
      <name val="Calibri"/>
    </font>
    <font>
      <b/>
      <sz val="15"/>
      <color theme="1"/>
      <name val="Calibri"/>
    </font>
    <font>
      <b/>
      <sz val="13"/>
      <color theme="1"/>
      <name val="Calibri"/>
    </font>
    <font>
      <b/>
      <sz val="16"/>
      <color theme="1"/>
      <name val="Calibri"/>
    </font>
    <font>
      <b/>
      <sz val="12"/>
      <color theme="1"/>
      <name val="Calibri"/>
    </font>
    <font>
      <b/>
      <sz val="17"/>
      <color theme="1"/>
      <name val="Calibri"/>
    </font>
    <font>
      <b/>
      <sz val="11"/>
      <color rgb="FFFF0000"/>
      <name val="Calibri"/>
    </font>
    <font>
      <b/>
      <sz val="11"/>
      <color rgb="FF000000"/>
      <name val="Calibri"/>
    </font>
    <font>
      <b/>
      <sz val="15"/>
      <color theme="1"/>
      <name val="Calibri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b/>
      <sz val="11"/>
      <color rgb="FFFFFFFF"/>
      <name val="Calibri"/>
      <scheme val="minor"/>
    </font>
    <font>
      <b/>
      <sz val="11"/>
      <color rgb="FFF3F3F3"/>
      <name val="Calibri"/>
      <scheme val="minor"/>
    </font>
    <font>
      <b/>
      <sz val="17"/>
      <color theme="1"/>
      <name val="Calibri"/>
      <scheme val="minor"/>
    </font>
    <font>
      <sz val="11"/>
      <color rgb="FFFFFF00"/>
      <name val="Calibri"/>
      <scheme val="minor"/>
    </font>
    <font>
      <b/>
      <sz val="11"/>
      <color rgb="FFFFFF00"/>
      <name val="Calibri"/>
      <scheme val="minor"/>
    </font>
    <font>
      <sz val="11"/>
      <color rgb="FF0000FF"/>
      <name val="Calibri"/>
      <scheme val="minor"/>
    </font>
    <font>
      <sz val="11"/>
      <color rgb="FF3C78D8"/>
      <name val="Calibri"/>
      <scheme val="minor"/>
    </font>
    <font>
      <sz val="11"/>
      <color rgb="FFA64D79"/>
      <name val="Calibri"/>
      <scheme val="minor"/>
    </font>
    <font>
      <sz val="11"/>
      <color rgb="FF741B47"/>
      <name val="Calibri"/>
      <scheme val="minor"/>
    </font>
    <font>
      <b/>
      <sz val="11"/>
      <color rgb="FFA64D79"/>
      <name val="Calibri"/>
      <scheme val="minor"/>
    </font>
    <font>
      <b/>
      <sz val="11"/>
      <color rgb="FFFF0000"/>
      <name val="Calibri"/>
      <scheme val="minor"/>
    </font>
    <font>
      <b/>
      <sz val="19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3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theme="4"/>
        <bgColor theme="4"/>
      </patternFill>
    </fill>
    <fill>
      <patternFill patternType="solid">
        <fgColor rgb="FFBDD6EE"/>
        <bgColor rgb="FFBDD6EE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theme="7"/>
        <bgColor theme="7"/>
      </patternFill>
    </fill>
    <fill>
      <patternFill patternType="solid">
        <fgColor rgb="FF3A3838"/>
        <bgColor rgb="FF3A3838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  <fill>
      <patternFill patternType="solid">
        <fgColor theme="8"/>
        <bgColor theme="8"/>
      </patternFill>
    </fill>
    <fill>
      <patternFill patternType="solid">
        <fgColor rgb="FFFFD965"/>
        <bgColor rgb="FFFFD965"/>
      </patternFill>
    </fill>
    <fill>
      <patternFill patternType="solid">
        <fgColor rgb="FFAEABAB"/>
        <bgColor rgb="FFAEABAB"/>
      </patternFill>
    </fill>
    <fill>
      <patternFill patternType="solid">
        <fgColor rgb="FFA5A5A5"/>
        <bgColor rgb="FFA5A5A5"/>
      </patternFill>
    </fill>
    <fill>
      <patternFill patternType="solid">
        <fgColor rgb="FFBF9000"/>
        <bgColor rgb="FFBF9000"/>
      </patternFill>
    </fill>
    <fill>
      <patternFill patternType="solid">
        <fgColor rgb="FF0C0C0C"/>
        <bgColor rgb="FF0C0C0C"/>
      </patternFill>
    </fill>
    <fill>
      <patternFill patternType="solid">
        <fgColor rgb="FF92D050"/>
        <bgColor rgb="FF92D050"/>
      </patternFill>
    </fill>
    <fill>
      <patternFill patternType="solid">
        <fgColor rgb="FF7030A0"/>
        <bgColor rgb="FF7030A0"/>
      </patternFill>
    </fill>
    <fill>
      <patternFill patternType="solid">
        <fgColor rgb="FF8496B0"/>
        <bgColor rgb="FF8496B0"/>
      </patternFill>
    </fill>
    <fill>
      <patternFill patternType="solid">
        <fgColor rgb="FF385623"/>
        <bgColor rgb="FF385623"/>
      </patternFill>
    </fill>
    <fill>
      <patternFill patternType="solid">
        <fgColor rgb="FFA8D08D"/>
        <bgColor rgb="FFA8D08D"/>
      </patternFill>
    </fill>
    <fill>
      <patternFill patternType="solid">
        <fgColor rgb="FFF7CAAC"/>
        <bgColor rgb="FFF7CAAC"/>
      </patternFill>
    </fill>
    <fill>
      <patternFill patternType="solid">
        <fgColor rgb="FF9CC2E5"/>
        <bgColor rgb="FF9CC2E5"/>
      </patternFill>
    </fill>
    <fill>
      <patternFill patternType="solid">
        <fgColor rgb="FFFBE4D5"/>
        <bgColor rgb="FFFBE4D5"/>
      </patternFill>
    </fill>
    <fill>
      <patternFill patternType="solid">
        <fgColor rgb="FFADB9CA"/>
        <bgColor rgb="FFADB9CA"/>
      </patternFill>
    </fill>
    <fill>
      <patternFill patternType="solid">
        <fgColor theme="1"/>
        <bgColor theme="1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  <fill>
      <patternFill patternType="solid">
        <fgColor rgb="FF757070"/>
        <bgColor rgb="FF757070"/>
      </patternFill>
    </fill>
    <fill>
      <patternFill patternType="solid">
        <fgColor rgb="FFC8C8C8"/>
        <bgColor rgb="FFC8C8C8"/>
      </patternFill>
    </fill>
    <fill>
      <patternFill patternType="solid">
        <fgColor rgb="FFE7E6E6"/>
        <bgColor rgb="FFE7E6E6"/>
      </patternFill>
    </fill>
    <fill>
      <patternFill patternType="solid">
        <fgColor rgb="FFC55A11"/>
        <bgColor rgb="FFC55A11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D9D2E9"/>
        <bgColor rgb="FFD9D2E9"/>
      </patternFill>
    </fill>
    <fill>
      <patternFill patternType="solid">
        <fgColor rgb="FFB4C6E7"/>
        <bgColor rgb="FFB4C6E7"/>
      </patternFill>
    </fill>
    <fill>
      <patternFill patternType="solid">
        <fgColor theme="0"/>
        <bgColor theme="0"/>
      </patternFill>
    </fill>
    <fill>
      <patternFill patternType="solid">
        <fgColor rgb="FFECECEC"/>
        <bgColor rgb="FFECECEC"/>
      </patternFill>
    </fill>
    <fill>
      <patternFill patternType="solid">
        <fgColor rgb="FFC27BA0"/>
        <bgColor rgb="FFC27BA0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  <fill>
      <patternFill patternType="solid">
        <fgColor rgb="FF4A86E8"/>
        <bgColor rgb="FF4A86E8"/>
      </patternFill>
    </fill>
    <fill>
      <patternFill patternType="solid">
        <fgColor rgb="FFD9D9D9"/>
        <bgColor rgb="FFD9D9D9"/>
      </patternFill>
    </fill>
    <fill>
      <patternFill patternType="solid">
        <fgColor rgb="FFE06666"/>
        <bgColor rgb="FFE06666"/>
      </patternFill>
    </fill>
    <fill>
      <patternFill patternType="solid">
        <fgColor rgb="FFFF9900"/>
        <bgColor rgb="FFFF99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674EA7"/>
        <bgColor rgb="FF674EA7"/>
      </patternFill>
    </fill>
    <fill>
      <patternFill patternType="solid">
        <fgColor rgb="FFC9DAF8"/>
        <bgColor rgb="FFC9DAF8"/>
      </patternFill>
    </fill>
    <fill>
      <patternFill patternType="solid">
        <fgColor rgb="FFA64D79"/>
        <bgColor rgb="FFA64D79"/>
      </patternFill>
    </fill>
    <fill>
      <patternFill patternType="solid">
        <fgColor rgb="FFD9E2F3"/>
        <bgColor rgb="FFD9E2F3"/>
      </patternFill>
    </fill>
    <fill>
      <patternFill patternType="solid">
        <fgColor rgb="FFCC0000"/>
        <bgColor rgb="FFCC0000"/>
      </patternFill>
    </fill>
    <fill>
      <patternFill patternType="solid">
        <fgColor rgb="FFFF00FF"/>
        <bgColor rgb="FFFF00FF"/>
      </patternFill>
    </fill>
    <fill>
      <patternFill patternType="solid">
        <fgColor rgb="FF76A5AF"/>
        <bgColor rgb="FF76A5AF"/>
      </patternFill>
    </fill>
    <fill>
      <patternFill patternType="solid">
        <fgColor rgb="FFB7B7B7"/>
        <bgColor rgb="FFB7B7B7"/>
      </patternFill>
    </fill>
    <fill>
      <patternFill patternType="solid">
        <fgColor rgb="FF9900FF"/>
        <bgColor rgb="FF9900FF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0B5394"/>
        <bgColor rgb="FF0B5394"/>
      </patternFill>
    </fill>
    <fill>
      <patternFill patternType="solid">
        <fgColor rgb="FFFFE599"/>
        <bgColor rgb="FFFFE599"/>
      </patternFill>
    </fill>
    <fill>
      <patternFill patternType="solid">
        <fgColor rgb="FFC5E0B3"/>
        <bgColor rgb="FFC5E0B3"/>
      </patternFill>
    </fill>
    <fill>
      <patternFill patternType="solid">
        <fgColor rgb="FF6D9EEB"/>
        <bgColor rgb="FF6D9EEB"/>
      </patternFill>
    </fill>
    <fill>
      <patternFill patternType="solid">
        <fgColor rgb="FF6AA84F"/>
        <bgColor rgb="FF6AA84F"/>
      </patternFill>
    </fill>
    <fill>
      <patternFill patternType="solid">
        <fgColor rgb="FFD5A6BD"/>
        <bgColor rgb="FFD5A6BD"/>
      </patternFill>
    </fill>
    <fill>
      <patternFill patternType="solid">
        <fgColor rgb="FF980000"/>
        <bgColor rgb="FF980000"/>
      </patternFill>
    </fill>
    <fill>
      <patternFill patternType="solid">
        <fgColor rgb="FFFFFFFF"/>
        <bgColor rgb="FFFFFFFF"/>
      </patternFill>
    </fill>
    <fill>
      <patternFill patternType="solid">
        <fgColor rgb="FFDD7E6B"/>
        <bgColor rgb="FFDD7E6B"/>
      </patternFill>
    </fill>
    <fill>
      <patternFill patternType="solid">
        <fgColor rgb="FFD0E0E3"/>
        <bgColor rgb="FFD0E0E3"/>
      </patternFill>
    </fill>
    <fill>
      <patternFill patternType="solid">
        <fgColor rgb="FFF9CB9C"/>
        <bgColor rgb="FFF9CB9C"/>
      </patternFill>
    </fill>
    <fill>
      <patternFill patternType="solid">
        <fgColor rgb="FFCCCCCC"/>
        <bgColor rgb="FFCCCCCC"/>
      </patternFill>
    </fill>
    <fill>
      <patternFill patternType="solid">
        <fgColor rgb="FF38761D"/>
        <bgColor rgb="FF38761D"/>
      </patternFill>
    </fill>
    <fill>
      <patternFill patternType="solid">
        <fgColor rgb="FFEAD1DC"/>
        <bgColor rgb="FFEAD1DC"/>
      </patternFill>
    </fill>
    <fill>
      <patternFill patternType="solid">
        <fgColor rgb="FFEA9999"/>
        <bgColor rgb="FFEA9999"/>
      </patternFill>
    </fill>
    <fill>
      <patternFill patternType="solid">
        <fgColor theme="2"/>
        <bgColor rgb="FFF6B26B"/>
      </patternFill>
    </fill>
    <fill>
      <patternFill patternType="solid">
        <fgColor theme="2"/>
        <bgColor rgb="FF00FF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59">
    <xf numFmtId="0" fontId="0" fillId="0" borderId="0" xfId="0"/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164" fontId="3" fillId="0" borderId="1" xfId="0" applyNumberFormat="1" applyFont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/>
    <xf numFmtId="0" fontId="3" fillId="0" borderId="0" xfId="0" applyFont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4" fillId="4" borderId="2" xfId="0" applyFont="1" applyFill="1" applyBorder="1"/>
    <xf numFmtId="0" fontId="4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5" borderId="10" xfId="0" applyFont="1" applyFill="1" applyBorder="1"/>
    <xf numFmtId="0" fontId="3" fillId="3" borderId="10" xfId="0" applyFont="1" applyFill="1" applyBorder="1"/>
    <xf numFmtId="0" fontId="4" fillId="3" borderId="1" xfId="0" applyFont="1" applyFill="1" applyBorder="1"/>
    <xf numFmtId="0" fontId="3" fillId="8" borderId="1" xfId="0" applyFont="1" applyFill="1" applyBorder="1"/>
    <xf numFmtId="0" fontId="3" fillId="9" borderId="1" xfId="0" applyFont="1" applyFill="1" applyBorder="1"/>
    <xf numFmtId="0" fontId="3" fillId="3" borderId="2" xfId="0" applyFont="1" applyFill="1" applyBorder="1"/>
    <xf numFmtId="0" fontId="3" fillId="3" borderId="15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5" borderId="1" xfId="0" applyFont="1" applyFill="1" applyBorder="1"/>
    <xf numFmtId="0" fontId="3" fillId="8" borderId="2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10" borderId="1" xfId="0" applyFont="1" applyFill="1" applyBorder="1"/>
    <xf numFmtId="0" fontId="3" fillId="7" borderId="1" xfId="0" applyFont="1" applyFill="1" applyBorder="1"/>
    <xf numFmtId="0" fontId="4" fillId="10" borderId="1" xfId="0" applyFont="1" applyFill="1" applyBorder="1"/>
    <xf numFmtId="0" fontId="4" fillId="7" borderId="1" xfId="0" applyFont="1" applyFill="1" applyBorder="1"/>
    <xf numFmtId="0" fontId="3" fillId="13" borderId="1" xfId="0" applyFont="1" applyFill="1" applyBorder="1"/>
    <xf numFmtId="0" fontId="4" fillId="14" borderId="1" xfId="0" applyFont="1" applyFill="1" applyBorder="1"/>
    <xf numFmtId="0" fontId="3" fillId="15" borderId="1" xfId="0" applyFont="1" applyFill="1" applyBorder="1"/>
    <xf numFmtId="0" fontId="3" fillId="16" borderId="10" xfId="0" applyFont="1" applyFill="1" applyBorder="1"/>
    <xf numFmtId="0" fontId="4" fillId="13" borderId="1" xfId="0" applyFont="1" applyFill="1" applyBorder="1"/>
    <xf numFmtId="0" fontId="3" fillId="18" borderId="1" xfId="0" applyFont="1" applyFill="1" applyBorder="1"/>
    <xf numFmtId="0" fontId="3" fillId="19" borderId="1" xfId="0" applyFont="1" applyFill="1" applyBorder="1"/>
    <xf numFmtId="0" fontId="3" fillId="20" borderId="1" xfId="0" applyFont="1" applyFill="1" applyBorder="1"/>
    <xf numFmtId="0" fontId="3" fillId="21" borderId="1" xfId="0" applyFont="1" applyFill="1" applyBorder="1" applyAlignment="1">
      <alignment vertical="center" wrapText="1"/>
    </xf>
    <xf numFmtId="0" fontId="3" fillId="21" borderId="1" xfId="0" applyFont="1" applyFill="1" applyBorder="1" applyAlignment="1">
      <alignment vertical="center"/>
    </xf>
    <xf numFmtId="16" fontId="3" fillId="16" borderId="1" xfId="0" applyNumberFormat="1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16" fontId="3" fillId="23" borderId="1" xfId="0" applyNumberFormat="1" applyFont="1" applyFill="1" applyBorder="1" applyAlignment="1">
      <alignment horizontal="center"/>
    </xf>
    <xf numFmtId="0" fontId="3" fillId="24" borderId="1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3" fillId="25" borderId="1" xfId="0" applyFont="1" applyFill="1" applyBorder="1"/>
    <xf numFmtId="0" fontId="3" fillId="26" borderId="1" xfId="0" applyFont="1" applyFill="1" applyBorder="1"/>
    <xf numFmtId="0" fontId="3" fillId="22" borderId="1" xfId="0" applyFont="1" applyFill="1" applyBorder="1"/>
    <xf numFmtId="0" fontId="9" fillId="0" borderId="0" xfId="0" applyFont="1"/>
    <xf numFmtId="0" fontId="3" fillId="23" borderId="1" xfId="0" applyFont="1" applyFill="1" applyBorder="1"/>
    <xf numFmtId="0" fontId="3" fillId="16" borderId="1" xfId="0" applyFont="1" applyFill="1" applyBorder="1"/>
    <xf numFmtId="0" fontId="3" fillId="28" borderId="1" xfId="0" applyFont="1" applyFill="1" applyBorder="1"/>
    <xf numFmtId="0" fontId="3" fillId="29" borderId="1" xfId="0" applyFont="1" applyFill="1" applyBorder="1"/>
    <xf numFmtId="0" fontId="3" fillId="29" borderId="30" xfId="0" applyFont="1" applyFill="1" applyBorder="1"/>
    <xf numFmtId="0" fontId="3" fillId="27" borderId="10" xfId="0" applyFont="1" applyFill="1" applyBorder="1"/>
    <xf numFmtId="0" fontId="3" fillId="6" borderId="15" xfId="0" applyFont="1" applyFill="1" applyBorder="1"/>
    <xf numFmtId="0" fontId="5" fillId="0" borderId="37" xfId="0" applyFont="1" applyBorder="1"/>
    <xf numFmtId="0" fontId="3" fillId="28" borderId="15" xfId="0" applyFont="1" applyFill="1" applyBorder="1"/>
    <xf numFmtId="0" fontId="3" fillId="30" borderId="1" xfId="0" applyFont="1" applyFill="1" applyBorder="1"/>
    <xf numFmtId="0" fontId="3" fillId="31" borderId="1" xfId="0" applyFont="1" applyFill="1" applyBorder="1"/>
    <xf numFmtId="0" fontId="3" fillId="32" borderId="1" xfId="0" applyFont="1" applyFill="1" applyBorder="1"/>
    <xf numFmtId="0" fontId="3" fillId="22" borderId="2" xfId="0" applyFont="1" applyFill="1" applyBorder="1"/>
    <xf numFmtId="0" fontId="3" fillId="22" borderId="30" xfId="0" applyFont="1" applyFill="1" applyBorder="1"/>
    <xf numFmtId="0" fontId="3" fillId="33" borderId="1" xfId="0" applyFont="1" applyFill="1" applyBorder="1"/>
    <xf numFmtId="0" fontId="3" fillId="34" borderId="10" xfId="0" applyFont="1" applyFill="1" applyBorder="1"/>
    <xf numFmtId="0" fontId="3" fillId="35" borderId="10" xfId="0" applyFont="1" applyFill="1" applyBorder="1"/>
    <xf numFmtId="0" fontId="3" fillId="29" borderId="10" xfId="0" applyFont="1" applyFill="1" applyBorder="1"/>
    <xf numFmtId="0" fontId="3" fillId="36" borderId="10" xfId="0" applyFont="1" applyFill="1" applyBorder="1"/>
    <xf numFmtId="0" fontId="3" fillId="37" borderId="10" xfId="0" applyFont="1" applyFill="1" applyBorder="1"/>
    <xf numFmtId="0" fontId="3" fillId="38" borderId="10" xfId="0" applyFont="1" applyFill="1" applyBorder="1"/>
    <xf numFmtId="0" fontId="3" fillId="13" borderId="10" xfId="0" applyFont="1" applyFill="1" applyBorder="1"/>
    <xf numFmtId="0" fontId="3" fillId="39" borderId="10" xfId="0" applyFont="1" applyFill="1" applyBorder="1"/>
    <xf numFmtId="0" fontId="3" fillId="40" borderId="10" xfId="0" applyFont="1" applyFill="1" applyBorder="1"/>
    <xf numFmtId="0" fontId="3" fillId="42" borderId="10" xfId="0" applyFont="1" applyFill="1" applyBorder="1"/>
    <xf numFmtId="0" fontId="3" fillId="43" borderId="10" xfId="0" applyFont="1" applyFill="1" applyBorder="1"/>
    <xf numFmtId="0" fontId="3" fillId="10" borderId="10" xfId="0" applyFont="1" applyFill="1" applyBorder="1"/>
    <xf numFmtId="0" fontId="3" fillId="44" borderId="10" xfId="0" applyFont="1" applyFill="1" applyBorder="1"/>
    <xf numFmtId="0" fontId="3" fillId="45" borderId="10" xfId="0" applyFont="1" applyFill="1" applyBorder="1"/>
    <xf numFmtId="0" fontId="3" fillId="47" borderId="10" xfId="0" applyFont="1" applyFill="1" applyBorder="1"/>
    <xf numFmtId="0" fontId="3" fillId="48" borderId="10" xfId="0" applyFont="1" applyFill="1" applyBorder="1"/>
    <xf numFmtId="0" fontId="3" fillId="49" borderId="10" xfId="0" applyFont="1" applyFill="1" applyBorder="1"/>
    <xf numFmtId="0" fontId="3" fillId="41" borderId="10" xfId="0" applyFont="1" applyFill="1" applyBorder="1"/>
    <xf numFmtId="0" fontId="3" fillId="50" borderId="10" xfId="0" applyFont="1" applyFill="1" applyBorder="1"/>
    <xf numFmtId="0" fontId="3" fillId="51" borderId="10" xfId="0" applyFont="1" applyFill="1" applyBorder="1"/>
    <xf numFmtId="0" fontId="3" fillId="52" borderId="10" xfId="0" applyFont="1" applyFill="1" applyBorder="1"/>
    <xf numFmtId="0" fontId="3" fillId="53" borderId="10" xfId="0" applyFont="1" applyFill="1" applyBorder="1"/>
    <xf numFmtId="166" fontId="3" fillId="54" borderId="10" xfId="0" applyNumberFormat="1" applyFont="1" applyFill="1" applyBorder="1"/>
    <xf numFmtId="0" fontId="3" fillId="2" borderId="10" xfId="0" applyFont="1" applyFill="1" applyBorder="1"/>
    <xf numFmtId="0" fontId="3" fillId="56" borderId="10" xfId="0" applyFont="1" applyFill="1" applyBorder="1"/>
    <xf numFmtId="167" fontId="3" fillId="0" borderId="0" xfId="0" applyNumberFormat="1" applyFont="1"/>
    <xf numFmtId="166" fontId="3" fillId="0" borderId="0" xfId="0" applyNumberFormat="1" applyFont="1"/>
    <xf numFmtId="0" fontId="3" fillId="58" borderId="10" xfId="0" applyFont="1" applyFill="1" applyBorder="1"/>
    <xf numFmtId="0" fontId="3" fillId="54" borderId="10" xfId="0" applyFont="1" applyFill="1" applyBorder="1"/>
    <xf numFmtId="0" fontId="3" fillId="12" borderId="10" xfId="0" applyFont="1" applyFill="1" applyBorder="1"/>
    <xf numFmtId="0" fontId="3" fillId="59" borderId="10" xfId="0" applyFont="1" applyFill="1" applyBorder="1"/>
    <xf numFmtId="9" fontId="3" fillId="0" borderId="0" xfId="0" applyNumberFormat="1" applyFont="1"/>
    <xf numFmtId="0" fontId="3" fillId="6" borderId="10" xfId="0" applyFont="1" applyFill="1" applyBorder="1"/>
    <xf numFmtId="0" fontId="4" fillId="47" borderId="10" xfId="0" applyFont="1" applyFill="1" applyBorder="1"/>
    <xf numFmtId="0" fontId="4" fillId="50" borderId="10" xfId="0" applyFont="1" applyFill="1" applyBorder="1"/>
    <xf numFmtId="168" fontId="3" fillId="0" borderId="0" xfId="0" applyNumberFormat="1" applyFont="1"/>
    <xf numFmtId="0" fontId="4" fillId="61" borderId="10" xfId="0" applyFont="1" applyFill="1" applyBorder="1"/>
    <xf numFmtId="164" fontId="3" fillId="0" borderId="0" xfId="0" applyNumberFormat="1" applyFont="1"/>
    <xf numFmtId="169" fontId="3" fillId="0" borderId="0" xfId="0" applyNumberFormat="1" applyFont="1"/>
    <xf numFmtId="0" fontId="4" fillId="10" borderId="10" xfId="0" applyFont="1" applyFill="1" applyBorder="1"/>
    <xf numFmtId="0" fontId="3" fillId="55" borderId="10" xfId="0" applyFont="1" applyFill="1" applyBorder="1"/>
    <xf numFmtId="166" fontId="3" fillId="62" borderId="10" xfId="0" applyNumberFormat="1" applyFont="1" applyFill="1" applyBorder="1"/>
    <xf numFmtId="165" fontId="3" fillId="18" borderId="10" xfId="0" applyNumberFormat="1" applyFont="1" applyFill="1" applyBorder="1"/>
    <xf numFmtId="167" fontId="3" fillId="62" borderId="10" xfId="0" applyNumberFormat="1" applyFont="1" applyFill="1" applyBorder="1"/>
    <xf numFmtId="0" fontId="9" fillId="63" borderId="0" xfId="0" applyFont="1" applyFill="1"/>
    <xf numFmtId="169" fontId="9" fillId="63" borderId="0" xfId="0" applyNumberFormat="1" applyFont="1" applyFill="1"/>
    <xf numFmtId="0" fontId="3" fillId="63" borderId="10" xfId="0" applyFont="1" applyFill="1" applyBorder="1"/>
    <xf numFmtId="170" fontId="3" fillId="65" borderId="10" xfId="0" applyNumberFormat="1" applyFont="1" applyFill="1" applyBorder="1"/>
    <xf numFmtId="170" fontId="3" fillId="41" borderId="10" xfId="0" applyNumberFormat="1" applyFont="1" applyFill="1" applyBorder="1"/>
    <xf numFmtId="165" fontId="3" fillId="0" borderId="0" xfId="0" applyNumberFormat="1" applyFont="1"/>
    <xf numFmtId="0" fontId="3" fillId="67" borderId="10" xfId="0" applyFont="1" applyFill="1" applyBorder="1"/>
    <xf numFmtId="0" fontId="3" fillId="68" borderId="10" xfId="0" applyFont="1" applyFill="1" applyBorder="1"/>
    <xf numFmtId="0" fontId="9" fillId="70" borderId="0" xfId="0" applyFont="1" applyFill="1"/>
    <xf numFmtId="0" fontId="9" fillId="51" borderId="0" xfId="0" applyFont="1" applyFill="1"/>
    <xf numFmtId="0" fontId="4" fillId="43" borderId="10" xfId="0" applyFont="1" applyFill="1" applyBorder="1"/>
    <xf numFmtId="0" fontId="9" fillId="72" borderId="0" xfId="0" applyFont="1" applyFill="1"/>
    <xf numFmtId="0" fontId="9" fillId="10" borderId="0" xfId="0" applyFont="1" applyFill="1"/>
    <xf numFmtId="0" fontId="9" fillId="61" borderId="0" xfId="0" applyFont="1" applyFill="1"/>
    <xf numFmtId="0" fontId="9" fillId="59" borderId="0" xfId="0" applyFont="1" applyFill="1"/>
    <xf numFmtId="0" fontId="3" fillId="73" borderId="10" xfId="0" applyFont="1" applyFill="1" applyBorder="1"/>
    <xf numFmtId="0" fontId="17" fillId="10" borderId="10" xfId="0" applyFont="1" applyFill="1" applyBorder="1"/>
    <xf numFmtId="0" fontId="4" fillId="0" borderId="0" xfId="0" applyFont="1"/>
    <xf numFmtId="0" fontId="4" fillId="44" borderId="10" xfId="0" applyFont="1" applyFill="1" applyBorder="1"/>
    <xf numFmtId="171" fontId="3" fillId="0" borderId="0" xfId="0" applyNumberFormat="1" applyFont="1"/>
    <xf numFmtId="2" fontId="3" fillId="0" borderId="0" xfId="0" applyNumberFormat="1" applyFont="1"/>
    <xf numFmtId="0" fontId="3" fillId="70" borderId="10" xfId="0" applyFont="1" applyFill="1" applyBorder="1"/>
    <xf numFmtId="0" fontId="18" fillId="61" borderId="10" xfId="0" applyFont="1" applyFill="1" applyBorder="1"/>
    <xf numFmtId="0" fontId="4" fillId="70" borderId="10" xfId="0" applyFont="1" applyFill="1" applyBorder="1"/>
    <xf numFmtId="0" fontId="20" fillId="61" borderId="0" xfId="0" applyFont="1" applyFill="1"/>
    <xf numFmtId="0" fontId="20" fillId="34" borderId="0" xfId="0" applyFont="1" applyFill="1"/>
    <xf numFmtId="0" fontId="20" fillId="51" borderId="0" xfId="0" applyFont="1" applyFill="1"/>
    <xf numFmtId="0" fontId="20" fillId="10" borderId="0" xfId="0" applyFont="1" applyFill="1"/>
    <xf numFmtId="0" fontId="20" fillId="52" borderId="0" xfId="0" applyFont="1" applyFill="1"/>
    <xf numFmtId="166" fontId="9" fillId="0" borderId="0" xfId="0" applyNumberFormat="1" applyFont="1"/>
    <xf numFmtId="0" fontId="20" fillId="46" borderId="0" xfId="0" applyFont="1" applyFill="1"/>
    <xf numFmtId="0" fontId="20" fillId="69" borderId="0" xfId="0" applyFont="1" applyFill="1"/>
    <xf numFmtId="171" fontId="9" fillId="0" borderId="0" xfId="0" applyNumberFormat="1" applyFont="1"/>
    <xf numFmtId="0" fontId="20" fillId="48" borderId="0" xfId="0" applyFont="1" applyFill="1"/>
    <xf numFmtId="3" fontId="9" fillId="0" borderId="0" xfId="0" applyNumberFormat="1" applyFont="1"/>
    <xf numFmtId="0" fontId="20" fillId="0" borderId="0" xfId="0" applyFont="1"/>
    <xf numFmtId="3" fontId="20" fillId="0" borderId="0" xfId="0" applyNumberFormat="1" applyFont="1"/>
    <xf numFmtId="0" fontId="23" fillId="77" borderId="0" xfId="0" applyFont="1" applyFill="1"/>
    <xf numFmtId="0" fontId="24" fillId="61" borderId="0" xfId="0" applyFont="1" applyFill="1"/>
    <xf numFmtId="0" fontId="23" fillId="61" borderId="0" xfId="0" applyFont="1" applyFill="1"/>
    <xf numFmtId="0" fontId="23" fillId="34" borderId="0" xfId="0" applyFont="1" applyFill="1"/>
    <xf numFmtId="0" fontId="26" fillId="51" borderId="0" xfId="0" applyFont="1" applyFill="1"/>
    <xf numFmtId="0" fontId="23" fillId="46" borderId="0" xfId="0" applyFont="1" applyFill="1"/>
    <xf numFmtId="0" fontId="27" fillId="78" borderId="0" xfId="0" applyFont="1" applyFill="1"/>
    <xf numFmtId="0" fontId="20" fillId="42" borderId="0" xfId="0" applyFont="1" applyFill="1"/>
    <xf numFmtId="0" fontId="20" fillId="53" borderId="0" xfId="0" applyFont="1" applyFill="1"/>
    <xf numFmtId="9" fontId="9" fillId="0" borderId="0" xfId="0" applyNumberFormat="1" applyFont="1"/>
    <xf numFmtId="172" fontId="9" fillId="0" borderId="0" xfId="0" applyNumberFormat="1" applyFont="1"/>
    <xf numFmtId="0" fontId="28" fillId="0" borderId="0" xfId="0" applyFont="1"/>
    <xf numFmtId="0" fontId="30" fillId="0" borderId="0" xfId="0" applyFont="1"/>
    <xf numFmtId="0" fontId="31" fillId="0" borderId="0" xfId="0" applyFont="1"/>
    <xf numFmtId="173" fontId="30" fillId="0" borderId="0" xfId="0" applyNumberFormat="1" applyFont="1"/>
    <xf numFmtId="174" fontId="9" fillId="0" borderId="0" xfId="0" applyNumberFormat="1" applyFont="1"/>
    <xf numFmtId="0" fontId="23" fillId="58" borderId="0" xfId="0" applyFont="1" applyFill="1"/>
    <xf numFmtId="0" fontId="20" fillId="77" borderId="0" xfId="0" applyFont="1" applyFill="1"/>
    <xf numFmtId="167" fontId="9" fillId="0" borderId="0" xfId="0" applyNumberFormat="1" applyFont="1"/>
    <xf numFmtId="0" fontId="9" fillId="36" borderId="0" xfId="0" applyFont="1" applyFill="1"/>
    <xf numFmtId="0" fontId="0" fillId="0" borderId="50" xfId="0" applyBorder="1"/>
    <xf numFmtId="0" fontId="0" fillId="0" borderId="51" xfId="0" applyBorder="1"/>
    <xf numFmtId="0" fontId="0" fillId="0" borderId="50" xfId="0" pivotButton="1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7" xfId="0" applyBorder="1"/>
    <xf numFmtId="0" fontId="0" fillId="0" borderId="58" xfId="0" applyBorder="1"/>
    <xf numFmtId="0" fontId="0" fillId="0" borderId="60" xfId="0" applyBorder="1"/>
    <xf numFmtId="0" fontId="3" fillId="81" borderId="10" xfId="0" applyFont="1" applyFill="1" applyBorder="1"/>
    <xf numFmtId="0" fontId="3" fillId="82" borderId="10" xfId="0" applyFont="1" applyFill="1" applyBorder="1"/>
    <xf numFmtId="0" fontId="0" fillId="83" borderId="0" xfId="0" applyFill="1"/>
    <xf numFmtId="0" fontId="0" fillId="84" borderId="0" xfId="0" applyFill="1"/>
    <xf numFmtId="0" fontId="2" fillId="0" borderId="0" xfId="0" applyFont="1"/>
    <xf numFmtId="0" fontId="0" fillId="85" borderId="0" xfId="0" applyFill="1"/>
    <xf numFmtId="0" fontId="0" fillId="86" borderId="0" xfId="0" applyFill="1"/>
    <xf numFmtId="0" fontId="0" fillId="87" borderId="0" xfId="0" applyFill="1"/>
    <xf numFmtId="0" fontId="3" fillId="4" borderId="3" xfId="0" applyFont="1" applyFill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3" fillId="0" borderId="0" xfId="0" applyFont="1" applyAlignment="1">
      <alignment horizontal="center"/>
    </xf>
    <xf numFmtId="0" fontId="0" fillId="0" borderId="0" xfId="0"/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3" fillId="0" borderId="17" xfId="0" applyFont="1" applyBorder="1" applyAlignment="1">
      <alignment horizontal="center"/>
    </xf>
    <xf numFmtId="0" fontId="5" fillId="0" borderId="18" xfId="0" applyFont="1" applyBorder="1"/>
    <xf numFmtId="0" fontId="5" fillId="0" borderId="11" xfId="0" applyFont="1" applyBorder="1"/>
    <xf numFmtId="0" fontId="5" fillId="0" borderId="19" xfId="0" applyFont="1" applyBorder="1"/>
    <xf numFmtId="0" fontId="4" fillId="5" borderId="6" xfId="0" applyFont="1" applyFill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5" fillId="0" borderId="9" xfId="0" applyFont="1" applyBorder="1"/>
    <xf numFmtId="0" fontId="3" fillId="0" borderId="0" xfId="0" applyFont="1" applyAlignment="1">
      <alignment horizontal="center" vertical="center"/>
    </xf>
    <xf numFmtId="0" fontId="6" fillId="0" borderId="11" xfId="0" applyFont="1" applyBorder="1" applyAlignment="1">
      <alignment horizontal="left"/>
    </xf>
    <xf numFmtId="0" fontId="5" fillId="0" borderId="12" xfId="0" applyFont="1" applyBorder="1"/>
    <xf numFmtId="0" fontId="3" fillId="6" borderId="6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3" fillId="17" borderId="6" xfId="0" applyFont="1" applyFill="1" applyBorder="1" applyAlignment="1">
      <alignment horizontal="center"/>
    </xf>
    <xf numFmtId="0" fontId="3" fillId="17" borderId="17" xfId="0" applyFont="1" applyFill="1" applyBorder="1" applyAlignment="1">
      <alignment horizontal="center"/>
    </xf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5" fillId="0" borderId="23" xfId="0" applyFont="1" applyBorder="1"/>
    <xf numFmtId="0" fontId="8" fillId="16" borderId="17" xfId="0" applyFont="1" applyFill="1" applyBorder="1" applyAlignment="1">
      <alignment horizontal="center" vertical="center"/>
    </xf>
    <xf numFmtId="0" fontId="5" fillId="0" borderId="16" xfId="0" applyFont="1" applyBorder="1"/>
    <xf numFmtId="0" fontId="4" fillId="3" borderId="6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5" fillId="0" borderId="14" xfId="0" applyFont="1" applyBorder="1"/>
    <xf numFmtId="0" fontId="3" fillId="7" borderId="3" xfId="0" applyFont="1" applyFill="1" applyBorder="1" applyAlignment="1">
      <alignment horizontal="center" wrapText="1"/>
    </xf>
    <xf numFmtId="0" fontId="4" fillId="0" borderId="16" xfId="0" applyFont="1" applyBorder="1" applyAlignment="1">
      <alignment horizontal="center"/>
    </xf>
    <xf numFmtId="0" fontId="9" fillId="70" borderId="0" xfId="0" applyFont="1" applyFill="1"/>
    <xf numFmtId="0" fontId="9" fillId="10" borderId="0" xfId="0" applyFont="1" applyFill="1"/>
    <xf numFmtId="0" fontId="22" fillId="37" borderId="0" xfId="0" applyFont="1" applyFill="1"/>
    <xf numFmtId="0" fontId="20" fillId="10" borderId="0" xfId="0" applyFont="1" applyFill="1"/>
    <xf numFmtId="0" fontId="20" fillId="0" borderId="0" xfId="0" applyFont="1" applyAlignment="1">
      <alignment horizontal="center"/>
    </xf>
    <xf numFmtId="0" fontId="22" fillId="46" borderId="0" xfId="0" applyFont="1" applyFill="1"/>
    <xf numFmtId="0" fontId="21" fillId="76" borderId="0" xfId="0" applyFont="1" applyFill="1"/>
    <xf numFmtId="0" fontId="25" fillId="75" borderId="0" xfId="0" applyFont="1" applyFill="1"/>
    <xf numFmtId="0" fontId="20" fillId="69" borderId="0" xfId="0" applyFont="1" applyFill="1" applyAlignment="1">
      <alignment horizontal="center"/>
    </xf>
    <xf numFmtId="0" fontId="20" fillId="34" borderId="0" xfId="0" applyFont="1" applyFill="1" applyAlignment="1">
      <alignment horizontal="center"/>
    </xf>
    <xf numFmtId="0" fontId="22" fillId="53" borderId="0" xfId="0" applyFont="1" applyFill="1"/>
    <xf numFmtId="0" fontId="5" fillId="0" borderId="36" xfId="0" applyFont="1" applyBorder="1"/>
    <xf numFmtId="0" fontId="5" fillId="0" borderId="37" xfId="0" applyFont="1" applyBorder="1"/>
    <xf numFmtId="0" fontId="5" fillId="0" borderId="43" xfId="0" applyFont="1" applyBorder="1"/>
    <xf numFmtId="0" fontId="5" fillId="0" borderId="44" xfId="0" applyFont="1" applyBorder="1"/>
    <xf numFmtId="0" fontId="3" fillId="0" borderId="0" xfId="0" applyFont="1"/>
    <xf numFmtId="0" fontId="19" fillId="36" borderId="0" xfId="0" applyFont="1" applyFill="1"/>
    <xf numFmtId="0" fontId="21" fillId="35" borderId="0" xfId="0" applyFont="1" applyFill="1"/>
    <xf numFmtId="0" fontId="20" fillId="47" borderId="0" xfId="0" applyFont="1" applyFill="1" applyAlignment="1">
      <alignment horizontal="center"/>
    </xf>
    <xf numFmtId="0" fontId="19" fillId="48" borderId="0" xfId="0" applyFont="1" applyFill="1"/>
    <xf numFmtId="0" fontId="12" fillId="43" borderId="49" xfId="0" applyFont="1" applyFill="1" applyBorder="1" applyAlignment="1">
      <alignment horizontal="center"/>
    </xf>
    <xf numFmtId="0" fontId="9" fillId="0" borderId="0" xfId="0" applyFont="1"/>
    <xf numFmtId="0" fontId="14" fillId="41" borderId="35" xfId="0" applyFont="1" applyFill="1" applyBorder="1" applyAlignment="1">
      <alignment horizontal="center"/>
    </xf>
    <xf numFmtId="0" fontId="6" fillId="63" borderId="49" xfId="0" applyFont="1" applyFill="1" applyBorder="1" applyAlignment="1">
      <alignment horizontal="center"/>
    </xf>
    <xf numFmtId="0" fontId="12" fillId="46" borderId="49" xfId="0" applyFont="1" applyFill="1" applyBorder="1" applyAlignment="1">
      <alignment horizontal="center"/>
    </xf>
    <xf numFmtId="0" fontId="12" fillId="74" borderId="49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70" borderId="0" xfId="0" applyFont="1" applyFill="1"/>
    <xf numFmtId="0" fontId="19" fillId="70" borderId="0" xfId="0" applyFont="1" applyFill="1"/>
    <xf numFmtId="0" fontId="22" fillId="65" borderId="0" xfId="0" applyFont="1" applyFill="1"/>
    <xf numFmtId="0" fontId="25" fillId="67" borderId="0" xfId="0" applyFont="1" applyFill="1"/>
    <xf numFmtId="0" fontId="3" fillId="10" borderId="47" xfId="0" applyFont="1" applyFill="1" applyBorder="1" applyAlignment="1">
      <alignment horizontal="center"/>
    </xf>
    <xf numFmtId="0" fontId="5" fillId="0" borderId="48" xfId="0" applyFont="1" applyBorder="1"/>
    <xf numFmtId="0" fontId="5" fillId="0" borderId="49" xfId="0" applyFont="1" applyBorder="1"/>
    <xf numFmtId="0" fontId="12" fillId="66" borderId="35" xfId="0" applyFont="1" applyFill="1" applyBorder="1"/>
    <xf numFmtId="0" fontId="12" fillId="34" borderId="35" xfId="0" applyFont="1" applyFill="1" applyBorder="1"/>
    <xf numFmtId="0" fontId="3" fillId="31" borderId="47" xfId="0" applyFont="1" applyFill="1" applyBorder="1" applyAlignment="1">
      <alignment horizontal="center"/>
    </xf>
    <xf numFmtId="0" fontId="9" fillId="78" borderId="0" xfId="0" applyFont="1" applyFill="1"/>
    <xf numFmtId="0" fontId="3" fillId="68" borderId="47" xfId="0" applyFont="1" applyFill="1" applyBorder="1" applyAlignment="1">
      <alignment horizontal="center"/>
    </xf>
    <xf numFmtId="0" fontId="3" fillId="69" borderId="0" xfId="0" applyFont="1" applyFill="1" applyAlignment="1">
      <alignment horizontal="center"/>
    </xf>
    <xf numFmtId="0" fontId="15" fillId="29" borderId="35" xfId="0" applyFont="1" applyFill="1" applyBorder="1" applyAlignment="1">
      <alignment horizontal="center"/>
    </xf>
    <xf numFmtId="168" fontId="3" fillId="55" borderId="0" xfId="0" applyNumberFormat="1" applyFont="1" applyFill="1" applyAlignment="1">
      <alignment horizontal="center"/>
    </xf>
    <xf numFmtId="168" fontId="3" fillId="71" borderId="0" xfId="0" applyNumberFormat="1" applyFont="1" applyFill="1" applyAlignment="1">
      <alignment horizontal="center"/>
    </xf>
    <xf numFmtId="0" fontId="3" fillId="29" borderId="47" xfId="0" applyFont="1" applyFill="1" applyBorder="1" applyAlignment="1">
      <alignment horizontal="center"/>
    </xf>
    <xf numFmtId="0" fontId="14" fillId="10" borderId="35" xfId="0" applyFont="1" applyFill="1" applyBorder="1" applyAlignment="1">
      <alignment horizontal="center"/>
    </xf>
    <xf numFmtId="0" fontId="16" fillId="43" borderId="35" xfId="0" applyFont="1" applyFill="1" applyBorder="1"/>
    <xf numFmtId="0" fontId="3" fillId="6" borderId="47" xfId="0" applyFont="1" applyFill="1" applyBorder="1" applyAlignment="1">
      <alignment horizontal="center"/>
    </xf>
    <xf numFmtId="169" fontId="3" fillId="0" borderId="0" xfId="0" applyNumberFormat="1" applyFont="1" applyAlignment="1">
      <alignment horizontal="center"/>
    </xf>
    <xf numFmtId="0" fontId="6" fillId="10" borderId="35" xfId="0" applyFont="1" applyFill="1" applyBorder="1"/>
    <xf numFmtId="0" fontId="3" fillId="53" borderId="0" xfId="0" applyFont="1" applyFill="1" applyAlignment="1">
      <alignment horizontal="center"/>
    </xf>
    <xf numFmtId="0" fontId="3" fillId="64" borderId="0" xfId="0" applyFont="1" applyFill="1" applyAlignment="1">
      <alignment horizontal="center"/>
    </xf>
    <xf numFmtId="0" fontId="14" fillId="47" borderId="35" xfId="0" applyFont="1" applyFill="1" applyBorder="1"/>
    <xf numFmtId="0" fontId="14" fillId="57" borderId="35" xfId="0" applyFont="1" applyFill="1" applyBorder="1"/>
    <xf numFmtId="0" fontId="3" fillId="47" borderId="47" xfId="0" applyFont="1" applyFill="1" applyBorder="1"/>
    <xf numFmtId="0" fontId="14" fillId="60" borderId="35" xfId="0" applyFont="1" applyFill="1" applyBorder="1"/>
    <xf numFmtId="0" fontId="12" fillId="25" borderId="35" xfId="0" applyFont="1" applyFill="1" applyBorder="1"/>
    <xf numFmtId="0" fontId="11" fillId="3" borderId="35" xfId="0" applyFont="1" applyFill="1" applyBorder="1" applyAlignment="1">
      <alignment horizontal="center"/>
    </xf>
    <xf numFmtId="0" fontId="3" fillId="27" borderId="46" xfId="0" applyFont="1" applyFill="1" applyBorder="1" applyAlignment="1">
      <alignment horizontal="center"/>
    </xf>
    <xf numFmtId="0" fontId="5" fillId="0" borderId="28" xfId="0" applyFont="1" applyBorder="1"/>
    <xf numFmtId="0" fontId="5" fillId="0" borderId="34" xfId="0" applyFont="1" applyBorder="1"/>
    <xf numFmtId="0" fontId="6" fillId="41" borderId="35" xfId="0" applyFont="1" applyFill="1" applyBorder="1"/>
    <xf numFmtId="0" fontId="4" fillId="46" borderId="35" xfId="0" applyFont="1" applyFill="1" applyBorder="1"/>
    <xf numFmtId="0" fontId="6" fillId="34" borderId="35" xfId="0" applyFont="1" applyFill="1" applyBorder="1"/>
    <xf numFmtId="0" fontId="3" fillId="55" borderId="47" xfId="0" applyFont="1" applyFill="1" applyBorder="1"/>
    <xf numFmtId="0" fontId="3" fillId="13" borderId="47" xfId="0" applyFont="1" applyFill="1" applyBorder="1" applyAlignment="1">
      <alignment horizontal="center"/>
    </xf>
    <xf numFmtId="0" fontId="13" fillId="51" borderId="35" xfId="0" applyFont="1" applyFill="1" applyBorder="1"/>
    <xf numFmtId="0" fontId="12" fillId="16" borderId="49" xfId="0" applyFont="1" applyFill="1" applyBorder="1" applyAlignment="1">
      <alignment horizontal="center" wrapText="1"/>
    </xf>
    <xf numFmtId="0" fontId="3" fillId="27" borderId="13" xfId="0" applyFont="1" applyFill="1" applyBorder="1" applyAlignment="1">
      <alignment horizontal="center"/>
    </xf>
    <xf numFmtId="0" fontId="3" fillId="27" borderId="35" xfId="0" applyFont="1" applyFill="1" applyBorder="1" applyAlignment="1">
      <alignment horizontal="center"/>
    </xf>
    <xf numFmtId="0" fontId="5" fillId="0" borderId="33" xfId="0" applyFont="1" applyBorder="1"/>
    <xf numFmtId="0" fontId="3" fillId="27" borderId="24" xfId="0" applyFont="1" applyFill="1" applyBorder="1" applyAlignment="1">
      <alignment horizontal="center"/>
    </xf>
    <xf numFmtId="0" fontId="3" fillId="27" borderId="25" xfId="0" applyFont="1" applyFill="1" applyBorder="1" applyAlignment="1">
      <alignment horizontal="center"/>
    </xf>
    <xf numFmtId="0" fontId="5" fillId="0" borderId="26" xfId="0" applyFont="1" applyBorder="1"/>
    <xf numFmtId="0" fontId="3" fillId="27" borderId="27" xfId="0" applyFont="1" applyFill="1" applyBorder="1" applyAlignment="1">
      <alignment horizontal="center"/>
    </xf>
    <xf numFmtId="0" fontId="5" fillId="0" borderId="29" xfId="0" applyFont="1" applyBorder="1"/>
    <xf numFmtId="0" fontId="5" fillId="0" borderId="31" xfId="0" applyFont="1" applyBorder="1"/>
    <xf numFmtId="0" fontId="5" fillId="0" borderId="45" xfId="0" applyFont="1" applyBorder="1"/>
    <xf numFmtId="0" fontId="3" fillId="6" borderId="13" xfId="0" applyFont="1" applyFill="1" applyBorder="1" applyAlignment="1">
      <alignment horizontal="center"/>
    </xf>
    <xf numFmtId="0" fontId="10" fillId="27" borderId="32" xfId="0" applyFont="1" applyFill="1" applyBorder="1" applyAlignment="1">
      <alignment horizontal="center" vertical="center"/>
    </xf>
    <xf numFmtId="0" fontId="3" fillId="27" borderId="32" xfId="0" applyFont="1" applyFill="1" applyBorder="1" applyAlignment="1">
      <alignment horizontal="center"/>
    </xf>
    <xf numFmtId="0" fontId="5" fillId="0" borderId="38" xfId="0" applyFont="1" applyBorder="1"/>
    <xf numFmtId="0" fontId="5" fillId="0" borderId="39" xfId="0" applyFont="1" applyBorder="1"/>
    <xf numFmtId="0" fontId="3" fillId="27" borderId="40" xfId="0" applyFont="1" applyFill="1" applyBorder="1" applyAlignment="1">
      <alignment horizontal="center"/>
    </xf>
    <xf numFmtId="0" fontId="5" fillId="0" borderId="41" xfId="0" applyFont="1" applyBorder="1"/>
    <xf numFmtId="0" fontId="5" fillId="0" borderId="42" xfId="0" applyFont="1" applyBorder="1"/>
    <xf numFmtId="0" fontId="0" fillId="0" borderId="60" xfId="0" applyNumberFormat="1" applyBorder="1"/>
    <xf numFmtId="0" fontId="0" fillId="0" borderId="61" xfId="0" applyNumberFormat="1" applyBorder="1"/>
    <xf numFmtId="0" fontId="0" fillId="0" borderId="62" xfId="0" applyNumberFormat="1" applyBorder="1"/>
    <xf numFmtId="0" fontId="0" fillId="0" borderId="50" xfId="0" applyNumberFormat="1" applyBorder="1"/>
    <xf numFmtId="0" fontId="0" fillId="0" borderId="53" xfId="0" applyNumberFormat="1" applyBorder="1"/>
    <xf numFmtId="0" fontId="0" fillId="0" borderId="55" xfId="0" applyNumberFormat="1" applyBorder="1"/>
    <xf numFmtId="0" fontId="0" fillId="0" borderId="56" xfId="0" applyNumberFormat="1" applyBorder="1"/>
    <xf numFmtId="0" fontId="0" fillId="0" borderId="57" xfId="0" applyNumberFormat="1" applyBorder="1"/>
    <xf numFmtId="0" fontId="0" fillId="0" borderId="59" xfId="0" applyNumberFormat="1" applyBorder="1"/>
    <xf numFmtId="3" fontId="0" fillId="0" borderId="0" xfId="0" applyNumberFormat="1"/>
    <xf numFmtId="3" fontId="1" fillId="0" borderId="63" xfId="0" applyNumberFormat="1" applyFont="1" applyBorder="1" applyAlignment="1">
      <alignment horizontal="right" wrapText="1"/>
    </xf>
    <xf numFmtId="0" fontId="0" fillId="88" borderId="0" xfId="0" applyFill="1"/>
    <xf numFmtId="0" fontId="0" fillId="89" borderId="0" xfId="0" applyFill="1"/>
    <xf numFmtId="0" fontId="9" fillId="89" borderId="0" xfId="0" applyFont="1" applyFill="1"/>
    <xf numFmtId="0" fontId="35" fillId="89" borderId="0" xfId="0" applyFont="1" applyFill="1"/>
    <xf numFmtId="0" fontId="36" fillId="89" borderId="0" xfId="0" applyFont="1" applyFill="1"/>
    <xf numFmtId="0" fontId="12" fillId="75" borderId="49" xfId="0" applyFont="1" applyFill="1" applyBorder="1" applyAlignment="1">
      <alignment horizontal="center"/>
    </xf>
    <xf numFmtId="0" fontId="12" fillId="36" borderId="49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/>
    <xf numFmtId="0" fontId="35" fillId="90" borderId="0" xfId="0" applyFont="1" applyFill="1"/>
    <xf numFmtId="0" fontId="35" fillId="0" borderId="0" xfId="0" applyFont="1"/>
    <xf numFmtId="0" fontId="22" fillId="11" borderId="49" xfId="0" applyFont="1" applyFill="1" applyBorder="1" applyAlignment="1">
      <alignment horizontal="center"/>
    </xf>
    <xf numFmtId="0" fontId="22" fillId="54" borderId="49" xfId="0" applyFont="1" applyFill="1" applyBorder="1" applyAlignment="1">
      <alignment horizontal="center"/>
    </xf>
    <xf numFmtId="0" fontId="22" fillId="56" borderId="49" xfId="0" applyFont="1" applyFill="1" applyBorder="1" applyAlignment="1">
      <alignment horizontal="center"/>
    </xf>
    <xf numFmtId="0" fontId="22" fillId="67" borderId="49" xfId="0" applyFont="1" applyFill="1" applyBorder="1" applyAlignment="1">
      <alignment horizontal="center"/>
    </xf>
    <xf numFmtId="0" fontId="34" fillId="42" borderId="49" xfId="0" applyFont="1" applyFill="1" applyBorder="1" applyAlignment="1">
      <alignment horizontal="center"/>
    </xf>
    <xf numFmtId="0" fontId="25" fillId="71" borderId="49" xfId="0" applyFont="1" applyFill="1" applyBorder="1" applyAlignment="1">
      <alignment horizontal="center"/>
    </xf>
    <xf numFmtId="0" fontId="1" fillId="34" borderId="0" xfId="0" applyFont="1" applyFill="1"/>
    <xf numFmtId="0" fontId="0" fillId="91" borderId="0" xfId="0" applyFill="1"/>
    <xf numFmtId="0" fontId="9" fillId="91" borderId="0" xfId="0" applyFont="1" applyFill="1"/>
    <xf numFmtId="0" fontId="0" fillId="92" borderId="0" xfId="0" applyFill="1"/>
    <xf numFmtId="0" fontId="28" fillId="89" borderId="0" xfId="0" applyFont="1" applyFill="1"/>
    <xf numFmtId="0" fontId="29" fillId="89" borderId="0" xfId="0" applyFont="1" applyFill="1"/>
    <xf numFmtId="0" fontId="32" fillId="89" borderId="0" xfId="0" applyFont="1" applyFill="1"/>
    <xf numFmtId="0" fontId="37" fillId="89" borderId="0" xfId="0" applyFont="1" applyFill="1"/>
    <xf numFmtId="0" fontId="33" fillId="89" borderId="0" xfId="0" applyFont="1" applyFill="1"/>
    <xf numFmtId="0" fontId="35" fillId="77" borderId="0" xfId="0" applyFont="1" applyFill="1"/>
    <xf numFmtId="0" fontId="35" fillId="0" borderId="0" xfId="0" applyFont="1"/>
    <xf numFmtId="0" fontId="38" fillId="89" borderId="0" xfId="0" applyFont="1" applyFill="1"/>
    <xf numFmtId="173" fontId="38" fillId="89" borderId="0" xfId="0" applyNumberFormat="1" applyFont="1" applyFill="1"/>
    <xf numFmtId="0" fontId="39" fillId="0" borderId="0" xfId="0" applyFont="1"/>
    <xf numFmtId="0" fontId="19" fillId="63" borderId="49" xfId="0" applyFont="1" applyFill="1" applyBorder="1" applyAlignment="1">
      <alignment horizontal="center"/>
    </xf>
    <xf numFmtId="0" fontId="25" fillId="54" borderId="49" xfId="0" applyFont="1" applyFill="1" applyBorder="1" applyAlignment="1">
      <alignment horizontal="center"/>
    </xf>
    <xf numFmtId="0" fontId="25" fillId="71" borderId="49" xfId="0" applyFont="1" applyFill="1" applyBorder="1" applyAlignment="1">
      <alignment horizontal="center"/>
    </xf>
    <xf numFmtId="0" fontId="9" fillId="65" borderId="0" xfId="0" applyFont="1" applyFill="1" applyAlignment="1">
      <alignment horizontal="center"/>
    </xf>
    <xf numFmtId="0" fontId="9" fillId="80" borderId="0" xfId="0" applyFont="1" applyFill="1" applyAlignment="1">
      <alignment horizontal="center"/>
    </xf>
    <xf numFmtId="0" fontId="9" fillId="37" borderId="0" xfId="0" applyFont="1" applyFill="1" applyAlignment="1">
      <alignment horizontal="center"/>
    </xf>
    <xf numFmtId="0" fontId="9" fillId="79" borderId="0" xfId="0" applyFont="1" applyFill="1" applyAlignment="1">
      <alignment horizontal="center"/>
    </xf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9"/>
          <bgColor theme="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7"/>
        <color theme="1"/>
        <name val="Calibri"/>
        <scheme val="minor"/>
      </font>
      <fill>
        <patternFill patternType="solid">
          <fgColor rgb="FF674EA7"/>
          <bgColor rgb="FF674EA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6FA8DC"/>
          <bgColor rgb="FF6FA8D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93C47D"/>
          <bgColor rgb="FF93C47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00FF00"/>
          <bgColor rgb="FF00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C27BA0"/>
          <bgColor rgb="FFC27BA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D966"/>
          <bgColor rgb="FFFFD96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C27BA0"/>
          <bgColor rgb="FFC27BA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B4A7D6"/>
          <bgColor rgb="FFB4A7D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A4C2F4"/>
          <bgColor rgb="FFA4C2F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CER" refreshedDate="45602.079211111108" refreshedVersion="8" recordCount="14" xr:uid="{00000000-000A-0000-FFFF-FFFF00000000}">
  <cacheSource type="worksheet">
    <worksheetSource ref="C246:F260" sheet="Excercise 6"/>
  </cacheSource>
  <cacheFields count="4">
    <cacheField name="Last Name " numFmtId="0">
      <sharedItems count="5">
        <s v="smith"/>
        <s v="johnson"/>
        <s v="williams"/>
        <s v="jones"/>
        <s v="brown"/>
      </sharedItems>
    </cacheField>
    <cacheField name="Sales" numFmtId="165">
      <sharedItems containsSemiMixedTypes="0" containsString="0" containsNumber="1" containsInteger="1" minValue="1390" maxValue="19302"/>
    </cacheField>
    <cacheField name="country" numFmtId="0">
      <sharedItems count="3">
        <s v="UK"/>
        <s v="USA"/>
        <s v="USA "/>
      </sharedItems>
    </cacheField>
    <cacheField name="Quarter" numFmtId="0">
      <sharedItems count="4">
        <s v="Qtr 3"/>
        <s v="Qtr 4"/>
        <s v="Qtr 2"/>
        <s v="Qtr 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CER" refreshedDate="45602.079212152777" refreshedVersion="8" recordCount="36" xr:uid="{00000000-000A-0000-FFFF-FFFF01000000}">
  <cacheSource type="worksheet">
    <worksheetSource ref="C266:G302" sheet="Excercise 6"/>
  </cacheSource>
  <cacheFields count="5">
    <cacheField name="Season " numFmtId="0">
      <sharedItems count="2">
        <s v="Fall"/>
        <s v="Spring"/>
      </sharedItems>
    </cacheField>
    <cacheField name="Year" numFmtId="0">
      <sharedItems containsSemiMixedTypes="0" containsString="0" containsNumber="1" containsInteger="1" minValue="1998" maxValue="1998"/>
    </cacheField>
    <cacheField name="Type" numFmtId="0">
      <sharedItems count="7">
        <s v="Amber Ale"/>
        <s v="Hefeweizen"/>
        <s v="Pale Ale"/>
        <s v="Pilsner"/>
        <s v="Porter"/>
        <s v="stout"/>
        <s v="plisner"/>
      </sharedItems>
    </cacheField>
    <cacheField name="State" numFmtId="0">
      <sharedItems count="3">
        <s v="Califonia"/>
        <s v="Oregon"/>
        <s v="Washington"/>
      </sharedItems>
    </cacheField>
    <cacheField name="Sales $" numFmtId="165">
      <sharedItems containsSemiMixedTypes="0" containsString="0" containsNumber="1" containsInteger="1" minValue="150000" maxValue="6087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n v="16753"/>
    <x v="0"/>
    <x v="0"/>
  </r>
  <r>
    <x v="1"/>
    <n v="14808"/>
    <x v="1"/>
    <x v="1"/>
  </r>
  <r>
    <x v="2"/>
    <n v="10644"/>
    <x v="0"/>
    <x v="2"/>
  </r>
  <r>
    <x v="3"/>
    <n v="1390"/>
    <x v="1"/>
    <x v="0"/>
  </r>
  <r>
    <x v="4"/>
    <n v="4865"/>
    <x v="1"/>
    <x v="1"/>
  </r>
  <r>
    <x v="2"/>
    <n v="12438"/>
    <x v="0"/>
    <x v="3"/>
  </r>
  <r>
    <x v="1"/>
    <n v="9339"/>
    <x v="0"/>
    <x v="2"/>
  </r>
  <r>
    <x v="0"/>
    <n v="18919"/>
    <x v="1"/>
    <x v="0"/>
  </r>
  <r>
    <x v="3"/>
    <n v="9213"/>
    <x v="1"/>
    <x v="1"/>
  </r>
  <r>
    <x v="3"/>
    <n v="7433"/>
    <x v="0"/>
    <x v="3"/>
  </r>
  <r>
    <x v="4"/>
    <n v="3255"/>
    <x v="1"/>
    <x v="2"/>
  </r>
  <r>
    <x v="2"/>
    <n v="14867"/>
    <x v="2"/>
    <x v="0"/>
  </r>
  <r>
    <x v="2"/>
    <n v="19302"/>
    <x v="0"/>
    <x v="1"/>
  </r>
  <r>
    <x v="0"/>
    <n v="9698"/>
    <x v="1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n v="1998"/>
    <x v="0"/>
    <x v="0"/>
    <n v="554536"/>
  </r>
  <r>
    <x v="0"/>
    <n v="1998"/>
    <x v="1"/>
    <x v="0"/>
    <n v="540643"/>
  </r>
  <r>
    <x v="0"/>
    <n v="1998"/>
    <x v="2"/>
    <x v="0"/>
    <n v="577548"/>
  </r>
  <r>
    <x v="0"/>
    <n v="1998"/>
    <x v="3"/>
    <x v="0"/>
    <n v="455905"/>
  </r>
  <r>
    <x v="0"/>
    <n v="1998"/>
    <x v="4"/>
    <x v="0"/>
    <n v="490871"/>
  </r>
  <r>
    <x v="0"/>
    <n v="1998"/>
    <x v="5"/>
    <x v="0"/>
    <n v="446383"/>
  </r>
  <r>
    <x v="0"/>
    <n v="1998"/>
    <x v="0"/>
    <x v="1"/>
    <n v="457726"/>
  </r>
  <r>
    <x v="0"/>
    <n v="1998"/>
    <x v="1"/>
    <x v="1"/>
    <n v="347696"/>
  </r>
  <r>
    <x v="0"/>
    <n v="1998"/>
    <x v="2"/>
    <x v="1"/>
    <n v="384541"/>
  </r>
  <r>
    <x v="0"/>
    <n v="1998"/>
    <x v="6"/>
    <x v="1"/>
    <n v="386420"/>
  </r>
  <r>
    <x v="0"/>
    <n v="1998"/>
    <x v="4"/>
    <x v="1"/>
    <n v="370970"/>
  </r>
  <r>
    <x v="0"/>
    <n v="1998"/>
    <x v="5"/>
    <x v="2"/>
    <n v="430754"/>
  </r>
  <r>
    <x v="0"/>
    <n v="1998"/>
    <x v="0"/>
    <x v="2"/>
    <n v="500847"/>
  </r>
  <r>
    <x v="0"/>
    <n v="1998"/>
    <x v="1"/>
    <x v="2"/>
    <n v="507070"/>
  </r>
  <r>
    <x v="0"/>
    <n v="1998"/>
    <x v="2"/>
    <x v="2"/>
    <n v="482346"/>
  </r>
  <r>
    <x v="0"/>
    <n v="1998"/>
    <x v="3"/>
    <x v="2"/>
    <n v="608713"/>
  </r>
  <r>
    <x v="0"/>
    <n v="1998"/>
    <x v="4"/>
    <x v="2"/>
    <n v="150000"/>
  </r>
  <r>
    <x v="0"/>
    <n v="1998"/>
    <x v="5"/>
    <x v="0"/>
    <n v="500649"/>
  </r>
  <r>
    <x v="1"/>
    <n v="1998"/>
    <x v="0"/>
    <x v="0"/>
    <n v="545780"/>
  </r>
  <r>
    <x v="1"/>
    <n v="1998"/>
    <x v="1"/>
    <x v="0"/>
    <n v="440644"/>
  </r>
  <r>
    <x v="1"/>
    <n v="1998"/>
    <x v="2"/>
    <x v="0"/>
    <n v="580359"/>
  </r>
  <r>
    <x v="1"/>
    <n v="1998"/>
    <x v="3"/>
    <x v="0"/>
    <n v="536225"/>
  </r>
  <r>
    <x v="1"/>
    <n v="1998"/>
    <x v="4"/>
    <x v="0"/>
    <n v="414908"/>
  </r>
  <r>
    <x v="1"/>
    <n v="1998"/>
    <x v="5"/>
    <x v="1"/>
    <n v="377997"/>
  </r>
  <r>
    <x v="1"/>
    <n v="1998"/>
    <x v="0"/>
    <x v="1"/>
    <n v="331289"/>
  </r>
  <r>
    <x v="1"/>
    <n v="1998"/>
    <x v="1"/>
    <x v="1"/>
    <n v="384572"/>
  </r>
  <r>
    <x v="1"/>
    <n v="1998"/>
    <x v="2"/>
    <x v="1"/>
    <n v="365813"/>
  </r>
  <r>
    <x v="1"/>
    <n v="1998"/>
    <x v="3"/>
    <x v="1"/>
    <n v="396338"/>
  </r>
  <r>
    <x v="1"/>
    <n v="1998"/>
    <x v="4"/>
    <x v="1"/>
    <n v="453761"/>
  </r>
  <r>
    <x v="1"/>
    <n v="1998"/>
    <x v="5"/>
    <x v="2"/>
    <n v="356538"/>
  </r>
  <r>
    <x v="1"/>
    <n v="1998"/>
    <x v="0"/>
    <x v="2"/>
    <n v="606332"/>
  </r>
  <r>
    <x v="1"/>
    <n v="1998"/>
    <x v="1"/>
    <x v="2"/>
    <n v="535218"/>
  </r>
  <r>
    <x v="1"/>
    <n v="1998"/>
    <x v="2"/>
    <x v="2"/>
    <n v="493364"/>
  </r>
  <r>
    <x v="1"/>
    <n v="1998"/>
    <x v="3"/>
    <x v="2"/>
    <n v="559100"/>
  </r>
  <r>
    <x v="1"/>
    <n v="1998"/>
    <x v="4"/>
    <x v="2"/>
    <n v="220350"/>
  </r>
  <r>
    <x v="1"/>
    <n v="1998"/>
    <x v="5"/>
    <x v="2"/>
    <n v="4769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ASS 13" cacheId="7" applyNumberFormats="0" applyBorderFormats="0" applyFontFormats="0" applyPatternFormats="0" applyAlignmentFormats="0" applyWidthHeightFormats="0" dataCaption="" updatedVersion="8" compact="0" compactData="0">
  <location ref="A3:D30" firstHeaderRow="1" firstDataRow="1" firstDataCol="3"/>
  <pivotFields count="4">
    <pivotField name="Last Name " axis="axisRow" compact="0" outline="0" multipleItemSelectionAllowed="1" showAll="0" sortType="ascending">
      <items count="6">
        <item x="4"/>
        <item x="1"/>
        <item x="3"/>
        <item x="0"/>
        <item x="2"/>
        <item t="default"/>
      </items>
    </pivotField>
    <pivotField name="Sales" dataField="1" compact="0" numFmtId="165" outline="0" multipleItemSelectionAllowed="1" showAll="0"/>
    <pivotField name="country" axis="axisRow" compact="0" outline="0" multipleItemSelectionAllowed="1" showAll="0" sortType="ascending">
      <items count="4">
        <item x="0"/>
        <item x="1"/>
        <item x="2"/>
        <item t="default"/>
      </items>
    </pivotField>
    <pivotField name="Quarter" axis="axisRow" compact="0" outline="0" multipleItemSelectionAllowed="1" showAll="0" sortType="ascending">
      <items count="5">
        <item x="3"/>
        <item x="2"/>
        <item x="0"/>
        <item x="1"/>
        <item t="default"/>
      </items>
    </pivotField>
  </pivotFields>
  <rowFields count="3">
    <field x="2"/>
    <field x="0"/>
    <field x="3"/>
  </rowFields>
  <rowItems count="27">
    <i>
      <x/>
      <x v="1"/>
      <x v="1"/>
    </i>
    <i t="default" r="1">
      <x v="1"/>
    </i>
    <i r="1">
      <x v="2"/>
      <x/>
    </i>
    <i t="default" r="1">
      <x v="2"/>
    </i>
    <i r="1">
      <x v="3"/>
      <x v="2"/>
    </i>
    <i t="default" r="1">
      <x v="3"/>
    </i>
    <i r="1">
      <x v="4"/>
      <x/>
    </i>
    <i r="2">
      <x v="1"/>
    </i>
    <i r="2">
      <x v="3"/>
    </i>
    <i t="default" r="1">
      <x v="4"/>
    </i>
    <i t="default">
      <x/>
    </i>
    <i>
      <x v="1"/>
      <x/>
      <x v="1"/>
    </i>
    <i r="2">
      <x v="3"/>
    </i>
    <i t="default" r="1">
      <x/>
    </i>
    <i r="1">
      <x v="1"/>
      <x v="3"/>
    </i>
    <i t="default" r="1">
      <x v="1"/>
    </i>
    <i r="1">
      <x v="2"/>
      <x v="2"/>
    </i>
    <i r="2">
      <x v="3"/>
    </i>
    <i t="default" r="1">
      <x v="2"/>
    </i>
    <i r="1">
      <x v="3"/>
      <x/>
    </i>
    <i r="2">
      <x v="2"/>
    </i>
    <i t="default" r="1">
      <x v="3"/>
    </i>
    <i t="default">
      <x v="1"/>
    </i>
    <i>
      <x v="2"/>
      <x v="4"/>
      <x v="2"/>
    </i>
    <i t="default" r="1">
      <x v="4"/>
    </i>
    <i t="default">
      <x v="2"/>
    </i>
    <i t="grand">
      <x/>
    </i>
  </rowItems>
  <colItems count="1">
    <i/>
  </colItems>
  <dataFields count="1">
    <dataField name="Sum of Sales" fld="1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1000000}" name="Sheet4" cacheId="13" applyNumberFormats="0" applyBorderFormats="0" applyFontFormats="0" applyPatternFormats="0" applyAlignmentFormats="0" applyWidthHeightFormats="0" dataCaption="" updatedVersion="8" compact="0" compactData="0">
  <location ref="A3:E54" firstHeaderRow="1" firstDataRow="2" firstDataCol="3"/>
  <pivotFields count="5">
    <pivotField name="Season " axis="axisRow" compact="0" outline="0" multipleItemSelectionAllowed="1" showAll="0" sortType="ascending">
      <items count="3">
        <item x="0"/>
        <item x="1"/>
        <item t="default"/>
      </items>
    </pivotField>
    <pivotField name="Year" dataField="1" compact="0" outline="0" multipleItemSelectionAllowed="1" showAll="0"/>
    <pivotField name="Type" axis="axisRow" compact="0" outline="0" multipleItemSelectionAllowed="1" showAll="0" sortType="ascending">
      <items count="8">
        <item x="0"/>
        <item x="1"/>
        <item x="2"/>
        <item x="3"/>
        <item x="6"/>
        <item x="4"/>
        <item x="5"/>
        <item t="default"/>
      </items>
    </pivotField>
    <pivotField name="State" axis="axisRow" compact="0" outline="0" multipleItemSelectionAllowed="1" showAll="0" sortType="ascending">
      <items count="4">
        <item x="0"/>
        <item x="1"/>
        <item x="2"/>
        <item t="default"/>
      </items>
    </pivotField>
    <pivotField name="Sales $" dataField="1" compact="0" numFmtId="165" outline="0" multipleItemSelectionAllowed="1" showAll="0"/>
  </pivotFields>
  <rowFields count="3">
    <field x="0"/>
    <field x="2"/>
    <field x="3"/>
  </rowFields>
  <rowItems count="50">
    <i>
      <x/>
      <x/>
      <x/>
    </i>
    <i r="2">
      <x v="1"/>
    </i>
    <i r="2">
      <x v="2"/>
    </i>
    <i t="default" r="1">
      <x/>
    </i>
    <i r="1">
      <x v="1"/>
      <x/>
    </i>
    <i r="2">
      <x v="1"/>
    </i>
    <i r="2">
      <x v="2"/>
    </i>
    <i t="default" r="1">
      <x v="1"/>
    </i>
    <i r="1">
      <x v="2"/>
      <x/>
    </i>
    <i r="2">
      <x v="1"/>
    </i>
    <i r="2">
      <x v="2"/>
    </i>
    <i t="default" r="1">
      <x v="2"/>
    </i>
    <i r="1">
      <x v="3"/>
      <x/>
    </i>
    <i r="2">
      <x v="2"/>
    </i>
    <i t="default" r="1">
      <x v="3"/>
    </i>
    <i r="1">
      <x v="4"/>
      <x v="1"/>
    </i>
    <i t="default" r="1">
      <x v="4"/>
    </i>
    <i r="1">
      <x v="5"/>
      <x/>
    </i>
    <i r="2">
      <x v="1"/>
    </i>
    <i r="2">
      <x v="2"/>
    </i>
    <i t="default" r="1">
      <x v="5"/>
    </i>
    <i r="1">
      <x v="6"/>
      <x/>
    </i>
    <i r="2">
      <x v="2"/>
    </i>
    <i t="default" r="1">
      <x v="6"/>
    </i>
    <i t="default">
      <x/>
    </i>
    <i>
      <x v="1"/>
      <x/>
      <x/>
    </i>
    <i r="2">
      <x v="1"/>
    </i>
    <i r="2">
      <x v="2"/>
    </i>
    <i t="default" r="1">
      <x/>
    </i>
    <i r="1">
      <x v="1"/>
      <x/>
    </i>
    <i r="2">
      <x v="1"/>
    </i>
    <i r="2">
      <x v="2"/>
    </i>
    <i t="default" r="1">
      <x v="1"/>
    </i>
    <i r="1">
      <x v="2"/>
      <x/>
    </i>
    <i r="2">
      <x v="1"/>
    </i>
    <i r="2">
      <x v="2"/>
    </i>
    <i t="default" r="1">
      <x v="2"/>
    </i>
    <i r="1">
      <x v="3"/>
      <x/>
    </i>
    <i r="2">
      <x v="1"/>
    </i>
    <i r="2">
      <x v="2"/>
    </i>
    <i t="default" r="1">
      <x v="3"/>
    </i>
    <i r="1">
      <x v="5"/>
      <x/>
    </i>
    <i r="2">
      <x v="1"/>
    </i>
    <i r="2">
      <x v="2"/>
    </i>
    <i t="default" r="1">
      <x v="5"/>
    </i>
    <i r="1">
      <x v="6"/>
      <x v="1"/>
    </i>
    <i r="2">
      <x v="2"/>
    </i>
    <i t="default" r="1">
      <x v="6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Year" fld="1" baseField="0"/>
    <dataField name="Sum of Sales $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41E7CD-0139-4055-A675-FF34BD7EF999}" name="Table1" displayName="Table1" ref="A1054:L1069" totalsRowShown="0" headerRowDxfId="15">
  <autoFilter ref="A1054:L1069" xr:uid="{C441E7CD-0139-4055-A675-FF34BD7EF999}"/>
  <tableColumns count="12">
    <tableColumn id="1" xr3:uid="{5D8A714D-AE4E-4CFA-BEFB-BD2600B6BA43}" name="Column1" dataDxfId="24"/>
    <tableColumn id="2" xr3:uid="{1FD346DD-55E1-4926-AE99-7AF344D966BA}" name="Column2" dataDxfId="23"/>
    <tableColumn id="3" xr3:uid="{3C4E4B94-9F4C-4A3E-A2E6-BC9B00A11647}" name="Column3" dataDxfId="22"/>
    <tableColumn id="4" xr3:uid="{2B77CE72-8318-4E31-8560-E3FB05ED78EC}" name="Column4" dataDxfId="21"/>
    <tableColumn id="5" xr3:uid="{73514A3D-50B1-4F97-BA2A-FB3D173E9872}" name="Column5" dataDxfId="20"/>
    <tableColumn id="6" xr3:uid="{73652899-8728-435E-B617-4FA142482568}" name="Column6" dataDxfId="19"/>
    <tableColumn id="7" xr3:uid="{3D53D502-8EBB-44C9-9699-0F543EFA42E7}" name="Column7" dataDxfId="18"/>
    <tableColumn id="8" xr3:uid="{455FC836-77D6-4BE9-BF80-3A4A1F0C96E4}" name="Column8" dataDxfId="17"/>
    <tableColumn id="9" xr3:uid="{DA751FBC-71D6-4BCD-BA1B-6E48FE26C670}" name="Column9" dataDxfId="16"/>
    <tableColumn id="10" xr3:uid="{934F37A1-F386-4148-A7D9-06F82BC8B15E}" name="Column10"/>
    <tableColumn id="11" xr3:uid="{D46C3081-7858-4C5B-A1F2-90AF531BD52C}" name="Column11"/>
    <tableColumn id="12" xr3:uid="{E273CD2D-A44E-44DD-B4C1-3F1EA3EE3591}" name="Column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000"/>
  <sheetViews>
    <sheetView workbookViewId="0"/>
  </sheetViews>
  <sheetFormatPr defaultColWidth="14.42578125" defaultRowHeight="15" customHeight="1"/>
  <cols>
    <col min="1" max="2" width="8.7109375" customWidth="1"/>
    <col min="3" max="3" width="10.28515625" customWidth="1"/>
    <col min="4" max="4" width="22" customWidth="1"/>
    <col min="5" max="5" width="12.7109375" customWidth="1"/>
    <col min="6" max="6" width="12" customWidth="1"/>
    <col min="7" max="14" width="8.7109375" customWidth="1"/>
    <col min="15" max="15" width="54.42578125" customWidth="1"/>
  </cols>
  <sheetData>
    <row r="1" spans="2:15" ht="14.25" customHeight="1"/>
    <row r="2" spans="2:15" ht="14.25" customHeight="1"/>
    <row r="3" spans="2:15" ht="14.25" customHeight="1">
      <c r="B3" s="1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I3" s="1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O3" s="1" t="s">
        <v>5</v>
      </c>
    </row>
    <row r="4" spans="2:15" ht="14.25" customHeight="1">
      <c r="B4" s="1">
        <v>1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I4" s="1">
        <v>20</v>
      </c>
      <c r="J4" s="1" t="s">
        <v>7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</row>
    <row r="5" spans="2:15" ht="14.25" customHeight="1">
      <c r="B5" s="1">
        <v>2</v>
      </c>
      <c r="C5" s="3">
        <v>43835</v>
      </c>
      <c r="D5" s="4" t="s">
        <v>16</v>
      </c>
      <c r="E5" s="4" t="s">
        <v>17</v>
      </c>
      <c r="F5" s="4" t="s">
        <v>18</v>
      </c>
      <c r="G5" s="4">
        <v>7</v>
      </c>
      <c r="I5" s="1">
        <v>21</v>
      </c>
      <c r="J5" s="4" t="s">
        <v>16</v>
      </c>
      <c r="K5" s="4">
        <f>COUNTIF(D5:D16, "SHAVING")</f>
        <v>7</v>
      </c>
      <c r="L5" s="4">
        <f>SUMIF(D5:D16, "SHAVING", G5:G16)</f>
        <v>59</v>
      </c>
      <c r="M5" s="4">
        <f>COUNTIFS(F5:F16,"CASH",D5:D16, "SHAVING")</f>
        <v>4</v>
      </c>
      <c r="N5" s="4">
        <f>COUNTIFS(F5:F16, "CREDIT CARD", D5:D16, "SHAVING")</f>
        <v>3</v>
      </c>
      <c r="O5" s="4">
        <f>SUMIFS(G5:G16, F5:F16,"CASH",D5:D16,"SHAVING")</f>
        <v>28</v>
      </c>
    </row>
    <row r="6" spans="2:15" ht="14.25" customHeight="1">
      <c r="B6" s="1">
        <v>3</v>
      </c>
      <c r="C6" s="3">
        <v>43835</v>
      </c>
      <c r="D6" s="4" t="s">
        <v>16</v>
      </c>
      <c r="E6" s="4" t="s">
        <v>19</v>
      </c>
      <c r="F6" s="4" t="s">
        <v>20</v>
      </c>
      <c r="G6" s="4">
        <v>7</v>
      </c>
      <c r="I6" s="1">
        <v>22</v>
      </c>
      <c r="J6" s="5" t="s">
        <v>21</v>
      </c>
      <c r="K6" s="4">
        <f>COUNTIF(D5:D16, "WASHING AND COMBING")</f>
        <v>1</v>
      </c>
      <c r="L6" s="4">
        <f>SUMIF(D5:D16, "WASHING AND COMBING", G5:G16)</f>
        <v>60</v>
      </c>
      <c r="M6" s="4">
        <f>COUNTIFS(F5:F16,"CASH",D5:D16, "WASHING AND COMBING")</f>
        <v>1</v>
      </c>
      <c r="N6" s="4">
        <f>COUNTIFS(F5:F16, "CREDIT CARD", D5:D16, "WASHING AND COMBING")</f>
        <v>0</v>
      </c>
      <c r="O6" s="4">
        <f>SUMIFS(G5:G16, F5:F16,"CASH",D5:D16,"WASHING AND COMBING")</f>
        <v>60</v>
      </c>
    </row>
    <row r="7" spans="2:15" ht="14.25" customHeight="1">
      <c r="B7" s="1">
        <v>4</v>
      </c>
      <c r="C7" s="3">
        <v>43835</v>
      </c>
      <c r="D7" s="4" t="s">
        <v>16</v>
      </c>
      <c r="E7" s="4" t="s">
        <v>22</v>
      </c>
      <c r="F7" s="4" t="s">
        <v>18</v>
      </c>
      <c r="G7" s="4">
        <v>7</v>
      </c>
      <c r="I7" s="1">
        <v>23</v>
      </c>
      <c r="J7" s="4" t="s">
        <v>23</v>
      </c>
      <c r="K7" s="4">
        <f>COUNTIF(D5:D16, "DYEING")</f>
        <v>1</v>
      </c>
      <c r="L7" s="4">
        <f>SUMIF(D5:D16, "DYEING", G5:G16)</f>
        <v>33</v>
      </c>
      <c r="M7" s="4">
        <f>COUNTIFS(F5:F16,"CASH",D5:D16, "DYEING")</f>
        <v>0</v>
      </c>
      <c r="N7" s="4">
        <f>COUNTIFS(F5:F16, "CREDIT CARD", D5:D16, "DYEING")</f>
        <v>1</v>
      </c>
      <c r="O7" s="4">
        <f>SUMIFS(G5:G16, F5:F16,"CASH",D5:D16,"DYEING")</f>
        <v>0</v>
      </c>
    </row>
    <row r="8" spans="2:15" ht="14.25" customHeight="1">
      <c r="B8" s="1">
        <v>5</v>
      </c>
      <c r="C8" s="3">
        <v>43835</v>
      </c>
      <c r="D8" s="4" t="s">
        <v>21</v>
      </c>
      <c r="E8" s="4" t="s">
        <v>24</v>
      </c>
      <c r="F8" s="4" t="s">
        <v>18</v>
      </c>
      <c r="G8" s="4">
        <v>60</v>
      </c>
      <c r="I8" s="1">
        <v>24</v>
      </c>
      <c r="J8" s="5" t="s">
        <v>25</v>
      </c>
      <c r="K8" s="4">
        <f>COUNTIF(D5:D16, "MEETING HAIRSTYLE")</f>
        <v>1</v>
      </c>
      <c r="L8" s="4">
        <f>SUMIF(D5:D16, "MEETING HAIRSTYLE", G5:G16)</f>
        <v>33</v>
      </c>
      <c r="M8" s="4">
        <f>COUNTIFS(F5:F16,"CASH",D5:D16, "MEETING HAIRSTYLE")</f>
        <v>1</v>
      </c>
      <c r="N8" s="4">
        <f>COUNTIFS(F5:F16, "CREDIT CARD", D5:D16, "MEETING HAIRSTYLE")</f>
        <v>0</v>
      </c>
      <c r="O8" s="4">
        <f>SUMIFS(G5:G16, F5:F16,"CASH",D5:D16,"MEETING HAIRSTYLE")</f>
        <v>33</v>
      </c>
    </row>
    <row r="9" spans="2:15" ht="14.25" customHeight="1">
      <c r="B9" s="1">
        <v>6</v>
      </c>
      <c r="C9" s="3">
        <v>43835</v>
      </c>
      <c r="D9" s="4" t="s">
        <v>23</v>
      </c>
      <c r="E9" s="4" t="s">
        <v>24</v>
      </c>
      <c r="F9" s="4" t="s">
        <v>20</v>
      </c>
      <c r="G9" s="4">
        <v>33</v>
      </c>
    </row>
    <row r="10" spans="2:15" ht="14.25" customHeight="1">
      <c r="B10" s="1">
        <v>7</v>
      </c>
      <c r="C10" s="3">
        <v>43835</v>
      </c>
      <c r="D10" s="4" t="s">
        <v>26</v>
      </c>
      <c r="E10" s="4" t="s">
        <v>27</v>
      </c>
      <c r="F10" s="4" t="s">
        <v>18</v>
      </c>
      <c r="G10" s="4">
        <v>67</v>
      </c>
      <c r="I10" s="1">
        <v>28</v>
      </c>
      <c r="J10" s="6" t="s">
        <v>8</v>
      </c>
      <c r="K10" s="6" t="s">
        <v>11</v>
      </c>
      <c r="L10" s="6" t="s">
        <v>12</v>
      </c>
      <c r="M10" s="6" t="s">
        <v>28</v>
      </c>
      <c r="N10" s="6" t="s">
        <v>29</v>
      </c>
      <c r="O10" s="7" t="s">
        <v>30</v>
      </c>
    </row>
    <row r="11" spans="2:15" ht="14.25" customHeight="1">
      <c r="B11" s="1">
        <v>8</v>
      </c>
      <c r="C11" s="3">
        <v>43866</v>
      </c>
      <c r="D11" s="4" t="s">
        <v>25</v>
      </c>
      <c r="E11" s="4" t="s">
        <v>22</v>
      </c>
      <c r="F11" s="4" t="s">
        <v>18</v>
      </c>
      <c r="G11" s="4">
        <v>33</v>
      </c>
      <c r="I11" s="1">
        <v>29</v>
      </c>
      <c r="J11" s="4" t="s">
        <v>17</v>
      </c>
      <c r="K11" s="4">
        <f>COUNTIF(E5:E16, "JANE")</f>
        <v>1</v>
      </c>
      <c r="L11" s="4">
        <f>SUMIF(E5:E16, "JANE",G5:G16)</f>
        <v>7</v>
      </c>
      <c r="M11" s="4">
        <f>COUNTIFS(D5:D16, "SHAVING", E5:E16, "JANE")</f>
        <v>1</v>
      </c>
      <c r="N11" s="4">
        <f>COUNTIFS(D5:D16, "KIDS", E5:E16, "JANE")</f>
        <v>0</v>
      </c>
      <c r="O11" s="4">
        <f>SUMIFS(G5:G16,E5:E16,"JANE",D5:D16, "SHAVING")</f>
        <v>7</v>
      </c>
    </row>
    <row r="12" spans="2:15" ht="14.25" customHeight="1">
      <c r="B12" s="1">
        <v>9</v>
      </c>
      <c r="C12" s="3">
        <v>43866</v>
      </c>
      <c r="D12" s="4" t="s">
        <v>16</v>
      </c>
      <c r="E12" s="4" t="s">
        <v>31</v>
      </c>
      <c r="F12" s="4" t="s">
        <v>18</v>
      </c>
      <c r="G12" s="4">
        <v>7</v>
      </c>
      <c r="I12" s="1">
        <v>30</v>
      </c>
      <c r="J12" s="5" t="s">
        <v>19</v>
      </c>
      <c r="K12" s="4">
        <f>COUNTIF(E5:E16, "MARTHA")</f>
        <v>1</v>
      </c>
      <c r="L12" s="4">
        <f>SUMIF(E5:E16, "MARTHA",G5:G16)</f>
        <v>7</v>
      </c>
      <c r="M12" s="4">
        <f>COUNTIFS(D5:D16, "SHAVING", E5:E16, "MARTHA")</f>
        <v>1</v>
      </c>
      <c r="N12" s="4">
        <f>COUNTIFS(D5:D16, "KIDS", E5:E16, "MARTHA")</f>
        <v>0</v>
      </c>
      <c r="O12" s="4">
        <f>SUMIFS(G5:G16,E5:E16,"MARTHA",D5:D16, "SHAVING")</f>
        <v>7</v>
      </c>
    </row>
    <row r="13" spans="2:15" ht="14.25" customHeight="1">
      <c r="B13" s="1">
        <v>10</v>
      </c>
      <c r="C13" s="3">
        <v>43866</v>
      </c>
      <c r="D13" s="4" t="s">
        <v>16</v>
      </c>
      <c r="E13" s="4" t="s">
        <v>31</v>
      </c>
      <c r="F13" s="4" t="s">
        <v>20</v>
      </c>
      <c r="G13" s="4">
        <v>7</v>
      </c>
      <c r="I13" s="1">
        <v>31</v>
      </c>
      <c r="J13" s="4" t="s">
        <v>24</v>
      </c>
      <c r="K13" s="4">
        <f>COUNTIF(E5:E16, "ALEX")</f>
        <v>2</v>
      </c>
      <c r="L13" s="4">
        <f>SUMIF(E5:E16, "ALEX",G5:G16)</f>
        <v>93</v>
      </c>
      <c r="M13" s="4">
        <f>COUNTIFS(D5:D16, "SHAVING", E5:E16, "ALEX")</f>
        <v>0</v>
      </c>
      <c r="N13" s="4">
        <f>COUNTIFS(D5:D16, "KIDS", E5:E16, "ALEX")</f>
        <v>0</v>
      </c>
      <c r="O13" s="4">
        <f>SUMIFS(G5:G16,E5:E16,"ALEX",D5:D16, "SHAVING")</f>
        <v>0</v>
      </c>
    </row>
    <row r="14" spans="2:15" ht="14.25" customHeight="1">
      <c r="B14" s="1">
        <v>11</v>
      </c>
      <c r="C14" s="3">
        <v>43866</v>
      </c>
      <c r="D14" s="4" t="s">
        <v>16</v>
      </c>
      <c r="E14" s="4" t="s">
        <v>32</v>
      </c>
      <c r="F14" s="4" t="s">
        <v>20</v>
      </c>
      <c r="G14" s="4">
        <v>17</v>
      </c>
    </row>
    <row r="15" spans="2:15" ht="14.25" customHeight="1">
      <c r="B15" s="1">
        <v>12</v>
      </c>
      <c r="C15" s="3">
        <v>43866</v>
      </c>
      <c r="D15" s="4" t="s">
        <v>33</v>
      </c>
      <c r="E15" s="4" t="s">
        <v>31</v>
      </c>
      <c r="F15" s="4" t="s">
        <v>18</v>
      </c>
      <c r="G15" s="4">
        <v>3</v>
      </c>
    </row>
    <row r="16" spans="2:15" ht="14.25" customHeight="1">
      <c r="B16" s="1">
        <v>13</v>
      </c>
      <c r="C16" s="3">
        <v>43866</v>
      </c>
      <c r="D16" s="4" t="s">
        <v>16</v>
      </c>
      <c r="E16" s="4" t="s">
        <v>22</v>
      </c>
      <c r="F16" s="4" t="s">
        <v>18</v>
      </c>
      <c r="G16" s="4">
        <v>7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23E25-3EC2-4EF6-807F-41374C1377E5}">
  <dimension ref="A1:F11"/>
  <sheetViews>
    <sheetView workbookViewId="0">
      <selection activeCell="G10" sqref="G10"/>
    </sheetView>
  </sheetViews>
  <sheetFormatPr defaultRowHeight="15"/>
  <cols>
    <col min="2" max="2" width="19.140625" customWidth="1"/>
    <col min="3" max="3" width="16.42578125" customWidth="1"/>
    <col min="4" max="4" width="17.85546875" customWidth="1"/>
    <col min="5" max="5" width="17.7109375" customWidth="1"/>
    <col min="6" max="6" width="20.28515625" customWidth="1"/>
  </cols>
  <sheetData>
    <row r="1" spans="1:6">
      <c r="A1" s="142"/>
      <c r="B1" s="142" t="s">
        <v>593</v>
      </c>
      <c r="C1" s="142" t="s">
        <v>381</v>
      </c>
      <c r="D1" s="142" t="s">
        <v>380</v>
      </c>
      <c r="E1" s="142" t="s">
        <v>282</v>
      </c>
      <c r="F1" s="142" t="s">
        <v>756</v>
      </c>
    </row>
    <row r="2" spans="1:6">
      <c r="A2" s="52"/>
      <c r="B2" s="52">
        <v>101</v>
      </c>
      <c r="C2" s="52" t="str">
        <f>VLOOKUP(B2,'Excercise 6'!B614:F624,2,0)</f>
        <v>Donald</v>
      </c>
      <c r="D2" s="52" t="str">
        <f>VLOOKUP(B2,'Excercise 6'!B615:F624,3,0)</f>
        <v>Patrick</v>
      </c>
      <c r="E2" s="52" t="str">
        <f>VLOOKUP(B2,'Excercise 6'!B615:F624,4,0)</f>
        <v>Finance</v>
      </c>
      <c r="F2" s="52" t="str">
        <f>VLOOKUP(B2,'Excercise 6'!B615:F624,5,0)</f>
        <v>Banglore</v>
      </c>
    </row>
    <row r="3" spans="1:6">
      <c r="B3" s="52">
        <v>102</v>
      </c>
      <c r="C3" t="str">
        <f>VLOOKUP(B3,'Excercise 6'!B614:F624,2,0)</f>
        <v>Samuei</v>
      </c>
      <c r="D3" s="52" t="str">
        <f>VLOOKUP(B3,'Excercise 6'!B616:F625,3,0)</f>
        <v>Samson</v>
      </c>
      <c r="E3" s="52" t="str">
        <f>VLOOKUP(B3,'Excercise 6'!B616:F625,4,0)</f>
        <v>Marketing</v>
      </c>
      <c r="F3" s="52" t="str">
        <f>VLOOKUP(B3,'Excercise 6'!B616:F625,5,0)</f>
        <v>Hyderabad</v>
      </c>
    </row>
    <row r="4" spans="1:6">
      <c r="B4" s="52">
        <v>103</v>
      </c>
      <c r="C4" t="str">
        <f>VLOOKUP(B4,'Excercise 6'!B614:F624,2,0)</f>
        <v>Ian</v>
      </c>
      <c r="D4" s="52" t="str">
        <f>VLOOKUP(B4,'Excercise 6'!B617:F626,3,0)</f>
        <v>Jacob</v>
      </c>
      <c r="E4" s="52" t="str">
        <f>VLOOKUP(B4,'Excercise 6'!B617:F626,4,0)</f>
        <v>Finance</v>
      </c>
      <c r="F4" s="52" t="str">
        <f>VLOOKUP(B4,'Excercise 6'!B617:F626,5,0)</f>
        <v>Hyderabad</v>
      </c>
    </row>
    <row r="5" spans="1:6">
      <c r="B5" s="52">
        <v>104</v>
      </c>
      <c r="C5" t="str">
        <f>VLOOKUP(B5,'Excercise 6'!B615:F625,2,0)</f>
        <v>David</v>
      </c>
      <c r="D5" s="52" t="str">
        <f>VLOOKUP(B5,'Excercise 6'!B618:F626,3,0)</f>
        <v>Johnson</v>
      </c>
      <c r="E5" s="52" t="str">
        <f>VLOOKUP(B5,'Excercise 6'!B618:F626,4,0)</f>
        <v>Marketing</v>
      </c>
      <c r="F5" s="52" t="str">
        <f>VLOOKUP(B5,'Excercise 6'!B618:F626,5,0)</f>
        <v>Pune</v>
      </c>
    </row>
    <row r="6" spans="1:6">
      <c r="B6" s="52">
        <v>105</v>
      </c>
      <c r="C6" t="str">
        <f>VLOOKUP(B6,'Excercise 6'!B616:F626,2,0)</f>
        <v>Ian</v>
      </c>
      <c r="D6" s="52" t="str">
        <f>VLOOKUP(B6,'Excercise 6'!B619:F626,3,0)</f>
        <v>Smith</v>
      </c>
      <c r="E6" s="52" t="str">
        <f>VLOOKUP(B6,'Excercise 6'!B619:F626,4,0)</f>
        <v>Marketing</v>
      </c>
      <c r="F6" s="52" t="str">
        <f>VLOOKUP(B6,'Excercise 6'!B619:F626,5,0)</f>
        <v>Banglore</v>
      </c>
    </row>
    <row r="7" spans="1:6">
      <c r="B7" s="52">
        <v>106</v>
      </c>
      <c r="C7" t="str">
        <f>VLOOKUP(B7,'Excercise 6'!B617:F626,2,0)</f>
        <v>Henry</v>
      </c>
      <c r="D7" s="52" t="str">
        <f>VLOOKUP(B7,'Excercise 6'!B620:F626,3,0)</f>
        <v>Madrid</v>
      </c>
      <c r="E7" s="52" t="str">
        <f>VLOOKUP(B7,'Excercise 6'!B620:F626,4,0)</f>
        <v>IT</v>
      </c>
      <c r="F7" s="52" t="str">
        <f>VLOOKUP(B7,'Excercise 6'!B620:F626,5,0)</f>
        <v>Pune</v>
      </c>
    </row>
    <row r="8" spans="1:6">
      <c r="B8" s="52">
        <v>107</v>
      </c>
      <c r="C8" t="str">
        <f>VLOOKUP(B8,'Excercise 6'!B618:F626,2,0)</f>
        <v>Ronica</v>
      </c>
      <c r="D8" s="52" t="str">
        <f>VLOOKUP(B8,'Excercise 6'!B621:F626,3,0)</f>
        <v>Brave</v>
      </c>
      <c r="E8" s="52" t="str">
        <f>VLOOKUP(B8,'Excercise 6'!B621:F626,4,0)</f>
        <v>Finance</v>
      </c>
      <c r="F8" s="52" t="str">
        <f>VLOOKUP(B8,'Excercise 6'!B621:F626,5,0)</f>
        <v>Hyderabad</v>
      </c>
    </row>
    <row r="9" spans="1:6">
      <c r="B9" s="52">
        <v>108</v>
      </c>
      <c r="C9" t="str">
        <f>VLOOKUP(B9,'Excercise 6'!B619:F626,2,0)</f>
        <v>Chistine</v>
      </c>
      <c r="D9" s="52" t="str">
        <f>VLOOKUP(B9,'Excercise 6'!B622:F626,3,0)</f>
        <v>Salvi</v>
      </c>
      <c r="E9" s="52" t="str">
        <f>VLOOKUP(B9,'Excercise 6'!B622:F626,4,0)</f>
        <v>Marketing</v>
      </c>
      <c r="F9" s="52" t="str">
        <f>VLOOKUP(B9,'Excercise 6'!B622:F626,5,0)</f>
        <v>Banglore</v>
      </c>
    </row>
    <row r="10" spans="1:6">
      <c r="B10" s="52">
        <v>109</v>
      </c>
      <c r="C10" t="str">
        <f>VLOOKUP(B10,'Excercise 6'!B620:F626,2,0)</f>
        <v>Andrew</v>
      </c>
      <c r="D10" s="52" t="str">
        <f>VLOOKUP(B10,'Excercise 6'!B623:F626,3,0)</f>
        <v>Baisley</v>
      </c>
      <c r="E10" s="52" t="str">
        <f>VLOOKUP(B10,'Excercise 6'!B623:F626,4,0)</f>
        <v>IT</v>
      </c>
      <c r="F10" s="52" t="str">
        <f>VLOOKUP(B10,'Excercise 6'!B623:F626,5,0)</f>
        <v>Hyderabad</v>
      </c>
    </row>
    <row r="11" spans="1:6">
      <c r="B11" s="52">
        <v>110</v>
      </c>
      <c r="C11" t="str">
        <f>VLOOKUP(B11,'Excercise 6'!B621:F626,2,0)</f>
        <v>Erica</v>
      </c>
      <c r="D11" s="52" t="str">
        <f>VLOOKUP(B11,'Excercise 6'!B624:F626,3,0)</f>
        <v>Irons</v>
      </c>
      <c r="E11" s="52" t="str">
        <f>VLOOKUP(B11,'Excercise 6'!B624:F626,4,0)</f>
        <v>IT</v>
      </c>
      <c r="F11" s="52" t="str">
        <f>VLOOKUP(B11,'Excercise 6'!B624:F626,5,0)</f>
        <v>Pune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000"/>
  <sheetViews>
    <sheetView workbookViewId="0"/>
  </sheetViews>
  <sheetFormatPr defaultColWidth="14.42578125" defaultRowHeight="15" customHeight="1"/>
  <cols>
    <col min="1" max="6" width="8.7109375" customWidth="1"/>
    <col min="7" max="7" width="13.85546875" customWidth="1"/>
    <col min="8" max="14" width="8.7109375" customWidth="1"/>
  </cols>
  <sheetData>
    <row r="1" spans="2:14" ht="14.25" customHeight="1"/>
    <row r="2" spans="2:14" ht="14.25" customHeight="1"/>
    <row r="3" spans="2:14" ht="14.25" customHeight="1">
      <c r="B3" s="8" t="s">
        <v>34</v>
      </c>
      <c r="J3" s="8" t="s">
        <v>35</v>
      </c>
    </row>
    <row r="4" spans="2:14" ht="14.25" customHeight="1">
      <c r="B4" s="9"/>
      <c r="C4" s="10" t="s">
        <v>0</v>
      </c>
      <c r="D4" s="9" t="s">
        <v>1</v>
      </c>
      <c r="E4" s="9" t="s">
        <v>2</v>
      </c>
      <c r="F4" s="9" t="s">
        <v>3</v>
      </c>
      <c r="G4" s="9" t="s">
        <v>4</v>
      </c>
      <c r="J4" s="9">
        <v>1</v>
      </c>
      <c r="K4" s="11" t="s">
        <v>0</v>
      </c>
      <c r="L4" s="9" t="s">
        <v>1</v>
      </c>
      <c r="M4" s="11" t="s">
        <v>2</v>
      </c>
      <c r="N4" s="12"/>
    </row>
    <row r="5" spans="2:14" ht="14.25" customHeight="1">
      <c r="B5" s="9">
        <v>1</v>
      </c>
      <c r="C5" s="13" t="s">
        <v>36</v>
      </c>
      <c r="D5" s="14" t="s">
        <v>37</v>
      </c>
      <c r="E5" s="187"/>
      <c r="F5" s="14" t="s">
        <v>38</v>
      </c>
      <c r="G5" s="14" t="s">
        <v>37</v>
      </c>
      <c r="J5" s="9">
        <v>2</v>
      </c>
      <c r="K5" s="9" t="s">
        <v>39</v>
      </c>
      <c r="L5" s="9" t="s">
        <v>40</v>
      </c>
      <c r="M5" s="9" t="s">
        <v>41</v>
      </c>
    </row>
    <row r="6" spans="2:14" ht="14.25" customHeight="1">
      <c r="B6" s="9">
        <v>2</v>
      </c>
      <c r="C6" s="4">
        <v>-9</v>
      </c>
      <c r="D6" s="4" t="str">
        <f t="shared" ref="D6:D9" si="0">IF(C6&gt;0,"POSITIVE",IF(C6&lt;0,"NEGATIVE","NUTRAL"))</f>
        <v>NEGATIVE</v>
      </c>
      <c r="E6" s="188"/>
      <c r="F6" s="4">
        <v>2003</v>
      </c>
      <c r="G6" s="4" t="str">
        <f t="shared" ref="G6:G9" si="1">IF(MOD(F6,4)=0,"LEAP YEAR","NOT LEAP YEAR")</f>
        <v>NOT LEAP YEAR</v>
      </c>
      <c r="J6" s="9">
        <v>3</v>
      </c>
      <c r="K6" s="4">
        <v>54</v>
      </c>
      <c r="L6" s="4">
        <v>65</v>
      </c>
      <c r="M6" s="4">
        <f t="shared" ref="M6:M11" si="2">IF(K6&gt;L6,K6,IF(L6&gt;K6,L6,"EQUAL"))</f>
        <v>65</v>
      </c>
    </row>
    <row r="7" spans="2:14" ht="14.25" customHeight="1">
      <c r="B7" s="9">
        <v>3</v>
      </c>
      <c r="C7" s="4">
        <v>-8</v>
      </c>
      <c r="D7" s="4" t="str">
        <f t="shared" si="0"/>
        <v>NEGATIVE</v>
      </c>
      <c r="E7" s="188"/>
      <c r="F7" s="4">
        <v>1989</v>
      </c>
      <c r="G7" s="4" t="str">
        <f t="shared" si="1"/>
        <v>NOT LEAP YEAR</v>
      </c>
      <c r="J7" s="9">
        <v>4</v>
      </c>
      <c r="K7" s="4">
        <v>65</v>
      </c>
      <c r="L7" s="4">
        <v>32</v>
      </c>
      <c r="M7" s="4">
        <f t="shared" si="2"/>
        <v>65</v>
      </c>
    </row>
    <row r="8" spans="2:14" ht="14.25" customHeight="1">
      <c r="B8" s="9">
        <v>4</v>
      </c>
      <c r="C8" s="4">
        <v>6</v>
      </c>
      <c r="D8" s="4" t="str">
        <f t="shared" si="0"/>
        <v>POSITIVE</v>
      </c>
      <c r="E8" s="188"/>
      <c r="F8" s="4">
        <v>2000</v>
      </c>
      <c r="G8" s="4" t="str">
        <f t="shared" si="1"/>
        <v>LEAP YEAR</v>
      </c>
      <c r="J8" s="9">
        <v>5</v>
      </c>
      <c r="K8" s="4">
        <v>85</v>
      </c>
      <c r="L8" s="4">
        <v>99</v>
      </c>
      <c r="M8" s="4">
        <f t="shared" si="2"/>
        <v>99</v>
      </c>
    </row>
    <row r="9" spans="2:14" ht="14.25" customHeight="1">
      <c r="B9" s="9">
        <v>5</v>
      </c>
      <c r="C9" s="4">
        <v>3</v>
      </c>
      <c r="D9" s="4" t="str">
        <f t="shared" si="0"/>
        <v>POSITIVE</v>
      </c>
      <c r="E9" s="189"/>
      <c r="F9" s="4">
        <v>2001</v>
      </c>
      <c r="G9" s="4" t="str">
        <f t="shared" si="1"/>
        <v>NOT LEAP YEAR</v>
      </c>
      <c r="J9" s="9">
        <v>6</v>
      </c>
      <c r="K9" s="4">
        <v>21</v>
      </c>
      <c r="L9" s="4">
        <v>56</v>
      </c>
      <c r="M9" s="4">
        <f t="shared" si="2"/>
        <v>56</v>
      </c>
    </row>
    <row r="10" spans="2:14" ht="14.25" customHeight="1">
      <c r="J10" s="9">
        <v>7</v>
      </c>
      <c r="K10" s="4">
        <v>89</v>
      </c>
      <c r="L10" s="4">
        <v>75</v>
      </c>
      <c r="M10" s="4">
        <f t="shared" si="2"/>
        <v>89</v>
      </c>
    </row>
    <row r="11" spans="2:14" ht="14.25" customHeight="1">
      <c r="J11" s="9">
        <v>8</v>
      </c>
      <c r="K11" s="4">
        <v>75</v>
      </c>
      <c r="L11" s="4">
        <v>75</v>
      </c>
      <c r="M11" s="4" t="str">
        <f t="shared" si="2"/>
        <v>EQUAL</v>
      </c>
    </row>
    <row r="12" spans="2:14" ht="14.25" customHeight="1"/>
    <row r="13" spans="2:14" ht="14.25" customHeight="1"/>
    <row r="14" spans="2:14" ht="14.25" customHeight="1">
      <c r="B14" s="8" t="s">
        <v>42</v>
      </c>
      <c r="J14" s="8" t="s">
        <v>43</v>
      </c>
    </row>
    <row r="15" spans="2:14" ht="14.25" customHeight="1">
      <c r="B15" s="9"/>
      <c r="C15" s="15" t="s">
        <v>0</v>
      </c>
      <c r="D15" s="15" t="s">
        <v>1</v>
      </c>
      <c r="E15" s="15" t="s">
        <v>2</v>
      </c>
      <c r="F15" s="15" t="s">
        <v>3</v>
      </c>
      <c r="J15" s="9"/>
      <c r="K15" s="9" t="s">
        <v>0</v>
      </c>
      <c r="L15" s="9" t="s">
        <v>1</v>
      </c>
      <c r="M15" s="9" t="s">
        <v>2</v>
      </c>
    </row>
    <row r="16" spans="2:14" ht="14.25" customHeight="1">
      <c r="B16" s="9">
        <v>1</v>
      </c>
      <c r="C16" s="16" t="s">
        <v>39</v>
      </c>
      <c r="D16" s="16" t="s">
        <v>40</v>
      </c>
      <c r="E16" s="16" t="s">
        <v>44</v>
      </c>
      <c r="F16" s="16" t="s">
        <v>41</v>
      </c>
      <c r="J16" s="9">
        <v>1</v>
      </c>
      <c r="K16" s="14" t="s">
        <v>39</v>
      </c>
      <c r="L16" s="14" t="s">
        <v>40</v>
      </c>
      <c r="M16" s="14" t="s">
        <v>41</v>
      </c>
    </row>
    <row r="17" spans="2:13" ht="14.25" customHeight="1">
      <c r="B17" s="9">
        <v>2</v>
      </c>
      <c r="C17" s="4">
        <v>99</v>
      </c>
      <c r="D17" s="4">
        <v>75</v>
      </c>
      <c r="E17" s="4">
        <v>22</v>
      </c>
      <c r="F17" s="4">
        <f t="shared" ref="F17:F23" si="3">IF(AND(C17&gt;D17,C17&gt;E17),C17,IF(AND(D17&gt;C17,D17&gt;E17),D17,IF(AND(E17&gt;C17,E17&gt;D17),E17,"EQUAL")))</f>
        <v>99</v>
      </c>
      <c r="J17" s="9">
        <v>2</v>
      </c>
      <c r="K17" s="4">
        <v>5</v>
      </c>
      <c r="L17" s="4">
        <v>65</v>
      </c>
      <c r="M17" s="4">
        <f t="shared" ref="M17:M22" si="4">IF(K17&gt;L17,K17+L17,IF(L17&gt;K17,L17-K17,K17*L17))</f>
        <v>60</v>
      </c>
    </row>
    <row r="18" spans="2:13" ht="14.25" customHeight="1">
      <c r="B18" s="9">
        <v>3</v>
      </c>
      <c r="C18" s="4">
        <v>10</v>
      </c>
      <c r="D18" s="4">
        <v>88</v>
      </c>
      <c r="E18" s="4">
        <v>11</v>
      </c>
      <c r="F18" s="4">
        <f t="shared" si="3"/>
        <v>88</v>
      </c>
      <c r="J18" s="9">
        <v>3</v>
      </c>
      <c r="K18" s="4">
        <v>6</v>
      </c>
      <c r="L18" s="4">
        <v>3</v>
      </c>
      <c r="M18" s="4">
        <f t="shared" si="4"/>
        <v>9</v>
      </c>
    </row>
    <row r="19" spans="2:13" ht="14.25" customHeight="1">
      <c r="B19" s="9">
        <v>4</v>
      </c>
      <c r="C19" s="4">
        <v>89</v>
      </c>
      <c r="D19" s="4">
        <v>77</v>
      </c>
      <c r="E19" s="4">
        <v>33</v>
      </c>
      <c r="F19" s="4">
        <f t="shared" si="3"/>
        <v>89</v>
      </c>
      <c r="J19" s="9">
        <v>4</v>
      </c>
      <c r="K19" s="4">
        <v>85</v>
      </c>
      <c r="L19" s="4">
        <v>99</v>
      </c>
      <c r="M19" s="4">
        <f t="shared" si="4"/>
        <v>14</v>
      </c>
    </row>
    <row r="20" spans="2:13" ht="14.25" customHeight="1">
      <c r="B20" s="9">
        <v>5</v>
      </c>
      <c r="C20" s="4">
        <v>58</v>
      </c>
      <c r="D20" s="4">
        <v>99</v>
      </c>
      <c r="E20" s="4">
        <v>77</v>
      </c>
      <c r="F20" s="4">
        <f t="shared" si="3"/>
        <v>99</v>
      </c>
      <c r="J20" s="9">
        <v>5</v>
      </c>
      <c r="K20" s="4">
        <v>21</v>
      </c>
      <c r="L20" s="4">
        <v>56</v>
      </c>
      <c r="M20" s="4">
        <f t="shared" si="4"/>
        <v>35</v>
      </c>
    </row>
    <row r="21" spans="2:13" ht="14.25" customHeight="1">
      <c r="B21" s="9">
        <v>6</v>
      </c>
      <c r="C21" s="4">
        <v>85</v>
      </c>
      <c r="D21" s="4">
        <v>85</v>
      </c>
      <c r="E21" s="4">
        <v>85</v>
      </c>
      <c r="F21" s="4" t="str">
        <f t="shared" si="3"/>
        <v>EQUAL</v>
      </c>
      <c r="J21" s="9">
        <v>6</v>
      </c>
      <c r="K21" s="4">
        <v>8</v>
      </c>
      <c r="L21" s="4">
        <v>8</v>
      </c>
      <c r="M21" s="4">
        <f t="shared" si="4"/>
        <v>64</v>
      </c>
    </row>
    <row r="22" spans="2:13" ht="14.25" customHeight="1">
      <c r="B22" s="9">
        <v>7</v>
      </c>
      <c r="C22" s="4">
        <v>65</v>
      </c>
      <c r="D22" s="4">
        <v>68</v>
      </c>
      <c r="E22" s="4">
        <v>65</v>
      </c>
      <c r="F22" s="4">
        <f t="shared" si="3"/>
        <v>68</v>
      </c>
      <c r="J22" s="9">
        <v>7</v>
      </c>
      <c r="K22" s="4">
        <v>75</v>
      </c>
      <c r="L22" s="4">
        <v>75</v>
      </c>
      <c r="M22" s="4">
        <f t="shared" si="4"/>
        <v>5625</v>
      </c>
    </row>
    <row r="23" spans="2:13" ht="14.25" customHeight="1">
      <c r="B23" s="9">
        <v>8</v>
      </c>
      <c r="C23" s="4">
        <v>45</v>
      </c>
      <c r="D23" s="4">
        <v>45</v>
      </c>
      <c r="E23" s="4">
        <v>45</v>
      </c>
      <c r="F23" s="4" t="str">
        <f t="shared" si="3"/>
        <v>EQUAL</v>
      </c>
    </row>
    <row r="24" spans="2:13" ht="14.25" customHeight="1"/>
    <row r="25" spans="2:13" ht="14.25" customHeight="1"/>
    <row r="26" spans="2:13" ht="14.25" customHeight="1"/>
    <row r="27" spans="2:13" ht="14.25" customHeight="1"/>
    <row r="28" spans="2:13" ht="14.25" customHeight="1"/>
    <row r="29" spans="2:13" ht="14.25" customHeight="1"/>
    <row r="30" spans="2:13" ht="14.25" customHeight="1"/>
    <row r="31" spans="2:13" ht="14.25" customHeight="1"/>
    <row r="32" spans="2:1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5:E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opLeftCell="A243" workbookViewId="0">
      <selection sqref="A1:D1"/>
    </sheetView>
  </sheetViews>
  <sheetFormatPr defaultColWidth="14.42578125" defaultRowHeight="15" customHeight="1"/>
  <cols>
    <col min="1" max="1" width="13.7109375" customWidth="1"/>
    <col min="2" max="2" width="11.28515625" customWidth="1"/>
    <col min="3" max="3" width="8.7109375" customWidth="1"/>
    <col min="4" max="4" width="11.140625" customWidth="1"/>
    <col min="5" max="5" width="8.7109375" customWidth="1"/>
    <col min="6" max="6" width="14.42578125" customWidth="1"/>
    <col min="7" max="9" width="8.7109375" customWidth="1"/>
    <col min="10" max="10" width="11.85546875" customWidth="1"/>
    <col min="11" max="11" width="8.7109375" customWidth="1"/>
    <col min="12" max="12" width="15.140625" customWidth="1"/>
    <col min="13" max="13" width="9.5703125" customWidth="1"/>
    <col min="14" max="14" width="15.7109375" customWidth="1"/>
    <col min="15" max="17" width="8.7109375" customWidth="1"/>
    <col min="18" max="18" width="9.28515625" customWidth="1"/>
    <col min="19" max="20" width="8.7109375" customWidth="1"/>
    <col min="21" max="21" width="15.42578125" customWidth="1"/>
    <col min="22" max="24" width="8.7109375" customWidth="1"/>
  </cols>
  <sheetData>
    <row r="1" spans="1:22" ht="14.25" customHeight="1">
      <c r="A1" s="218" t="s">
        <v>45</v>
      </c>
      <c r="B1" s="194"/>
      <c r="C1" s="194"/>
      <c r="D1" s="195"/>
      <c r="E1" s="201">
        <v>1</v>
      </c>
      <c r="F1" s="17" t="s">
        <v>46</v>
      </c>
      <c r="G1" s="190"/>
      <c r="H1" s="191"/>
      <c r="I1" s="191"/>
      <c r="J1" s="191"/>
      <c r="K1" s="203">
        <v>2</v>
      </c>
      <c r="L1" s="204" t="s">
        <v>47</v>
      </c>
      <c r="M1" s="205"/>
      <c r="N1" s="205"/>
      <c r="O1" s="205"/>
      <c r="P1" s="205"/>
      <c r="Q1" s="205"/>
      <c r="R1" s="205"/>
    </row>
    <row r="2" spans="1:22" ht="14.25" customHeight="1">
      <c r="A2" s="206"/>
      <c r="B2" s="194"/>
      <c r="C2" s="194"/>
      <c r="D2" s="195"/>
      <c r="E2" s="202"/>
      <c r="F2" s="7" t="s">
        <v>48</v>
      </c>
      <c r="G2" s="18" t="s">
        <v>49</v>
      </c>
      <c r="H2" s="18" t="s">
        <v>50</v>
      </c>
      <c r="I2" s="18" t="s">
        <v>51</v>
      </c>
      <c r="J2" s="18" t="s">
        <v>52</v>
      </c>
      <c r="K2" s="191"/>
      <c r="L2" s="192">
        <v>3</v>
      </c>
      <c r="M2" s="219" t="s">
        <v>53</v>
      </c>
      <c r="N2" s="194"/>
      <c r="O2" s="194"/>
      <c r="P2" s="194"/>
      <c r="Q2" s="194"/>
      <c r="R2" s="220"/>
      <c r="S2" s="221" t="s">
        <v>54</v>
      </c>
      <c r="T2" s="221" t="s">
        <v>55</v>
      </c>
      <c r="U2" s="221" t="s">
        <v>56</v>
      </c>
      <c r="V2" s="221" t="s">
        <v>57</v>
      </c>
    </row>
    <row r="3" spans="1:22" ht="14.25" customHeight="1">
      <c r="A3" s="19" t="s">
        <v>58</v>
      </c>
      <c r="B3" s="19" t="s">
        <v>36</v>
      </c>
      <c r="C3" s="19" t="s">
        <v>59</v>
      </c>
      <c r="D3" s="19" t="s">
        <v>60</v>
      </c>
      <c r="E3" s="202"/>
      <c r="F3" s="19" t="s">
        <v>61</v>
      </c>
      <c r="G3" s="20">
        <v>8</v>
      </c>
      <c r="H3" s="20">
        <v>11</v>
      </c>
      <c r="I3" s="20">
        <v>3</v>
      </c>
      <c r="J3" s="21">
        <f t="shared" ref="J3:J8" si="0">SUM(G3:I3)</f>
        <v>22</v>
      </c>
      <c r="K3" s="191"/>
      <c r="L3" s="188"/>
      <c r="M3" s="22">
        <v>1</v>
      </c>
      <c r="N3" s="7">
        <v>2</v>
      </c>
      <c r="O3" s="7">
        <v>3</v>
      </c>
      <c r="P3" s="7">
        <v>4</v>
      </c>
      <c r="Q3" s="7">
        <v>5</v>
      </c>
      <c r="R3" s="23">
        <v>6</v>
      </c>
      <c r="S3" s="188"/>
      <c r="T3" s="188"/>
      <c r="U3" s="188"/>
      <c r="V3" s="188"/>
    </row>
    <row r="4" spans="1:22" ht="14.25" customHeight="1">
      <c r="A4" s="207"/>
      <c r="B4" s="194"/>
      <c r="C4" s="194"/>
      <c r="D4" s="195"/>
      <c r="E4" s="202"/>
      <c r="F4" s="19" t="s">
        <v>62</v>
      </c>
      <c r="G4" s="20">
        <v>12</v>
      </c>
      <c r="H4" s="20">
        <v>22</v>
      </c>
      <c r="I4" s="20">
        <v>6</v>
      </c>
      <c r="J4" s="21">
        <f t="shared" si="0"/>
        <v>40</v>
      </c>
      <c r="K4" s="191"/>
      <c r="L4" s="188"/>
      <c r="M4" s="222" t="s">
        <v>63</v>
      </c>
      <c r="N4" s="217"/>
      <c r="O4" s="217"/>
      <c r="P4" s="217"/>
      <c r="Q4" s="217"/>
      <c r="R4" s="217"/>
      <c r="S4" s="188"/>
      <c r="T4" s="188"/>
      <c r="U4" s="188"/>
      <c r="V4" s="188"/>
    </row>
    <row r="5" spans="1:22" ht="14.25" customHeight="1">
      <c r="A5" s="24" t="s">
        <v>64</v>
      </c>
      <c r="B5" s="25">
        <v>20</v>
      </c>
      <c r="C5" s="25">
        <v>3</v>
      </c>
      <c r="D5" s="26">
        <f t="shared" ref="D5:D9" si="1">B5*C5</f>
        <v>60</v>
      </c>
      <c r="E5" s="202"/>
      <c r="F5" s="19" t="s">
        <v>65</v>
      </c>
      <c r="G5" s="20">
        <v>3</v>
      </c>
      <c r="H5" s="20">
        <v>9</v>
      </c>
      <c r="I5" s="20">
        <v>18</v>
      </c>
      <c r="J5" s="21">
        <f t="shared" si="0"/>
        <v>30</v>
      </c>
      <c r="K5" s="191"/>
      <c r="L5" s="189"/>
      <c r="M5" s="27" t="s">
        <v>66</v>
      </c>
      <c r="N5" s="28" t="s">
        <v>67</v>
      </c>
      <c r="O5" s="28" t="s">
        <v>68</v>
      </c>
      <c r="P5" s="28" t="s">
        <v>69</v>
      </c>
      <c r="Q5" s="28" t="s">
        <v>70</v>
      </c>
      <c r="R5" s="29" t="s">
        <v>71</v>
      </c>
      <c r="S5" s="189"/>
      <c r="T5" s="189"/>
      <c r="U5" s="189"/>
      <c r="V5" s="189"/>
    </row>
    <row r="6" spans="1:22" ht="14.25" customHeight="1">
      <c r="A6" s="24" t="s">
        <v>72</v>
      </c>
      <c r="B6" s="25">
        <v>1</v>
      </c>
      <c r="C6" s="25">
        <v>60</v>
      </c>
      <c r="D6" s="26">
        <f t="shared" si="1"/>
        <v>60</v>
      </c>
      <c r="E6" s="202"/>
      <c r="F6" s="19" t="s">
        <v>73</v>
      </c>
      <c r="G6" s="20">
        <v>18</v>
      </c>
      <c r="H6" s="20">
        <v>16</v>
      </c>
      <c r="I6" s="20">
        <v>5</v>
      </c>
      <c r="J6" s="21">
        <f t="shared" si="0"/>
        <v>39</v>
      </c>
      <c r="K6" s="191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14.25" customHeight="1">
      <c r="A7" s="24" t="s">
        <v>74</v>
      </c>
      <c r="B7" s="25">
        <v>20</v>
      </c>
      <c r="C7" s="25">
        <v>1</v>
      </c>
      <c r="D7" s="26">
        <f t="shared" si="1"/>
        <v>20</v>
      </c>
      <c r="E7" s="202"/>
      <c r="F7" s="19" t="s">
        <v>75</v>
      </c>
      <c r="G7" s="20">
        <v>9</v>
      </c>
      <c r="H7" s="20">
        <v>12</v>
      </c>
      <c r="I7" s="20">
        <v>11</v>
      </c>
      <c r="J7" s="21">
        <f t="shared" si="0"/>
        <v>32</v>
      </c>
      <c r="K7" s="191"/>
      <c r="L7" s="24" t="s">
        <v>76</v>
      </c>
      <c r="M7" s="30">
        <v>18</v>
      </c>
      <c r="N7" s="30">
        <v>10</v>
      </c>
      <c r="O7" s="30">
        <v>15</v>
      </c>
      <c r="P7" s="30">
        <v>10</v>
      </c>
      <c r="Q7" s="30">
        <v>19</v>
      </c>
      <c r="R7" s="30">
        <v>16</v>
      </c>
      <c r="S7" s="31">
        <v>1</v>
      </c>
      <c r="T7" s="25">
        <f t="shared" ref="T7:T16" si="2">SUM(M7:R7)</f>
        <v>88</v>
      </c>
      <c r="U7" s="25">
        <f>M7*2</f>
        <v>36</v>
      </c>
      <c r="V7" s="26">
        <f t="shared" ref="V7:V16" si="3">SUM(T7:U7)</f>
        <v>124</v>
      </c>
    </row>
    <row r="8" spans="1:22" ht="14.25" customHeight="1">
      <c r="A8" s="24" t="s">
        <v>77</v>
      </c>
      <c r="B8" s="25">
        <v>1</v>
      </c>
      <c r="C8" s="25">
        <v>10</v>
      </c>
      <c r="D8" s="26">
        <f t="shared" si="1"/>
        <v>10</v>
      </c>
      <c r="E8" s="202"/>
      <c r="F8" s="19" t="s">
        <v>78</v>
      </c>
      <c r="G8" s="20">
        <v>11</v>
      </c>
      <c r="H8" s="20">
        <v>15</v>
      </c>
      <c r="I8" s="20">
        <v>20</v>
      </c>
      <c r="J8" s="21">
        <f t="shared" si="0"/>
        <v>46</v>
      </c>
      <c r="K8" s="191"/>
      <c r="L8" s="24" t="s">
        <v>79</v>
      </c>
      <c r="M8" s="30">
        <v>15</v>
      </c>
      <c r="N8" s="30">
        <v>8</v>
      </c>
      <c r="O8" s="30">
        <v>13</v>
      </c>
      <c r="P8" s="30">
        <v>5</v>
      </c>
      <c r="Q8" s="30">
        <v>17</v>
      </c>
      <c r="R8" s="30">
        <v>14</v>
      </c>
      <c r="S8" s="31">
        <v>2</v>
      </c>
      <c r="T8" s="25">
        <f t="shared" si="2"/>
        <v>72</v>
      </c>
      <c r="U8" s="25">
        <f t="shared" ref="U8:U9" si="4">SUM(M8:N8)*2</f>
        <v>46</v>
      </c>
      <c r="V8" s="26">
        <f t="shared" si="3"/>
        <v>118</v>
      </c>
    </row>
    <row r="9" spans="1:22" ht="14.25" customHeight="1">
      <c r="A9" s="24" t="s">
        <v>80</v>
      </c>
      <c r="B9" s="25">
        <v>1</v>
      </c>
      <c r="C9" s="25">
        <v>15</v>
      </c>
      <c r="D9" s="26">
        <f t="shared" si="1"/>
        <v>15</v>
      </c>
      <c r="E9" s="202"/>
      <c r="L9" s="24" t="s">
        <v>81</v>
      </c>
      <c r="M9" s="30">
        <v>8</v>
      </c>
      <c r="N9" s="30">
        <v>10</v>
      </c>
      <c r="O9" s="30">
        <v>6</v>
      </c>
      <c r="P9" s="30">
        <v>12</v>
      </c>
      <c r="Q9" s="30">
        <v>9</v>
      </c>
      <c r="R9" s="30">
        <v>11</v>
      </c>
      <c r="S9" s="31">
        <v>2</v>
      </c>
      <c r="T9" s="25">
        <f t="shared" si="2"/>
        <v>56</v>
      </c>
      <c r="U9" s="25">
        <f t="shared" si="4"/>
        <v>36</v>
      </c>
      <c r="V9" s="26">
        <f t="shared" si="3"/>
        <v>92</v>
      </c>
    </row>
    <row r="10" spans="1:22" ht="14.25" customHeight="1">
      <c r="C10" s="32" t="s">
        <v>82</v>
      </c>
      <c r="D10" s="26">
        <f>SUM(D5:D9)</f>
        <v>165</v>
      </c>
      <c r="E10" s="202"/>
      <c r="L10" s="24" t="s">
        <v>83</v>
      </c>
      <c r="M10" s="30">
        <v>17</v>
      </c>
      <c r="N10" s="30">
        <v>15</v>
      </c>
      <c r="O10" s="30">
        <v>14</v>
      </c>
      <c r="P10" s="30">
        <v>17</v>
      </c>
      <c r="Q10" s="30">
        <v>19</v>
      </c>
      <c r="R10" s="30">
        <v>18</v>
      </c>
      <c r="S10" s="31">
        <v>4</v>
      </c>
      <c r="T10" s="25">
        <f t="shared" si="2"/>
        <v>100</v>
      </c>
      <c r="U10" s="25">
        <f t="shared" ref="U10:U12" si="5">SUM(M10:P10)*2</f>
        <v>126</v>
      </c>
      <c r="V10" s="26">
        <f t="shared" si="3"/>
        <v>226</v>
      </c>
    </row>
    <row r="11" spans="1:22" ht="14.25" customHeight="1">
      <c r="C11" s="32" t="s">
        <v>84</v>
      </c>
      <c r="D11" s="30">
        <f>D10/20</f>
        <v>8.25</v>
      </c>
      <c r="E11" s="202"/>
      <c r="L11" s="24" t="s">
        <v>85</v>
      </c>
      <c r="M11" s="30">
        <v>12</v>
      </c>
      <c r="N11" s="30">
        <v>15</v>
      </c>
      <c r="O11" s="30">
        <v>10</v>
      </c>
      <c r="P11" s="30">
        <v>13</v>
      </c>
      <c r="Q11" s="30">
        <v>10</v>
      </c>
      <c r="R11" s="30">
        <v>18</v>
      </c>
      <c r="S11" s="31">
        <v>4</v>
      </c>
      <c r="T11" s="25">
        <f t="shared" si="2"/>
        <v>78</v>
      </c>
      <c r="U11" s="25">
        <f t="shared" si="5"/>
        <v>100</v>
      </c>
      <c r="V11" s="26">
        <f t="shared" si="3"/>
        <v>178</v>
      </c>
    </row>
    <row r="12" spans="1:22" ht="14.25" customHeight="1">
      <c r="L12" s="24" t="s">
        <v>86</v>
      </c>
      <c r="M12" s="30">
        <v>7</v>
      </c>
      <c r="N12" s="30">
        <v>9</v>
      </c>
      <c r="O12" s="30">
        <v>6</v>
      </c>
      <c r="P12" s="30">
        <v>6</v>
      </c>
      <c r="Q12" s="30">
        <v>10</v>
      </c>
      <c r="R12" s="30">
        <v>11</v>
      </c>
      <c r="S12" s="31">
        <v>4</v>
      </c>
      <c r="T12" s="25">
        <f t="shared" si="2"/>
        <v>49</v>
      </c>
      <c r="U12" s="25">
        <f t="shared" si="5"/>
        <v>56</v>
      </c>
      <c r="V12" s="26">
        <f t="shared" si="3"/>
        <v>105</v>
      </c>
    </row>
    <row r="13" spans="1:22" ht="14.25" customHeight="1">
      <c r="L13" s="24" t="s">
        <v>87</v>
      </c>
      <c r="M13" s="30">
        <v>12</v>
      </c>
      <c r="N13" s="30">
        <v>14</v>
      </c>
      <c r="O13" s="30">
        <v>13</v>
      </c>
      <c r="P13" s="30">
        <v>15</v>
      </c>
      <c r="Q13" s="30">
        <v>13</v>
      </c>
      <c r="R13" s="30">
        <v>16</v>
      </c>
      <c r="S13" s="31">
        <v>6</v>
      </c>
      <c r="T13" s="25">
        <f t="shared" si="2"/>
        <v>83</v>
      </c>
      <c r="U13" s="25">
        <f>SUM(M13:R13)*2</f>
        <v>166</v>
      </c>
      <c r="V13" s="26">
        <f t="shared" si="3"/>
        <v>249</v>
      </c>
    </row>
    <row r="14" spans="1:22" ht="14.25" customHeight="1">
      <c r="L14" s="24" t="s">
        <v>88</v>
      </c>
      <c r="M14" s="30">
        <v>19</v>
      </c>
      <c r="N14" s="30">
        <v>17</v>
      </c>
      <c r="O14" s="30">
        <v>14</v>
      </c>
      <c r="P14" s="30">
        <v>18</v>
      </c>
      <c r="Q14" s="30">
        <v>13</v>
      </c>
      <c r="R14" s="30">
        <v>15</v>
      </c>
      <c r="S14" s="31">
        <v>1</v>
      </c>
      <c r="T14" s="25">
        <f t="shared" si="2"/>
        <v>96</v>
      </c>
      <c r="U14" s="25">
        <f>M14*2</f>
        <v>38</v>
      </c>
      <c r="V14" s="26">
        <f t="shared" si="3"/>
        <v>134</v>
      </c>
    </row>
    <row r="15" spans="1:22" ht="14.25" customHeight="1">
      <c r="L15" s="24" t="s">
        <v>89</v>
      </c>
      <c r="M15" s="30">
        <v>12</v>
      </c>
      <c r="N15" s="30">
        <v>13</v>
      </c>
      <c r="O15" s="30">
        <v>16</v>
      </c>
      <c r="P15" s="30">
        <v>17</v>
      </c>
      <c r="Q15" s="30">
        <v>12</v>
      </c>
      <c r="R15" s="30">
        <v>19</v>
      </c>
      <c r="S15" s="31">
        <v>6</v>
      </c>
      <c r="T15" s="25">
        <f t="shared" si="2"/>
        <v>89</v>
      </c>
      <c r="U15" s="25">
        <f>SUM(M15:R15)*2</f>
        <v>178</v>
      </c>
      <c r="V15" s="26">
        <f t="shared" si="3"/>
        <v>267</v>
      </c>
    </row>
    <row r="16" spans="1:22" ht="14.25" customHeight="1">
      <c r="L16" s="24" t="s">
        <v>90</v>
      </c>
      <c r="M16" s="30">
        <v>10</v>
      </c>
      <c r="N16" s="30">
        <v>11</v>
      </c>
      <c r="O16" s="30">
        <v>15</v>
      </c>
      <c r="P16" s="30">
        <v>12</v>
      </c>
      <c r="Q16" s="30">
        <v>11</v>
      </c>
      <c r="R16" s="30">
        <v>12</v>
      </c>
      <c r="S16" s="31">
        <v>4</v>
      </c>
      <c r="T16" s="25">
        <f t="shared" si="2"/>
        <v>71</v>
      </c>
      <c r="U16" s="25">
        <f>SUM(M16:P16)*2</f>
        <v>96</v>
      </c>
      <c r="V16" s="26">
        <f t="shared" si="3"/>
        <v>167</v>
      </c>
    </row>
    <row r="17" spans="1:24" ht="14.25" customHeight="1">
      <c r="L17" s="193"/>
      <c r="M17" s="194"/>
      <c r="N17" s="194"/>
      <c r="O17" s="194"/>
      <c r="P17" s="194"/>
      <c r="Q17" s="194"/>
      <c r="R17" s="195"/>
      <c r="S17" s="196"/>
      <c r="T17" s="197"/>
      <c r="U17" s="193"/>
      <c r="V17" s="195"/>
    </row>
    <row r="18" spans="1:24" ht="14.25" customHeight="1">
      <c r="L18" s="33" t="s">
        <v>91</v>
      </c>
      <c r="M18" s="34">
        <f t="shared" ref="M18:R18" si="6">AVERAGE(M7:M16)</f>
        <v>13</v>
      </c>
      <c r="N18" s="34">
        <f t="shared" si="6"/>
        <v>12.2</v>
      </c>
      <c r="O18" s="34">
        <f t="shared" si="6"/>
        <v>12.2</v>
      </c>
      <c r="P18" s="34">
        <f t="shared" si="6"/>
        <v>12.5</v>
      </c>
      <c r="Q18" s="34">
        <f t="shared" si="6"/>
        <v>13.3</v>
      </c>
      <c r="R18" s="34">
        <f t="shared" si="6"/>
        <v>15</v>
      </c>
      <c r="S18" s="198"/>
      <c r="T18" s="199"/>
      <c r="U18" s="35" t="s">
        <v>92</v>
      </c>
      <c r="V18" s="36">
        <f>MAX(V7:V16)</f>
        <v>267</v>
      </c>
    </row>
    <row r="19" spans="1:24" ht="14.25" customHeight="1">
      <c r="U19" s="35" t="s">
        <v>93</v>
      </c>
      <c r="V19" s="36">
        <f>MIN(V7:V16)</f>
        <v>92</v>
      </c>
    </row>
    <row r="20" spans="1:24" ht="14.25" customHeight="1">
      <c r="J20" s="200" t="s">
        <v>94</v>
      </c>
      <c r="K20" s="194"/>
      <c r="L20" s="194"/>
      <c r="M20" s="194"/>
      <c r="N20" s="195"/>
      <c r="O20" s="201">
        <v>5</v>
      </c>
    </row>
    <row r="21" spans="1:24" ht="14.25" customHeight="1">
      <c r="A21" s="209" t="s">
        <v>95</v>
      </c>
      <c r="B21" s="194"/>
      <c r="C21" s="194"/>
      <c r="D21" s="194"/>
      <c r="E21" s="194"/>
      <c r="F21" s="194"/>
      <c r="G21" s="194"/>
      <c r="H21" s="195"/>
      <c r="I21" s="203">
        <v>4</v>
      </c>
      <c r="J21" s="20" t="s">
        <v>6</v>
      </c>
      <c r="K21" s="20" t="s">
        <v>96</v>
      </c>
      <c r="L21" s="20" t="s">
        <v>97</v>
      </c>
      <c r="M21" s="20" t="s">
        <v>98</v>
      </c>
      <c r="N21" s="20" t="s">
        <v>99</v>
      </c>
      <c r="O21" s="202"/>
    </row>
    <row r="22" spans="1:24" ht="14.25" customHeight="1">
      <c r="A22" s="31" t="s">
        <v>100</v>
      </c>
      <c r="B22" s="31" t="s">
        <v>101</v>
      </c>
      <c r="C22" s="31" t="s">
        <v>62</v>
      </c>
      <c r="D22" s="31" t="s">
        <v>102</v>
      </c>
      <c r="E22" s="31" t="s">
        <v>103</v>
      </c>
      <c r="F22" s="31" t="s">
        <v>104</v>
      </c>
      <c r="G22" s="37" t="s">
        <v>105</v>
      </c>
      <c r="H22" s="37" t="s">
        <v>106</v>
      </c>
      <c r="I22" s="191"/>
      <c r="J22" s="20" t="s">
        <v>107</v>
      </c>
      <c r="K22" s="31">
        <v>13.5</v>
      </c>
      <c r="L22" s="31">
        <v>11</v>
      </c>
      <c r="M22" s="31">
        <v>14</v>
      </c>
      <c r="N22" s="31">
        <v>15.75</v>
      </c>
      <c r="O22" s="202"/>
    </row>
    <row r="23" spans="1:24" ht="14.25" customHeight="1">
      <c r="A23" s="38" t="s">
        <v>107</v>
      </c>
      <c r="B23" s="24">
        <v>2.4</v>
      </c>
      <c r="C23" s="24">
        <v>12.6</v>
      </c>
      <c r="D23" s="24">
        <v>24</v>
      </c>
      <c r="E23" s="24">
        <v>0.5</v>
      </c>
      <c r="F23" s="24">
        <v>18</v>
      </c>
      <c r="G23" s="30">
        <f t="shared" ref="G23:G27" si="7">MAX(B23:F23)</f>
        <v>24</v>
      </c>
      <c r="H23" s="30">
        <f t="shared" ref="H23:H27" si="8">MIN(B23:F23)</f>
        <v>0.5</v>
      </c>
      <c r="I23" s="191"/>
      <c r="J23" s="20" t="s">
        <v>108</v>
      </c>
      <c r="K23" s="31">
        <v>7.65</v>
      </c>
      <c r="L23" s="31">
        <v>3.5</v>
      </c>
      <c r="M23" s="31">
        <v>14</v>
      </c>
      <c r="N23" s="31">
        <v>17.38</v>
      </c>
      <c r="O23" s="202"/>
    </row>
    <row r="24" spans="1:24" ht="14.25" customHeight="1">
      <c r="A24" s="38" t="s">
        <v>108</v>
      </c>
      <c r="B24" s="24">
        <v>3.7</v>
      </c>
      <c r="C24" s="24">
        <v>13.2</v>
      </c>
      <c r="D24" s="24">
        <v>14.6</v>
      </c>
      <c r="E24" s="24">
        <v>0.96</v>
      </c>
      <c r="F24" s="24">
        <v>16.5</v>
      </c>
      <c r="G24" s="30">
        <f t="shared" si="7"/>
        <v>16.5</v>
      </c>
      <c r="H24" s="30">
        <f t="shared" si="8"/>
        <v>0.96</v>
      </c>
      <c r="I24" s="191"/>
      <c r="J24" s="20" t="s">
        <v>109</v>
      </c>
      <c r="K24" s="31">
        <v>19.38</v>
      </c>
      <c r="L24" s="31">
        <v>3.45</v>
      </c>
      <c r="M24" s="31">
        <v>385</v>
      </c>
      <c r="N24" s="31">
        <v>20.75</v>
      </c>
      <c r="O24" s="202"/>
    </row>
    <row r="25" spans="1:24" ht="14.25" customHeight="1">
      <c r="A25" s="38" t="s">
        <v>110</v>
      </c>
      <c r="B25" s="24">
        <v>1.6</v>
      </c>
      <c r="C25" s="24">
        <v>7.9</v>
      </c>
      <c r="D25" s="24">
        <v>18</v>
      </c>
      <c r="E25" s="24">
        <v>1.3</v>
      </c>
      <c r="F25" s="24">
        <v>17</v>
      </c>
      <c r="G25" s="30">
        <f t="shared" si="7"/>
        <v>18</v>
      </c>
      <c r="H25" s="30">
        <f t="shared" si="8"/>
        <v>1.3</v>
      </c>
      <c r="I25" s="191"/>
      <c r="J25" s="20" t="s">
        <v>111</v>
      </c>
      <c r="K25" s="31">
        <v>9.23</v>
      </c>
      <c r="L25" s="31">
        <v>4.1500000000000004</v>
      </c>
      <c r="M25" s="31">
        <v>14</v>
      </c>
      <c r="N25" s="31">
        <v>9.5</v>
      </c>
      <c r="O25" s="202"/>
    </row>
    <row r="26" spans="1:24" ht="14.25" customHeight="1">
      <c r="A26" s="38" t="s">
        <v>111</v>
      </c>
      <c r="B26" s="24">
        <v>0.75</v>
      </c>
      <c r="C26" s="24">
        <v>6.4</v>
      </c>
      <c r="D26" s="24">
        <v>30.3</v>
      </c>
      <c r="E26" s="24">
        <v>4.0999999999999996</v>
      </c>
      <c r="F26" s="24">
        <v>17.8</v>
      </c>
      <c r="G26" s="30">
        <f t="shared" si="7"/>
        <v>30.3</v>
      </c>
      <c r="H26" s="30">
        <f t="shared" si="8"/>
        <v>0.75</v>
      </c>
      <c r="I26" s="191"/>
      <c r="J26" s="20" t="s">
        <v>112</v>
      </c>
      <c r="K26" s="31">
        <v>11.68</v>
      </c>
      <c r="L26" s="31">
        <v>2.17</v>
      </c>
      <c r="M26" s="31">
        <v>37.99</v>
      </c>
      <c r="N26" s="31">
        <v>12.45</v>
      </c>
      <c r="O26" s="202"/>
    </row>
    <row r="27" spans="1:24" ht="14.25" customHeight="1">
      <c r="A27" s="38" t="s">
        <v>112</v>
      </c>
      <c r="B27" s="24">
        <v>4.9000000000000004</v>
      </c>
      <c r="C27" s="24">
        <v>14.1</v>
      </c>
      <c r="D27" s="24">
        <v>31.7</v>
      </c>
      <c r="E27" s="24">
        <v>3.7</v>
      </c>
      <c r="F27" s="24">
        <v>16.399999999999999</v>
      </c>
      <c r="G27" s="30">
        <f t="shared" si="7"/>
        <v>31.7</v>
      </c>
      <c r="H27" s="30">
        <f t="shared" si="8"/>
        <v>3.7</v>
      </c>
      <c r="I27" s="191"/>
      <c r="J27" s="208"/>
      <c r="K27" s="194"/>
      <c r="L27" s="194"/>
      <c r="M27" s="194"/>
      <c r="N27" s="195"/>
      <c r="O27" s="202"/>
    </row>
    <row r="28" spans="1:24" ht="14.25" customHeight="1">
      <c r="A28" s="210"/>
      <c r="B28" s="194"/>
      <c r="C28" s="194"/>
      <c r="D28" s="194"/>
      <c r="E28" s="194"/>
      <c r="F28" s="195"/>
      <c r="G28" s="211"/>
      <c r="H28" s="212"/>
      <c r="I28" s="191"/>
      <c r="J28" s="20" t="s">
        <v>82</v>
      </c>
      <c r="K28" s="26">
        <f t="shared" ref="K28:N28" si="9">SUM(K22:K26)</f>
        <v>61.440000000000005</v>
      </c>
      <c r="L28" s="26">
        <f t="shared" si="9"/>
        <v>24.270000000000003</v>
      </c>
      <c r="M28" s="26">
        <f t="shared" si="9"/>
        <v>464.99</v>
      </c>
      <c r="N28" s="26">
        <f t="shared" si="9"/>
        <v>75.83</v>
      </c>
      <c r="O28" s="202"/>
    </row>
    <row r="29" spans="1:24" ht="14.25" customHeight="1">
      <c r="A29" s="26" t="s">
        <v>82</v>
      </c>
      <c r="B29" s="39">
        <f t="shared" ref="B29:F29" si="10">SUM(B23:B27)</f>
        <v>13.35</v>
      </c>
      <c r="C29" s="39">
        <f t="shared" si="10"/>
        <v>54.199999999999996</v>
      </c>
      <c r="D29" s="39">
        <f t="shared" si="10"/>
        <v>118.60000000000001</v>
      </c>
      <c r="E29" s="39">
        <f t="shared" si="10"/>
        <v>10.559999999999999</v>
      </c>
      <c r="F29" s="39">
        <f t="shared" si="10"/>
        <v>85.699999999999989</v>
      </c>
      <c r="G29" s="202"/>
      <c r="H29" s="213"/>
      <c r="I29" s="191"/>
    </row>
    <row r="30" spans="1:24" ht="14.25" customHeight="1">
      <c r="A30" s="40" t="s">
        <v>113</v>
      </c>
      <c r="B30" s="41">
        <f t="shared" ref="B30:F30" si="11">B29/5</f>
        <v>2.67</v>
      </c>
      <c r="C30" s="41">
        <f t="shared" si="11"/>
        <v>10.84</v>
      </c>
      <c r="D30" s="41">
        <f t="shared" si="11"/>
        <v>23.720000000000002</v>
      </c>
      <c r="E30" s="41">
        <f t="shared" si="11"/>
        <v>2.1119999999999997</v>
      </c>
      <c r="F30" s="41">
        <f t="shared" si="11"/>
        <v>17.139999999999997</v>
      </c>
      <c r="G30" s="214"/>
      <c r="H30" s="215"/>
      <c r="I30" s="191"/>
      <c r="S30" s="190"/>
      <c r="T30" s="191"/>
      <c r="U30" s="191"/>
      <c r="V30" s="191"/>
      <c r="W30" s="191"/>
      <c r="X30" s="191"/>
    </row>
    <row r="31" spans="1:24" ht="14.25" customHeight="1">
      <c r="S31" s="191"/>
      <c r="T31" s="191"/>
      <c r="U31" s="191"/>
      <c r="V31" s="191"/>
      <c r="W31" s="191"/>
      <c r="X31" s="191"/>
    </row>
    <row r="32" spans="1:24" ht="14.25" customHeight="1">
      <c r="S32" s="191"/>
      <c r="T32" s="191"/>
      <c r="U32" s="191"/>
      <c r="V32" s="191"/>
      <c r="W32" s="191"/>
      <c r="X32" s="191"/>
    </row>
    <row r="33" spans="1:16" ht="14.25" customHeight="1"/>
    <row r="34" spans="1:16" ht="14.25" customHeight="1"/>
    <row r="35" spans="1:16" ht="14.25" customHeight="1">
      <c r="A35" s="216" t="s">
        <v>114</v>
      </c>
      <c r="B35" s="217"/>
      <c r="C35" s="217"/>
      <c r="D35" s="217"/>
      <c r="E35" s="217"/>
      <c r="F35" s="217"/>
      <c r="G35" s="217"/>
      <c r="H35" s="217"/>
      <c r="I35" s="217"/>
      <c r="J35" s="197"/>
    </row>
    <row r="36" spans="1:16" ht="14.25" customHeight="1">
      <c r="A36" s="198"/>
      <c r="B36" s="205"/>
      <c r="C36" s="205"/>
      <c r="D36" s="205"/>
      <c r="E36" s="205"/>
      <c r="F36" s="205"/>
      <c r="G36" s="205"/>
      <c r="H36" s="205"/>
      <c r="I36" s="205"/>
      <c r="J36" s="199"/>
    </row>
    <row r="37" spans="1:16" ht="14.25" customHeight="1">
      <c r="A37" s="42" t="s">
        <v>115</v>
      </c>
      <c r="B37" s="42" t="s">
        <v>116</v>
      </c>
      <c r="C37" s="43" t="s">
        <v>117</v>
      </c>
      <c r="D37" s="43" t="s">
        <v>118</v>
      </c>
      <c r="E37" s="42" t="s">
        <v>119</v>
      </c>
      <c r="F37" s="42" t="s">
        <v>10</v>
      </c>
      <c r="G37" s="42" t="s">
        <v>120</v>
      </c>
      <c r="H37" s="42" t="s">
        <v>105</v>
      </c>
      <c r="I37" s="42" t="s">
        <v>121</v>
      </c>
      <c r="J37" s="42" t="s">
        <v>122</v>
      </c>
      <c r="N37" s="190"/>
      <c r="O37" s="191"/>
      <c r="P37" s="191"/>
    </row>
    <row r="38" spans="1:16" ht="14.25" customHeight="1">
      <c r="A38" s="44">
        <v>45324</v>
      </c>
      <c r="B38" s="45" t="s">
        <v>123</v>
      </c>
      <c r="C38" s="45" t="s">
        <v>124</v>
      </c>
      <c r="D38" s="46">
        <v>45444</v>
      </c>
      <c r="E38" s="46">
        <v>45451</v>
      </c>
      <c r="F38" s="47">
        <v>209</v>
      </c>
      <c r="G38" s="48">
        <v>209</v>
      </c>
      <c r="H38" s="48">
        <v>5</v>
      </c>
      <c r="I38" s="41">
        <f t="shared" ref="I38:I43" si="12">F38/H38</f>
        <v>41.8</v>
      </c>
      <c r="J38" s="49" t="str">
        <f t="shared" ref="J38:J43" si="13">IF(F38=G38, "PAID IN FULL",IF(F38-G38,"BALANCE DUE"))</f>
        <v>PAID IN FULL</v>
      </c>
    </row>
    <row r="39" spans="1:16" ht="14.25" customHeight="1">
      <c r="A39" s="44">
        <v>45347</v>
      </c>
      <c r="B39" s="45" t="s">
        <v>125</v>
      </c>
      <c r="C39" s="45" t="s">
        <v>126</v>
      </c>
      <c r="D39" s="46">
        <v>45458</v>
      </c>
      <c r="E39" s="46">
        <v>45465</v>
      </c>
      <c r="F39" s="47">
        <v>354</v>
      </c>
      <c r="G39" s="48">
        <v>100</v>
      </c>
      <c r="H39" s="48">
        <v>4</v>
      </c>
      <c r="I39" s="41">
        <f t="shared" si="12"/>
        <v>88.5</v>
      </c>
      <c r="J39" s="49" t="str">
        <f t="shared" si="13"/>
        <v>BALANCE DUE</v>
      </c>
    </row>
    <row r="40" spans="1:16" ht="14.25" customHeight="1">
      <c r="A40" s="44">
        <v>45354</v>
      </c>
      <c r="B40" s="45" t="s">
        <v>127</v>
      </c>
      <c r="C40" s="45" t="s">
        <v>128</v>
      </c>
      <c r="D40" s="46">
        <v>45437</v>
      </c>
      <c r="E40" s="46">
        <v>45444</v>
      </c>
      <c r="F40" s="47">
        <v>567</v>
      </c>
      <c r="G40" s="48">
        <v>250</v>
      </c>
      <c r="H40" s="48">
        <v>6</v>
      </c>
      <c r="I40" s="41">
        <f t="shared" si="12"/>
        <v>94.5</v>
      </c>
      <c r="J40" s="49" t="str">
        <f t="shared" si="13"/>
        <v>BALANCE DUE</v>
      </c>
    </row>
    <row r="41" spans="1:16" ht="14.25" customHeight="1">
      <c r="A41" s="44">
        <v>45366</v>
      </c>
      <c r="B41" s="45" t="s">
        <v>129</v>
      </c>
      <c r="C41" s="45" t="s">
        <v>130</v>
      </c>
      <c r="D41" s="46">
        <v>45458</v>
      </c>
      <c r="E41" s="46">
        <v>45465</v>
      </c>
      <c r="F41" s="47">
        <v>295</v>
      </c>
      <c r="G41" s="48">
        <v>248</v>
      </c>
      <c r="H41" s="48">
        <v>3</v>
      </c>
      <c r="I41" s="41">
        <f t="shared" si="12"/>
        <v>98.333333333333329</v>
      </c>
      <c r="J41" s="49" t="str">
        <f t="shared" si="13"/>
        <v>BALANCE DUE</v>
      </c>
    </row>
    <row r="42" spans="1:16" ht="14.25" customHeight="1">
      <c r="A42" s="44">
        <v>45389</v>
      </c>
      <c r="B42" s="45" t="s">
        <v>131</v>
      </c>
      <c r="C42" s="45" t="s">
        <v>126</v>
      </c>
      <c r="D42" s="46">
        <v>45493</v>
      </c>
      <c r="E42" s="46">
        <v>45500</v>
      </c>
      <c r="F42" s="47">
        <v>422</v>
      </c>
      <c r="G42" s="48">
        <v>350</v>
      </c>
      <c r="H42" s="48">
        <v>4</v>
      </c>
      <c r="I42" s="41">
        <f t="shared" si="12"/>
        <v>105.5</v>
      </c>
      <c r="J42" s="49" t="str">
        <f t="shared" si="13"/>
        <v>BALANCE DUE</v>
      </c>
    </row>
    <row r="43" spans="1:16" ht="14.25" customHeight="1">
      <c r="A43" s="44">
        <v>45398</v>
      </c>
      <c r="B43" s="45" t="s">
        <v>132</v>
      </c>
      <c r="C43" s="45" t="s">
        <v>133</v>
      </c>
      <c r="D43" s="46">
        <v>45430</v>
      </c>
      <c r="E43" s="46">
        <v>45468</v>
      </c>
      <c r="F43" s="47">
        <v>680</v>
      </c>
      <c r="G43" s="48">
        <v>300</v>
      </c>
      <c r="H43" s="48">
        <v>4</v>
      </c>
      <c r="I43" s="41">
        <f t="shared" si="12"/>
        <v>170</v>
      </c>
      <c r="J43" s="49" t="str">
        <f t="shared" si="13"/>
        <v>BALANCE DUE</v>
      </c>
    </row>
    <row r="44" spans="1:16" ht="14.25" customHeight="1"/>
    <row r="45" spans="1:16" ht="14.25" customHeight="1"/>
    <row r="46" spans="1:16" ht="14.25" customHeight="1"/>
    <row r="47" spans="1:16" ht="14.25" customHeight="1"/>
    <row r="48" spans="1:1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">
    <mergeCell ref="A2:D2"/>
    <mergeCell ref="A4:D4"/>
    <mergeCell ref="J27:N27"/>
    <mergeCell ref="I21:I30"/>
    <mergeCell ref="A21:H21"/>
    <mergeCell ref="A28:F28"/>
    <mergeCell ref="G28:H30"/>
    <mergeCell ref="E1:E11"/>
    <mergeCell ref="G1:J1"/>
    <mergeCell ref="M2:R2"/>
    <mergeCell ref="M4:R4"/>
    <mergeCell ref="S30:X32"/>
    <mergeCell ref="N37:P37"/>
    <mergeCell ref="L2:L5"/>
    <mergeCell ref="L17:R17"/>
    <mergeCell ref="S17:T18"/>
    <mergeCell ref="U17:V17"/>
    <mergeCell ref="J20:N20"/>
    <mergeCell ref="O20:O28"/>
    <mergeCell ref="K1:K8"/>
    <mergeCell ref="L1:R1"/>
    <mergeCell ref="A35:J36"/>
    <mergeCell ref="A1:D1"/>
    <mergeCell ref="S2:S5"/>
    <mergeCell ref="T2:T5"/>
    <mergeCell ref="U2:U5"/>
    <mergeCell ref="V2:V5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/>
  </sheetViews>
  <sheetFormatPr defaultColWidth="14.42578125" defaultRowHeight="15" customHeight="1"/>
  <cols>
    <col min="1" max="1" width="10.85546875" customWidth="1"/>
    <col min="2" max="2" width="10.28515625" customWidth="1"/>
    <col min="3" max="3" width="10.7109375" customWidth="1"/>
    <col min="4" max="5" width="10.42578125" customWidth="1"/>
    <col min="6" max="6" width="10.85546875" customWidth="1"/>
  </cols>
  <sheetData>
    <row r="1" spans="1:6" ht="14.25" customHeight="1">
      <c r="A1" s="30" t="s">
        <v>134</v>
      </c>
      <c r="B1" s="30" t="s">
        <v>135</v>
      </c>
      <c r="C1" s="30" t="s">
        <v>136</v>
      </c>
      <c r="D1" s="30" t="s">
        <v>137</v>
      </c>
      <c r="E1" s="30" t="s">
        <v>138</v>
      </c>
      <c r="F1" s="30" t="s">
        <v>139</v>
      </c>
    </row>
    <row r="2" spans="1:6" ht="14.25" customHeight="1">
      <c r="A2" s="30"/>
      <c r="B2" s="24" t="s">
        <v>140</v>
      </c>
      <c r="C2" s="24" t="s">
        <v>141</v>
      </c>
      <c r="D2" s="24" t="s">
        <v>142</v>
      </c>
      <c r="E2" s="24" t="s">
        <v>143</v>
      </c>
      <c r="F2" s="24" t="s">
        <v>144</v>
      </c>
    </row>
    <row r="3" spans="1:6" ht="14.25" customHeight="1">
      <c r="A3" s="30" t="s">
        <v>145</v>
      </c>
      <c r="B3" s="41">
        <v>254</v>
      </c>
      <c r="C3" s="41">
        <v>290</v>
      </c>
      <c r="D3" s="41">
        <v>198</v>
      </c>
      <c r="E3" s="41">
        <v>354</v>
      </c>
      <c r="F3" s="41">
        <f t="shared" ref="F3:F9" si="0">SUM(B3:E3)</f>
        <v>1096</v>
      </c>
    </row>
    <row r="4" spans="1:6" ht="14.25" customHeight="1">
      <c r="A4" s="30" t="s">
        <v>146</v>
      </c>
      <c r="B4" s="41">
        <v>154</v>
      </c>
      <c r="C4" s="41">
        <v>184</v>
      </c>
      <c r="D4" s="41">
        <v>154</v>
      </c>
      <c r="E4" s="41">
        <v>290</v>
      </c>
      <c r="F4" s="41">
        <f t="shared" si="0"/>
        <v>782</v>
      </c>
    </row>
    <row r="5" spans="1:6" ht="14.25" customHeight="1">
      <c r="A5" s="30" t="s">
        <v>147</v>
      </c>
      <c r="B5" s="41">
        <v>290</v>
      </c>
      <c r="C5" s="41">
        <v>320</v>
      </c>
      <c r="D5" s="41">
        <v>287</v>
      </c>
      <c r="E5" s="41">
        <v>456</v>
      </c>
      <c r="F5" s="41">
        <f t="shared" si="0"/>
        <v>1353</v>
      </c>
    </row>
    <row r="6" spans="1:6" ht="14.25" customHeight="1">
      <c r="A6" s="30" t="s">
        <v>148</v>
      </c>
      <c r="B6" s="41">
        <v>345</v>
      </c>
      <c r="C6" s="41">
        <v>361</v>
      </c>
      <c r="D6" s="41">
        <v>258</v>
      </c>
      <c r="E6" s="41">
        <v>524</v>
      </c>
      <c r="F6" s="41">
        <f t="shared" si="0"/>
        <v>1488</v>
      </c>
    </row>
    <row r="7" spans="1:6" ht="14.25" customHeight="1">
      <c r="A7" s="30" t="s">
        <v>149</v>
      </c>
      <c r="B7" s="41">
        <v>45</v>
      </c>
      <c r="C7" s="41">
        <v>52</v>
      </c>
      <c r="D7" s="41">
        <v>12</v>
      </c>
      <c r="E7" s="41">
        <v>98</v>
      </c>
      <c r="F7" s="41">
        <f t="shared" si="0"/>
        <v>207</v>
      </c>
    </row>
    <row r="8" spans="1:6" ht="14.25" customHeight="1">
      <c r="A8" s="30" t="s">
        <v>150</v>
      </c>
      <c r="B8" s="41">
        <v>75</v>
      </c>
      <c r="C8" s="41">
        <v>125</v>
      </c>
      <c r="D8" s="41">
        <v>157</v>
      </c>
      <c r="E8" s="41">
        <v>185</v>
      </c>
      <c r="F8" s="41">
        <f t="shared" si="0"/>
        <v>542</v>
      </c>
    </row>
    <row r="9" spans="1:6" ht="14.25" customHeight="1">
      <c r="A9" s="30" t="s">
        <v>151</v>
      </c>
      <c r="B9" s="41">
        <v>26</v>
      </c>
      <c r="C9" s="41">
        <v>19</v>
      </c>
      <c r="D9" s="41">
        <v>15</v>
      </c>
      <c r="E9" s="41">
        <v>56</v>
      </c>
      <c r="F9" s="41">
        <f t="shared" si="0"/>
        <v>116</v>
      </c>
    </row>
    <row r="10" spans="1:6" ht="14.25" customHeight="1"/>
    <row r="11" spans="1:6" ht="14.25" customHeight="1"/>
    <row r="12" spans="1:6" ht="14.25" customHeight="1">
      <c r="A12" s="8"/>
      <c r="B12" s="8"/>
      <c r="C12" s="8"/>
      <c r="D12" s="8"/>
      <c r="E12" s="8"/>
      <c r="F12" s="8"/>
    </row>
    <row r="13" spans="1:6" ht="14.25" customHeight="1">
      <c r="A13" s="8"/>
      <c r="B13" s="8"/>
      <c r="C13" s="8"/>
      <c r="D13" s="8"/>
      <c r="E13" s="8"/>
      <c r="F13" s="8"/>
    </row>
    <row r="14" spans="1:6" ht="14.25" customHeight="1">
      <c r="A14" s="8"/>
      <c r="B14" s="8"/>
      <c r="C14" s="8"/>
      <c r="D14" s="8"/>
      <c r="E14" s="8"/>
      <c r="F14" s="8"/>
    </row>
    <row r="15" spans="1:6" ht="14.25" customHeight="1">
      <c r="A15" s="8"/>
      <c r="B15" s="8"/>
      <c r="C15" s="8"/>
      <c r="D15" s="8"/>
      <c r="E15" s="8"/>
      <c r="F15" s="8"/>
    </row>
    <row r="16" spans="1:6" ht="14.25" customHeight="1">
      <c r="A16" s="8"/>
      <c r="B16" s="8"/>
      <c r="C16" s="8"/>
      <c r="D16" s="8"/>
      <c r="E16" s="8"/>
      <c r="F16" s="8"/>
    </row>
    <row r="17" spans="1:6" ht="14.25" customHeight="1">
      <c r="A17" s="8"/>
      <c r="B17" s="8"/>
      <c r="C17" s="8"/>
      <c r="D17" s="8"/>
      <c r="E17" s="8"/>
      <c r="F17" s="8"/>
    </row>
    <row r="18" spans="1:6" ht="14.25" customHeight="1">
      <c r="A18" s="8"/>
      <c r="B18" s="8"/>
      <c r="C18" s="8"/>
      <c r="D18" s="8"/>
      <c r="E18" s="8"/>
      <c r="F18" s="8"/>
    </row>
    <row r="19" spans="1:6" ht="14.25" customHeight="1">
      <c r="A19" s="8"/>
      <c r="B19" s="8"/>
      <c r="C19" s="8"/>
      <c r="D19" s="8"/>
      <c r="E19" s="8"/>
      <c r="F19" s="8"/>
    </row>
    <row r="20" spans="1:6" ht="14.25" customHeight="1">
      <c r="A20" s="8"/>
      <c r="B20" s="8"/>
      <c r="C20" s="8"/>
      <c r="D20" s="8"/>
      <c r="E20" s="8"/>
      <c r="F20" s="8"/>
    </row>
    <row r="21" spans="1:6" ht="14.25" customHeight="1"/>
    <row r="22" spans="1:6" ht="14.25" customHeight="1"/>
    <row r="23" spans="1:6" ht="14.25" customHeight="1"/>
    <row r="24" spans="1:6" ht="14.25" customHeight="1"/>
    <row r="25" spans="1:6" ht="14.25" customHeight="1"/>
    <row r="26" spans="1:6" ht="14.25" customHeight="1"/>
    <row r="27" spans="1:6" ht="14.25" customHeight="1"/>
    <row r="28" spans="1:6" ht="14.25" customHeight="1"/>
    <row r="29" spans="1:6" ht="14.25" customHeight="1"/>
    <row r="30" spans="1:6" ht="14.25" customHeight="1"/>
    <row r="31" spans="1:6" ht="14.25" customHeight="1"/>
    <row r="32" spans="1: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workbookViewId="0"/>
  </sheetViews>
  <sheetFormatPr defaultColWidth="14.42578125" defaultRowHeight="15" customHeight="1"/>
  <cols>
    <col min="1" max="1" width="8.7109375" customWidth="1"/>
    <col min="2" max="2" width="12.28515625" customWidth="1"/>
    <col min="3" max="3" width="13.140625" customWidth="1"/>
    <col min="4" max="5" width="12.7109375" customWidth="1"/>
    <col min="6" max="6" width="14" customWidth="1"/>
  </cols>
  <sheetData>
    <row r="1" spans="1:6" ht="14.25" customHeight="1">
      <c r="A1" s="30" t="s">
        <v>134</v>
      </c>
      <c r="B1" s="30" t="s">
        <v>152</v>
      </c>
      <c r="C1" s="30" t="s">
        <v>153</v>
      </c>
      <c r="D1" s="30" t="s">
        <v>154</v>
      </c>
      <c r="E1" s="30" t="s">
        <v>155</v>
      </c>
      <c r="F1" s="30" t="s">
        <v>156</v>
      </c>
    </row>
    <row r="2" spans="1:6" ht="14.25" customHeight="1">
      <c r="A2" s="30"/>
      <c r="B2" s="24" t="s">
        <v>157</v>
      </c>
      <c r="C2" s="24" t="s">
        <v>158</v>
      </c>
      <c r="D2" s="24" t="s">
        <v>159</v>
      </c>
      <c r="E2" s="24" t="s">
        <v>160</v>
      </c>
      <c r="F2" s="24" t="s">
        <v>161</v>
      </c>
    </row>
    <row r="3" spans="1:6" ht="14.25" customHeight="1">
      <c r="A3" s="30" t="s">
        <v>145</v>
      </c>
      <c r="B3" s="50">
        <v>154</v>
      </c>
      <c r="C3" s="50">
        <v>167</v>
      </c>
      <c r="D3" s="50">
        <v>142</v>
      </c>
      <c r="E3" s="50">
        <v>245</v>
      </c>
      <c r="F3" s="50">
        <f t="shared" ref="F3:F9" si="0">SUM(B3:E3)</f>
        <v>708</v>
      </c>
    </row>
    <row r="4" spans="1:6" ht="14.25" customHeight="1">
      <c r="A4" s="30" t="s">
        <v>146</v>
      </c>
      <c r="B4" s="50">
        <v>165</v>
      </c>
      <c r="C4" s="50">
        <v>124</v>
      </c>
      <c r="D4" s="50">
        <v>225</v>
      </c>
      <c r="E4" s="50">
        <v>264</v>
      </c>
      <c r="F4" s="50">
        <f t="shared" si="0"/>
        <v>778</v>
      </c>
    </row>
    <row r="5" spans="1:6" ht="14.25" customHeight="1">
      <c r="A5" s="30" t="s">
        <v>147</v>
      </c>
      <c r="B5" s="50">
        <v>187</v>
      </c>
      <c r="C5" s="50">
        <v>95</v>
      </c>
      <c r="D5" s="50">
        <v>254</v>
      </c>
      <c r="E5" s="50">
        <v>322</v>
      </c>
      <c r="F5" s="50">
        <f t="shared" si="0"/>
        <v>858</v>
      </c>
    </row>
    <row r="6" spans="1:6" ht="14.25" customHeight="1">
      <c r="A6" s="30" t="s">
        <v>148</v>
      </c>
      <c r="B6" s="50">
        <v>201</v>
      </c>
      <c r="C6" s="50">
        <v>210</v>
      </c>
      <c r="D6" s="50">
        <v>342</v>
      </c>
      <c r="E6" s="50">
        <v>412</v>
      </c>
      <c r="F6" s="50">
        <f t="shared" si="0"/>
        <v>1165</v>
      </c>
    </row>
    <row r="7" spans="1:6" ht="14.25" customHeight="1">
      <c r="A7" s="30" t="s">
        <v>149</v>
      </c>
      <c r="B7" s="50">
        <v>12</v>
      </c>
      <c r="C7" s="50">
        <v>21</v>
      </c>
      <c r="D7" s="50">
        <v>18</v>
      </c>
      <c r="E7" s="50">
        <v>54</v>
      </c>
      <c r="F7" s="50">
        <f t="shared" si="0"/>
        <v>105</v>
      </c>
    </row>
    <row r="8" spans="1:6" ht="14.25" customHeight="1">
      <c r="A8" s="30" t="s">
        <v>150</v>
      </c>
      <c r="B8" s="50">
        <v>42</v>
      </c>
      <c r="C8" s="50">
        <v>34</v>
      </c>
      <c r="D8" s="50">
        <v>65</v>
      </c>
      <c r="E8" s="50">
        <v>102</v>
      </c>
      <c r="F8" s="50">
        <f t="shared" si="0"/>
        <v>243</v>
      </c>
    </row>
    <row r="9" spans="1:6" ht="14.25" customHeight="1">
      <c r="A9" s="30" t="s">
        <v>151</v>
      </c>
      <c r="B9" s="50">
        <v>20</v>
      </c>
      <c r="C9" s="50">
        <v>16</v>
      </c>
      <c r="D9" s="50">
        <v>20</v>
      </c>
      <c r="E9" s="50">
        <v>45</v>
      </c>
      <c r="F9" s="50">
        <f t="shared" si="0"/>
        <v>101</v>
      </c>
    </row>
    <row r="10" spans="1:6" ht="14.25" customHeight="1"/>
    <row r="11" spans="1:6" ht="14.25" customHeight="1"/>
    <row r="12" spans="1:6" ht="14.25" customHeight="1"/>
    <row r="13" spans="1:6" ht="14.25" customHeight="1"/>
    <row r="14" spans="1:6" ht="14.25" customHeight="1"/>
    <row r="15" spans="1:6" ht="14.25" customHeight="1"/>
    <row r="16" spans="1: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defaultColWidth="14.42578125" defaultRowHeight="15" customHeight="1"/>
  <cols>
    <col min="1" max="1" width="10.85546875" customWidth="1"/>
    <col min="2" max="2" width="12.28515625" customWidth="1"/>
    <col min="3" max="3" width="13.140625" customWidth="1"/>
    <col min="4" max="5" width="12.7109375" customWidth="1"/>
    <col min="6" max="6" width="14" customWidth="1"/>
  </cols>
  <sheetData>
    <row r="1" spans="1:6" ht="14.25" customHeight="1">
      <c r="A1" s="30" t="s">
        <v>162</v>
      </c>
      <c r="B1" s="30" t="s">
        <v>152</v>
      </c>
      <c r="C1" s="30" t="s">
        <v>153</v>
      </c>
      <c r="D1" s="30" t="s">
        <v>154</v>
      </c>
      <c r="E1" s="30" t="s">
        <v>155</v>
      </c>
      <c r="F1" s="30" t="s">
        <v>156</v>
      </c>
    </row>
    <row r="2" spans="1:6" ht="14.25" customHeight="1">
      <c r="A2" s="30"/>
      <c r="B2" s="51" t="s">
        <v>157</v>
      </c>
      <c r="C2" s="51" t="s">
        <v>158</v>
      </c>
      <c r="D2" s="51" t="s">
        <v>159</v>
      </c>
      <c r="E2" s="51" t="s">
        <v>160</v>
      </c>
      <c r="F2" s="51" t="s">
        <v>161</v>
      </c>
    </row>
    <row r="3" spans="1:6" ht="14.25" customHeight="1">
      <c r="A3" s="30" t="s">
        <v>145</v>
      </c>
      <c r="B3" s="51">
        <f>East!B3+West!B3</f>
        <v>408</v>
      </c>
      <c r="C3" s="51">
        <f>East!C3+West!C3</f>
        <v>457</v>
      </c>
      <c r="D3" s="51">
        <f>East!D3+West!D3</f>
        <v>340</v>
      </c>
      <c r="E3" s="51">
        <f>East!E3+West!E3</f>
        <v>599</v>
      </c>
      <c r="F3" s="51">
        <f t="shared" ref="F3:F9" si="0">SUM(B3:E3)</f>
        <v>1804</v>
      </c>
    </row>
    <row r="4" spans="1:6" ht="14.25" customHeight="1">
      <c r="A4" s="30" t="s">
        <v>146</v>
      </c>
      <c r="B4" s="51">
        <f>East!B4+West!B4</f>
        <v>319</v>
      </c>
      <c r="C4" s="51">
        <f>East!C4+West!C4</f>
        <v>308</v>
      </c>
      <c r="D4" s="51">
        <f>East!D4+West!D4</f>
        <v>379</v>
      </c>
      <c r="E4" s="51">
        <f>East!E4+West!E4</f>
        <v>554</v>
      </c>
      <c r="F4" s="51">
        <f t="shared" si="0"/>
        <v>1560</v>
      </c>
    </row>
    <row r="5" spans="1:6" ht="14.25" customHeight="1">
      <c r="A5" s="30" t="s">
        <v>147</v>
      </c>
      <c r="B5" s="51">
        <f>East!B5+West!B5</f>
        <v>477</v>
      </c>
      <c r="C5" s="51">
        <f>East!C5+West!C5</f>
        <v>415</v>
      </c>
      <c r="D5" s="51">
        <f>East!D5+West!D5</f>
        <v>541</v>
      </c>
      <c r="E5" s="51">
        <f>East!E5+West!E5</f>
        <v>778</v>
      </c>
      <c r="F5" s="51">
        <f t="shared" si="0"/>
        <v>2211</v>
      </c>
    </row>
    <row r="6" spans="1:6" ht="14.25" customHeight="1">
      <c r="A6" s="30" t="s">
        <v>148</v>
      </c>
      <c r="B6" s="51">
        <f>East!B6+West!B6</f>
        <v>546</v>
      </c>
      <c r="C6" s="51">
        <f>East!C6+West!C6</f>
        <v>571</v>
      </c>
      <c r="D6" s="51">
        <f>East!D6+West!D6</f>
        <v>600</v>
      </c>
      <c r="E6" s="51">
        <f>East!E6+West!E6</f>
        <v>936</v>
      </c>
      <c r="F6" s="51">
        <f t="shared" si="0"/>
        <v>2653</v>
      </c>
    </row>
    <row r="7" spans="1:6" ht="14.25" customHeight="1">
      <c r="A7" s="30" t="s">
        <v>149</v>
      </c>
      <c r="B7" s="51">
        <f>East!B7+West!B7</f>
        <v>57</v>
      </c>
      <c r="C7" s="51">
        <f>East!C7+West!C7</f>
        <v>73</v>
      </c>
      <c r="D7" s="51">
        <f>East!D7+West!D7</f>
        <v>30</v>
      </c>
      <c r="E7" s="51">
        <f>East!E7+West!E7</f>
        <v>152</v>
      </c>
      <c r="F7" s="51">
        <f t="shared" si="0"/>
        <v>312</v>
      </c>
    </row>
    <row r="8" spans="1:6" ht="14.25" customHeight="1">
      <c r="A8" s="30" t="s">
        <v>150</v>
      </c>
      <c r="B8" s="51">
        <f>East!B8+West!B8</f>
        <v>117</v>
      </c>
      <c r="C8" s="51">
        <f>East!C8+West!C8</f>
        <v>159</v>
      </c>
      <c r="D8" s="51">
        <f>East!D8+West!D8</f>
        <v>222</v>
      </c>
      <c r="E8" s="51">
        <f>East!E8+West!E8</f>
        <v>287</v>
      </c>
      <c r="F8" s="51">
        <f t="shared" si="0"/>
        <v>785</v>
      </c>
    </row>
    <row r="9" spans="1:6" ht="14.25" customHeight="1">
      <c r="A9" s="30" t="s">
        <v>151</v>
      </c>
      <c r="B9" s="51">
        <f>East!B9+West!B9</f>
        <v>46</v>
      </c>
      <c r="C9" s="51">
        <f>East!C9+West!C9</f>
        <v>35</v>
      </c>
      <c r="D9" s="51">
        <f>East!D9+West!D9</f>
        <v>35</v>
      </c>
      <c r="E9" s="51">
        <f>East!E9+West!E9</f>
        <v>101</v>
      </c>
      <c r="F9" s="51">
        <f t="shared" si="0"/>
        <v>217</v>
      </c>
    </row>
    <row r="10" spans="1:6" ht="14.25" customHeight="1"/>
    <row r="11" spans="1:6" ht="14.25" customHeight="1"/>
    <row r="12" spans="1:6" ht="14.25" customHeight="1"/>
    <row r="13" spans="1:6" ht="14.25" customHeight="1"/>
    <row r="14" spans="1:6" ht="14.25" customHeight="1"/>
    <row r="15" spans="1:6" ht="14.25" customHeight="1"/>
    <row r="16" spans="1: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D1000"/>
  <sheetViews>
    <sheetView workbookViewId="0"/>
  </sheetViews>
  <sheetFormatPr defaultColWidth="14.42578125" defaultRowHeight="15" customHeight="1"/>
  <cols>
    <col min="1" max="1" width="13.140625" customWidth="1"/>
    <col min="2" max="2" width="12.140625" customWidth="1"/>
    <col min="3" max="26" width="8.7109375" customWidth="1"/>
  </cols>
  <sheetData>
    <row r="3" spans="1:4">
      <c r="A3" s="171" t="s">
        <v>163</v>
      </c>
      <c r="B3" s="171" t="s">
        <v>164</v>
      </c>
      <c r="C3" s="171" t="s">
        <v>165</v>
      </c>
      <c r="D3" s="178" t="s">
        <v>166</v>
      </c>
    </row>
    <row r="4" spans="1:4">
      <c r="A4" s="169" t="s">
        <v>167</v>
      </c>
      <c r="B4" s="169" t="s">
        <v>168</v>
      </c>
      <c r="C4" s="169" t="s">
        <v>169</v>
      </c>
      <c r="D4" s="310">
        <v>9339</v>
      </c>
    </row>
    <row r="5" spans="1:4">
      <c r="A5" s="174"/>
      <c r="B5" s="169" t="s">
        <v>170</v>
      </c>
      <c r="C5" s="170"/>
      <c r="D5" s="310">
        <v>9339</v>
      </c>
    </row>
    <row r="6" spans="1:4">
      <c r="A6" s="174"/>
      <c r="B6" s="169" t="s">
        <v>171</v>
      </c>
      <c r="C6" s="169" t="s">
        <v>172</v>
      </c>
      <c r="D6" s="310">
        <v>7433</v>
      </c>
    </row>
    <row r="7" spans="1:4">
      <c r="A7" s="174"/>
      <c r="B7" s="169" t="s">
        <v>173</v>
      </c>
      <c r="C7" s="170"/>
      <c r="D7" s="310">
        <v>7433</v>
      </c>
    </row>
    <row r="8" spans="1:4">
      <c r="A8" s="174"/>
      <c r="B8" s="169" t="s">
        <v>174</v>
      </c>
      <c r="C8" s="169" t="s">
        <v>175</v>
      </c>
      <c r="D8" s="310">
        <v>16753</v>
      </c>
    </row>
    <row r="9" spans="1:4">
      <c r="A9" s="174"/>
      <c r="B9" s="169" t="s">
        <v>176</v>
      </c>
      <c r="C9" s="170"/>
      <c r="D9" s="310">
        <v>16753</v>
      </c>
    </row>
    <row r="10" spans="1:4">
      <c r="A10" s="174"/>
      <c r="B10" s="169" t="s">
        <v>177</v>
      </c>
      <c r="C10" s="169" t="s">
        <v>172</v>
      </c>
      <c r="D10" s="310">
        <v>12438</v>
      </c>
    </row>
    <row r="11" spans="1:4">
      <c r="A11" s="174"/>
      <c r="B11" s="174"/>
      <c r="C11" s="175" t="s">
        <v>169</v>
      </c>
      <c r="D11" s="311">
        <v>10644</v>
      </c>
    </row>
    <row r="12" spans="1:4">
      <c r="A12" s="174"/>
      <c r="B12" s="174"/>
      <c r="C12" s="175" t="s">
        <v>178</v>
      </c>
      <c r="D12" s="311">
        <v>19302</v>
      </c>
    </row>
    <row r="13" spans="1:4">
      <c r="A13" s="174"/>
      <c r="B13" s="169" t="s">
        <v>179</v>
      </c>
      <c r="C13" s="170"/>
      <c r="D13" s="310">
        <v>42384</v>
      </c>
    </row>
    <row r="14" spans="1:4">
      <c r="A14" s="169" t="s">
        <v>180</v>
      </c>
      <c r="B14" s="170"/>
      <c r="C14" s="170"/>
      <c r="D14" s="310">
        <v>75909</v>
      </c>
    </row>
    <row r="15" spans="1:4">
      <c r="A15" s="169" t="s">
        <v>181</v>
      </c>
      <c r="B15" s="169" t="s">
        <v>182</v>
      </c>
      <c r="C15" s="169" t="s">
        <v>169</v>
      </c>
      <c r="D15" s="310">
        <v>3255</v>
      </c>
    </row>
    <row r="16" spans="1:4">
      <c r="A16" s="174"/>
      <c r="B16" s="174"/>
      <c r="C16" s="175" t="s">
        <v>178</v>
      </c>
      <c r="D16" s="311">
        <v>4865</v>
      </c>
    </row>
    <row r="17" spans="1:4">
      <c r="A17" s="174"/>
      <c r="B17" s="169" t="s">
        <v>183</v>
      </c>
      <c r="C17" s="170"/>
      <c r="D17" s="310">
        <v>8120</v>
      </c>
    </row>
    <row r="18" spans="1:4">
      <c r="A18" s="174"/>
      <c r="B18" s="169" t="s">
        <v>168</v>
      </c>
      <c r="C18" s="169" t="s">
        <v>178</v>
      </c>
      <c r="D18" s="310">
        <v>14808</v>
      </c>
    </row>
    <row r="19" spans="1:4">
      <c r="A19" s="174"/>
      <c r="B19" s="169" t="s">
        <v>170</v>
      </c>
      <c r="C19" s="170"/>
      <c r="D19" s="310">
        <v>14808</v>
      </c>
    </row>
    <row r="20" spans="1:4">
      <c r="A20" s="174"/>
      <c r="B20" s="169" t="s">
        <v>171</v>
      </c>
      <c r="C20" s="169" t="s">
        <v>175</v>
      </c>
      <c r="D20" s="310">
        <v>1390</v>
      </c>
    </row>
    <row r="21" spans="1:4" ht="15.75" customHeight="1">
      <c r="A21" s="174"/>
      <c r="B21" s="174"/>
      <c r="C21" s="175" t="s">
        <v>178</v>
      </c>
      <c r="D21" s="311">
        <v>9213</v>
      </c>
    </row>
    <row r="22" spans="1:4" ht="15.75" customHeight="1">
      <c r="A22" s="174"/>
      <c r="B22" s="169" t="s">
        <v>173</v>
      </c>
      <c r="C22" s="170"/>
      <c r="D22" s="310">
        <v>10603</v>
      </c>
    </row>
    <row r="23" spans="1:4" ht="15.75" customHeight="1">
      <c r="A23" s="174"/>
      <c r="B23" s="169" t="s">
        <v>174</v>
      </c>
      <c r="C23" s="169" t="s">
        <v>172</v>
      </c>
      <c r="D23" s="310">
        <v>9698</v>
      </c>
    </row>
    <row r="24" spans="1:4" ht="15.75" customHeight="1">
      <c r="A24" s="174"/>
      <c r="B24" s="174"/>
      <c r="C24" s="175" t="s">
        <v>175</v>
      </c>
      <c r="D24" s="311">
        <v>18919</v>
      </c>
    </row>
    <row r="25" spans="1:4" ht="15.75" customHeight="1">
      <c r="A25" s="174"/>
      <c r="B25" s="169" t="s">
        <v>176</v>
      </c>
      <c r="C25" s="170"/>
      <c r="D25" s="310">
        <v>28617</v>
      </c>
    </row>
    <row r="26" spans="1:4" ht="15.75" customHeight="1">
      <c r="A26" s="169" t="s">
        <v>184</v>
      </c>
      <c r="B26" s="170"/>
      <c r="C26" s="170"/>
      <c r="D26" s="310">
        <v>62148</v>
      </c>
    </row>
    <row r="27" spans="1:4" ht="15.75" customHeight="1">
      <c r="A27" s="169" t="s">
        <v>185</v>
      </c>
      <c r="B27" s="169" t="s">
        <v>177</v>
      </c>
      <c r="C27" s="169" t="s">
        <v>175</v>
      </c>
      <c r="D27" s="310">
        <v>14867</v>
      </c>
    </row>
    <row r="28" spans="1:4" ht="15.75" customHeight="1">
      <c r="A28" s="174"/>
      <c r="B28" s="169" t="s">
        <v>179</v>
      </c>
      <c r="C28" s="170"/>
      <c r="D28" s="310">
        <v>14867</v>
      </c>
    </row>
    <row r="29" spans="1:4" ht="15.75" customHeight="1">
      <c r="A29" s="169" t="s">
        <v>186</v>
      </c>
      <c r="B29" s="170"/>
      <c r="C29" s="170"/>
      <c r="D29" s="310">
        <v>14867</v>
      </c>
    </row>
    <row r="30" spans="1:4" ht="15.75" customHeight="1">
      <c r="A30" s="176" t="s">
        <v>187</v>
      </c>
      <c r="B30" s="177"/>
      <c r="C30" s="177"/>
      <c r="D30" s="312">
        <v>152924</v>
      </c>
    </row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E1000"/>
  <sheetViews>
    <sheetView topLeftCell="A24" workbookViewId="0"/>
  </sheetViews>
  <sheetFormatPr defaultColWidth="14.42578125" defaultRowHeight="15" customHeight="1"/>
  <cols>
    <col min="1" max="1" width="17.28515625" customWidth="1"/>
    <col min="2" max="2" width="11.5703125" customWidth="1"/>
    <col min="3" max="3" width="13.7109375" customWidth="1"/>
    <col min="4" max="26" width="8.7109375" customWidth="1"/>
  </cols>
  <sheetData>
    <row r="3" spans="1:5">
      <c r="A3" s="169"/>
      <c r="B3" s="170"/>
      <c r="C3" s="170"/>
      <c r="D3" s="171" t="s">
        <v>1024</v>
      </c>
      <c r="E3" s="172"/>
    </row>
    <row r="4" spans="1:5">
      <c r="A4" s="171" t="s">
        <v>188</v>
      </c>
      <c r="B4" s="171" t="s">
        <v>189</v>
      </c>
      <c r="C4" s="171" t="s">
        <v>190</v>
      </c>
      <c r="D4" s="169" t="s">
        <v>191</v>
      </c>
      <c r="E4" s="173" t="s">
        <v>192</v>
      </c>
    </row>
    <row r="5" spans="1:5">
      <c r="A5" s="169" t="s">
        <v>193</v>
      </c>
      <c r="B5" s="169" t="s">
        <v>194</v>
      </c>
      <c r="C5" s="169" t="s">
        <v>195</v>
      </c>
      <c r="D5" s="313">
        <v>1998</v>
      </c>
      <c r="E5" s="314">
        <v>554536</v>
      </c>
    </row>
    <row r="6" spans="1:5">
      <c r="A6" s="174"/>
      <c r="B6" s="174"/>
      <c r="C6" s="175" t="s">
        <v>196</v>
      </c>
      <c r="D6" s="315">
        <v>1998</v>
      </c>
      <c r="E6" s="316">
        <v>457726</v>
      </c>
    </row>
    <row r="7" spans="1:5">
      <c r="A7" s="174"/>
      <c r="B7" s="174"/>
      <c r="C7" s="175" t="s">
        <v>197</v>
      </c>
      <c r="D7" s="315">
        <v>1998</v>
      </c>
      <c r="E7" s="316">
        <v>500847</v>
      </c>
    </row>
    <row r="8" spans="1:5">
      <c r="A8" s="174"/>
      <c r="B8" s="169" t="s">
        <v>198</v>
      </c>
      <c r="C8" s="170"/>
      <c r="D8" s="313">
        <v>5994</v>
      </c>
      <c r="E8" s="314">
        <v>1513109</v>
      </c>
    </row>
    <row r="9" spans="1:5">
      <c r="A9" s="174"/>
      <c r="B9" s="169" t="s">
        <v>199</v>
      </c>
      <c r="C9" s="169" t="s">
        <v>195</v>
      </c>
      <c r="D9" s="313">
        <v>1998</v>
      </c>
      <c r="E9" s="314">
        <v>540643</v>
      </c>
    </row>
    <row r="10" spans="1:5">
      <c r="A10" s="174"/>
      <c r="B10" s="174"/>
      <c r="C10" s="175" t="s">
        <v>196</v>
      </c>
      <c r="D10" s="315">
        <v>1998</v>
      </c>
      <c r="E10" s="316">
        <v>347696</v>
      </c>
    </row>
    <row r="11" spans="1:5">
      <c r="A11" s="174"/>
      <c r="B11" s="174"/>
      <c r="C11" s="175" t="s">
        <v>197</v>
      </c>
      <c r="D11" s="315">
        <v>1998</v>
      </c>
      <c r="E11" s="316">
        <v>507070</v>
      </c>
    </row>
    <row r="12" spans="1:5">
      <c r="A12" s="174"/>
      <c r="B12" s="169" t="s">
        <v>201</v>
      </c>
      <c r="C12" s="170"/>
      <c r="D12" s="313">
        <v>5994</v>
      </c>
      <c r="E12" s="314">
        <v>1395409</v>
      </c>
    </row>
    <row r="13" spans="1:5">
      <c r="A13" s="174"/>
      <c r="B13" s="169" t="s">
        <v>202</v>
      </c>
      <c r="C13" s="169" t="s">
        <v>195</v>
      </c>
      <c r="D13" s="313">
        <v>1998</v>
      </c>
      <c r="E13" s="314">
        <v>577548</v>
      </c>
    </row>
    <row r="14" spans="1:5">
      <c r="A14" s="174"/>
      <c r="B14" s="174"/>
      <c r="C14" s="175" t="s">
        <v>196</v>
      </c>
      <c r="D14" s="315">
        <v>1998</v>
      </c>
      <c r="E14" s="316">
        <v>384541</v>
      </c>
    </row>
    <row r="15" spans="1:5">
      <c r="A15" s="174"/>
      <c r="B15" s="174"/>
      <c r="C15" s="175" t="s">
        <v>197</v>
      </c>
      <c r="D15" s="315">
        <v>1998</v>
      </c>
      <c r="E15" s="316">
        <v>482346</v>
      </c>
    </row>
    <row r="16" spans="1:5">
      <c r="A16" s="174"/>
      <c r="B16" s="169" t="s">
        <v>203</v>
      </c>
      <c r="C16" s="170"/>
      <c r="D16" s="313">
        <v>5994</v>
      </c>
      <c r="E16" s="314">
        <v>1444435</v>
      </c>
    </row>
    <row r="17" spans="1:5">
      <c r="A17" s="174"/>
      <c r="B17" s="169" t="s">
        <v>204</v>
      </c>
      <c r="C17" s="169" t="s">
        <v>195</v>
      </c>
      <c r="D17" s="313">
        <v>1998</v>
      </c>
      <c r="E17" s="314">
        <v>455905</v>
      </c>
    </row>
    <row r="18" spans="1:5">
      <c r="A18" s="174"/>
      <c r="B18" s="174"/>
      <c r="C18" s="175" t="s">
        <v>197</v>
      </c>
      <c r="D18" s="315">
        <v>1998</v>
      </c>
      <c r="E18" s="316">
        <v>608713</v>
      </c>
    </row>
    <row r="19" spans="1:5">
      <c r="A19" s="174"/>
      <c r="B19" s="169" t="s">
        <v>205</v>
      </c>
      <c r="C19" s="170"/>
      <c r="D19" s="313">
        <v>3996</v>
      </c>
      <c r="E19" s="314">
        <v>1064618</v>
      </c>
    </row>
    <row r="20" spans="1:5">
      <c r="A20" s="174"/>
      <c r="B20" s="169" t="s">
        <v>206</v>
      </c>
      <c r="C20" s="169" t="s">
        <v>196</v>
      </c>
      <c r="D20" s="313">
        <v>1998</v>
      </c>
      <c r="E20" s="314">
        <v>386420</v>
      </c>
    </row>
    <row r="21" spans="1:5" ht="15.75" customHeight="1">
      <c r="A21" s="174"/>
      <c r="B21" s="169" t="s">
        <v>208</v>
      </c>
      <c r="C21" s="170"/>
      <c r="D21" s="313">
        <v>1998</v>
      </c>
      <c r="E21" s="314">
        <v>386420</v>
      </c>
    </row>
    <row r="22" spans="1:5" ht="15.75" customHeight="1">
      <c r="A22" s="174"/>
      <c r="B22" s="169" t="s">
        <v>209</v>
      </c>
      <c r="C22" s="169" t="s">
        <v>195</v>
      </c>
      <c r="D22" s="313">
        <v>1998</v>
      </c>
      <c r="E22" s="314">
        <v>490871</v>
      </c>
    </row>
    <row r="23" spans="1:5" ht="15.75" customHeight="1">
      <c r="A23" s="174"/>
      <c r="B23" s="174"/>
      <c r="C23" s="175" t="s">
        <v>196</v>
      </c>
      <c r="D23" s="315">
        <v>1998</v>
      </c>
      <c r="E23" s="316">
        <v>370970</v>
      </c>
    </row>
    <row r="24" spans="1:5" ht="15.75" customHeight="1">
      <c r="A24" s="174"/>
      <c r="B24" s="174"/>
      <c r="C24" s="175" t="s">
        <v>197</v>
      </c>
      <c r="D24" s="315">
        <v>1998</v>
      </c>
      <c r="E24" s="316">
        <v>150000</v>
      </c>
    </row>
    <row r="25" spans="1:5" ht="15.75" customHeight="1">
      <c r="A25" s="174"/>
      <c r="B25" s="169" t="s">
        <v>210</v>
      </c>
      <c r="C25" s="170"/>
      <c r="D25" s="313">
        <v>5994</v>
      </c>
      <c r="E25" s="314">
        <v>1011841</v>
      </c>
    </row>
    <row r="26" spans="1:5" ht="15.75" customHeight="1">
      <c r="A26" s="174"/>
      <c r="B26" s="169" t="s">
        <v>211</v>
      </c>
      <c r="C26" s="169" t="s">
        <v>195</v>
      </c>
      <c r="D26" s="313">
        <v>3996</v>
      </c>
      <c r="E26" s="314">
        <v>947032</v>
      </c>
    </row>
    <row r="27" spans="1:5" ht="15.75" customHeight="1">
      <c r="A27" s="174"/>
      <c r="B27" s="174"/>
      <c r="C27" s="175" t="s">
        <v>197</v>
      </c>
      <c r="D27" s="315">
        <v>1998</v>
      </c>
      <c r="E27" s="316">
        <v>430754</v>
      </c>
    </row>
    <row r="28" spans="1:5" ht="15.75" customHeight="1">
      <c r="A28" s="174"/>
      <c r="B28" s="169" t="s">
        <v>212</v>
      </c>
      <c r="C28" s="170"/>
      <c r="D28" s="313">
        <v>5994</v>
      </c>
      <c r="E28" s="314">
        <v>1377786</v>
      </c>
    </row>
    <row r="29" spans="1:5" ht="15.75" customHeight="1">
      <c r="A29" s="169" t="s">
        <v>213</v>
      </c>
      <c r="B29" s="170"/>
      <c r="C29" s="170"/>
      <c r="D29" s="313">
        <v>35964</v>
      </c>
      <c r="E29" s="314">
        <v>8193618</v>
      </c>
    </row>
    <row r="30" spans="1:5" ht="15.75" customHeight="1">
      <c r="A30" s="169" t="s">
        <v>214</v>
      </c>
      <c r="B30" s="169" t="s">
        <v>194</v>
      </c>
      <c r="C30" s="169" t="s">
        <v>195</v>
      </c>
      <c r="D30" s="313">
        <v>1998</v>
      </c>
      <c r="E30" s="314">
        <v>545780</v>
      </c>
    </row>
    <row r="31" spans="1:5" ht="15.75" customHeight="1">
      <c r="A31" s="174"/>
      <c r="B31" s="174"/>
      <c r="C31" s="175" t="s">
        <v>196</v>
      </c>
      <c r="D31" s="315">
        <v>1998</v>
      </c>
      <c r="E31" s="316">
        <v>331289</v>
      </c>
    </row>
    <row r="32" spans="1:5" ht="15.75" customHeight="1">
      <c r="A32" s="174"/>
      <c r="B32" s="174"/>
      <c r="C32" s="175" t="s">
        <v>197</v>
      </c>
      <c r="D32" s="315">
        <v>1998</v>
      </c>
      <c r="E32" s="316">
        <v>606332</v>
      </c>
    </row>
    <row r="33" spans="1:5" ht="15.75" customHeight="1">
      <c r="A33" s="174"/>
      <c r="B33" s="169" t="s">
        <v>198</v>
      </c>
      <c r="C33" s="170"/>
      <c r="D33" s="313">
        <v>5994</v>
      </c>
      <c r="E33" s="314">
        <v>1483401</v>
      </c>
    </row>
    <row r="34" spans="1:5" ht="15.75" customHeight="1">
      <c r="A34" s="174"/>
      <c r="B34" s="169" t="s">
        <v>199</v>
      </c>
      <c r="C34" s="169" t="s">
        <v>195</v>
      </c>
      <c r="D34" s="313">
        <v>1998</v>
      </c>
      <c r="E34" s="314">
        <v>440644</v>
      </c>
    </row>
    <row r="35" spans="1:5" ht="15.75" customHeight="1">
      <c r="A35" s="174"/>
      <c r="B35" s="174"/>
      <c r="C35" s="175" t="s">
        <v>196</v>
      </c>
      <c r="D35" s="315">
        <v>1998</v>
      </c>
      <c r="E35" s="316">
        <v>384572</v>
      </c>
    </row>
    <row r="36" spans="1:5" ht="15.75" customHeight="1">
      <c r="A36" s="174"/>
      <c r="B36" s="174"/>
      <c r="C36" s="175" t="s">
        <v>197</v>
      </c>
      <c r="D36" s="315">
        <v>1998</v>
      </c>
      <c r="E36" s="316">
        <v>535218</v>
      </c>
    </row>
    <row r="37" spans="1:5" ht="15.75" customHeight="1">
      <c r="A37" s="174"/>
      <c r="B37" s="169" t="s">
        <v>201</v>
      </c>
      <c r="C37" s="170"/>
      <c r="D37" s="313">
        <v>5994</v>
      </c>
      <c r="E37" s="314">
        <v>1360434</v>
      </c>
    </row>
    <row r="38" spans="1:5" ht="15.75" customHeight="1">
      <c r="A38" s="174"/>
      <c r="B38" s="169" t="s">
        <v>202</v>
      </c>
      <c r="C38" s="169" t="s">
        <v>195</v>
      </c>
      <c r="D38" s="313">
        <v>1998</v>
      </c>
      <c r="E38" s="314">
        <v>580359</v>
      </c>
    </row>
    <row r="39" spans="1:5" ht="15.75" customHeight="1">
      <c r="A39" s="174"/>
      <c r="B39" s="174"/>
      <c r="C39" s="175" t="s">
        <v>196</v>
      </c>
      <c r="D39" s="315">
        <v>1998</v>
      </c>
      <c r="E39" s="316">
        <v>365813</v>
      </c>
    </row>
    <row r="40" spans="1:5" ht="15.75" customHeight="1">
      <c r="A40" s="174"/>
      <c r="B40" s="174"/>
      <c r="C40" s="175" t="s">
        <v>197</v>
      </c>
      <c r="D40" s="315">
        <v>1998</v>
      </c>
      <c r="E40" s="316">
        <v>493364</v>
      </c>
    </row>
    <row r="41" spans="1:5" ht="15.75" customHeight="1">
      <c r="A41" s="174"/>
      <c r="B41" s="169" t="s">
        <v>203</v>
      </c>
      <c r="C41" s="170"/>
      <c r="D41" s="313">
        <v>5994</v>
      </c>
      <c r="E41" s="314">
        <v>1439536</v>
      </c>
    </row>
    <row r="42" spans="1:5" ht="15.75" customHeight="1">
      <c r="A42" s="174"/>
      <c r="B42" s="169" t="s">
        <v>204</v>
      </c>
      <c r="C42" s="169" t="s">
        <v>195</v>
      </c>
      <c r="D42" s="313">
        <v>1998</v>
      </c>
      <c r="E42" s="314">
        <v>536225</v>
      </c>
    </row>
    <row r="43" spans="1:5" ht="15.75" customHeight="1">
      <c r="A43" s="174"/>
      <c r="B43" s="174"/>
      <c r="C43" s="175" t="s">
        <v>196</v>
      </c>
      <c r="D43" s="315">
        <v>1998</v>
      </c>
      <c r="E43" s="316">
        <v>396338</v>
      </c>
    </row>
    <row r="44" spans="1:5" ht="15.75" customHeight="1">
      <c r="A44" s="174"/>
      <c r="B44" s="174"/>
      <c r="C44" s="175" t="s">
        <v>197</v>
      </c>
      <c r="D44" s="315">
        <v>1998</v>
      </c>
      <c r="E44" s="316">
        <v>559100</v>
      </c>
    </row>
    <row r="45" spans="1:5" ht="15.75" customHeight="1">
      <c r="A45" s="174"/>
      <c r="B45" s="169" t="s">
        <v>205</v>
      </c>
      <c r="C45" s="170"/>
      <c r="D45" s="313">
        <v>5994</v>
      </c>
      <c r="E45" s="314">
        <v>1491663</v>
      </c>
    </row>
    <row r="46" spans="1:5" ht="15.75" customHeight="1">
      <c r="A46" s="174"/>
      <c r="B46" s="169" t="s">
        <v>209</v>
      </c>
      <c r="C46" s="169" t="s">
        <v>195</v>
      </c>
      <c r="D46" s="313">
        <v>1998</v>
      </c>
      <c r="E46" s="314">
        <v>414908</v>
      </c>
    </row>
    <row r="47" spans="1:5" ht="15.75" customHeight="1">
      <c r="A47" s="174"/>
      <c r="B47" s="174"/>
      <c r="C47" s="175" t="s">
        <v>196</v>
      </c>
      <c r="D47" s="315">
        <v>1998</v>
      </c>
      <c r="E47" s="316">
        <v>453761</v>
      </c>
    </row>
    <row r="48" spans="1:5" ht="15.75" customHeight="1">
      <c r="A48" s="174"/>
      <c r="B48" s="174"/>
      <c r="C48" s="175" t="s">
        <v>197</v>
      </c>
      <c r="D48" s="315">
        <v>1998</v>
      </c>
      <c r="E48" s="316">
        <v>220350</v>
      </c>
    </row>
    <row r="49" spans="1:5" ht="15.75" customHeight="1">
      <c r="A49" s="174"/>
      <c r="B49" s="169" t="s">
        <v>210</v>
      </c>
      <c r="C49" s="170"/>
      <c r="D49" s="313">
        <v>5994</v>
      </c>
      <c r="E49" s="314">
        <v>1089019</v>
      </c>
    </row>
    <row r="50" spans="1:5" ht="15.75" customHeight="1">
      <c r="A50" s="174"/>
      <c r="B50" s="169" t="s">
        <v>211</v>
      </c>
      <c r="C50" s="169" t="s">
        <v>196</v>
      </c>
      <c r="D50" s="313">
        <v>1998</v>
      </c>
      <c r="E50" s="314">
        <v>377997</v>
      </c>
    </row>
    <row r="51" spans="1:5" ht="15.75" customHeight="1">
      <c r="A51" s="174"/>
      <c r="B51" s="174"/>
      <c r="C51" s="175" t="s">
        <v>197</v>
      </c>
      <c r="D51" s="315">
        <v>3996</v>
      </c>
      <c r="E51" s="316">
        <v>833513</v>
      </c>
    </row>
    <row r="52" spans="1:5" ht="15.75" customHeight="1">
      <c r="A52" s="174"/>
      <c r="B52" s="169" t="s">
        <v>212</v>
      </c>
      <c r="C52" s="170"/>
      <c r="D52" s="313">
        <v>5994</v>
      </c>
      <c r="E52" s="314">
        <v>1211510</v>
      </c>
    </row>
    <row r="53" spans="1:5" ht="15.75" customHeight="1">
      <c r="A53" s="169" t="s">
        <v>216</v>
      </c>
      <c r="B53" s="170"/>
      <c r="C53" s="170"/>
      <c r="D53" s="313">
        <v>35964</v>
      </c>
      <c r="E53" s="314">
        <v>8075563</v>
      </c>
    </row>
    <row r="54" spans="1:5" ht="15.75" customHeight="1">
      <c r="A54" s="176" t="s">
        <v>187</v>
      </c>
      <c r="B54" s="177"/>
      <c r="C54" s="177"/>
      <c r="D54" s="317">
        <v>71928</v>
      </c>
      <c r="E54" s="318">
        <v>16269181</v>
      </c>
    </row>
    <row r="55" spans="1:5" ht="15.75" customHeight="1"/>
    <row r="56" spans="1:5" ht="15.75" customHeight="1"/>
    <row r="57" spans="1:5" ht="15.75" customHeight="1"/>
    <row r="58" spans="1:5" ht="15.75" customHeight="1"/>
    <row r="59" spans="1:5" ht="15.75" customHeight="1"/>
    <row r="60" spans="1:5" ht="15.75" customHeight="1"/>
    <row r="61" spans="1:5" ht="15.75" customHeight="1"/>
    <row r="62" spans="1:5" ht="15.75" customHeight="1"/>
    <row r="63" spans="1:5" ht="15.75" customHeight="1"/>
    <row r="64" spans="1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028"/>
  <sheetViews>
    <sheetView tabSelected="1" topLeftCell="A370" workbookViewId="0">
      <selection activeCell="E1053" sqref="E1053"/>
    </sheetView>
  </sheetViews>
  <sheetFormatPr defaultColWidth="14.42578125" defaultRowHeight="15" customHeight="1"/>
  <cols>
    <col min="1" max="1" width="21.7109375" customWidth="1"/>
    <col min="2" max="2" width="24" customWidth="1"/>
    <col min="3" max="3" width="28.7109375" customWidth="1"/>
    <col min="4" max="4" width="17.42578125" customWidth="1"/>
    <col min="5" max="5" width="21.7109375" customWidth="1"/>
    <col min="6" max="6" width="27.42578125" customWidth="1"/>
    <col min="7" max="7" width="16.28515625" customWidth="1"/>
    <col min="8" max="8" width="18.42578125" customWidth="1"/>
    <col min="9" max="9" width="15.28515625" customWidth="1"/>
    <col min="10" max="11" width="17" customWidth="1"/>
    <col min="12" max="12" width="21.85546875" customWidth="1"/>
    <col min="13" max="13" width="15.7109375" customWidth="1"/>
    <col min="14" max="14" width="8.7109375" customWidth="1"/>
    <col min="15" max="15" width="19.7109375" customWidth="1"/>
    <col min="16" max="16" width="8.7109375" customWidth="1"/>
    <col min="17" max="17" width="36" customWidth="1"/>
  </cols>
  <sheetData>
    <row r="1" spans="1:16" ht="14.25" customHeight="1">
      <c r="A1" s="53" t="s">
        <v>220</v>
      </c>
      <c r="B1" s="53" t="s">
        <v>217</v>
      </c>
      <c r="C1" s="53" t="s">
        <v>218</v>
      </c>
      <c r="D1" s="53" t="s">
        <v>219</v>
      </c>
      <c r="E1" s="53" t="s">
        <v>220</v>
      </c>
      <c r="F1" s="53" t="s">
        <v>221</v>
      </c>
      <c r="G1" s="53" t="s">
        <v>222</v>
      </c>
      <c r="H1" s="53" t="s">
        <v>223</v>
      </c>
      <c r="I1" s="53" t="s">
        <v>82</v>
      </c>
      <c r="J1" s="53" t="s">
        <v>113</v>
      </c>
      <c r="K1" s="53" t="s">
        <v>224</v>
      </c>
      <c r="L1" s="295"/>
      <c r="M1" s="296"/>
      <c r="N1" s="297"/>
      <c r="O1" s="298"/>
      <c r="P1" s="298"/>
    </row>
    <row r="2" spans="1:16" ht="14.25" customHeight="1">
      <c r="A2" s="54">
        <v>10</v>
      </c>
      <c r="B2" s="53" t="s">
        <v>225</v>
      </c>
      <c r="C2" s="41" t="s">
        <v>226</v>
      </c>
      <c r="D2" s="54">
        <v>20</v>
      </c>
      <c r="E2" s="54">
        <v>10</v>
      </c>
      <c r="F2" s="54">
        <v>14</v>
      </c>
      <c r="G2" s="54">
        <v>18</v>
      </c>
      <c r="H2" s="54">
        <v>15</v>
      </c>
      <c r="I2" s="26">
        <f t="shared" ref="I2:I11" si="0">SUM(D2:H2)</f>
        <v>77</v>
      </c>
      <c r="J2" s="51">
        <f t="shared" ref="J2:J11" si="1">AVERAGE(D2:H2)</f>
        <v>15.4</v>
      </c>
      <c r="K2" s="55" t="str">
        <f t="shared" ref="K2:K11" si="2">IF(J2&gt;15,"A","B")</f>
        <v>A</v>
      </c>
      <c r="L2" s="283"/>
      <c r="M2" s="51" t="s">
        <v>227</v>
      </c>
      <c r="N2" s="25">
        <f>COUNTIF(K2:K11, "A")</f>
        <v>6</v>
      </c>
      <c r="O2" s="299"/>
      <c r="P2" s="299"/>
    </row>
    <row r="3" spans="1:16" ht="14.25" customHeight="1">
      <c r="A3" s="54">
        <v>12</v>
      </c>
      <c r="B3" s="53">
        <v>2</v>
      </c>
      <c r="C3" s="41" t="s">
        <v>228</v>
      </c>
      <c r="D3" s="54">
        <v>21</v>
      </c>
      <c r="E3" s="54">
        <v>12</v>
      </c>
      <c r="F3" s="54">
        <v>14</v>
      </c>
      <c r="G3" s="54">
        <v>12</v>
      </c>
      <c r="H3" s="54">
        <v>18</v>
      </c>
      <c r="I3" s="26">
        <f t="shared" si="0"/>
        <v>77</v>
      </c>
      <c r="J3" s="51">
        <f t="shared" si="1"/>
        <v>15.4</v>
      </c>
      <c r="K3" s="55" t="str">
        <f t="shared" si="2"/>
        <v>A</v>
      </c>
      <c r="L3" s="283"/>
      <c r="M3" s="51" t="s">
        <v>229</v>
      </c>
      <c r="N3" s="25">
        <f>COUNTIF(K2:K11, "B")</f>
        <v>4</v>
      </c>
      <c r="O3" s="299"/>
      <c r="P3" s="299"/>
    </row>
    <row r="4" spans="1:16" ht="14.25" customHeight="1">
      <c r="A4" s="54">
        <v>15</v>
      </c>
      <c r="B4" s="53">
        <v>3</v>
      </c>
      <c r="C4" s="41" t="s">
        <v>230</v>
      </c>
      <c r="D4" s="54">
        <v>33</v>
      </c>
      <c r="E4" s="54">
        <v>15</v>
      </c>
      <c r="F4" s="54">
        <v>7</v>
      </c>
      <c r="G4" s="54">
        <v>14</v>
      </c>
      <c r="H4" s="54">
        <v>17</v>
      </c>
      <c r="I4" s="26">
        <f t="shared" si="0"/>
        <v>86</v>
      </c>
      <c r="J4" s="51">
        <f t="shared" si="1"/>
        <v>17.2</v>
      </c>
      <c r="K4" s="55" t="str">
        <f t="shared" si="2"/>
        <v>A</v>
      </c>
      <c r="L4" s="283"/>
      <c r="M4" s="302" t="s">
        <v>231</v>
      </c>
      <c r="N4" s="220"/>
      <c r="O4" s="299"/>
      <c r="P4" s="299"/>
    </row>
    <row r="5" spans="1:16" ht="14.25" customHeight="1">
      <c r="A5" s="54">
        <v>14</v>
      </c>
      <c r="B5" s="53">
        <v>4</v>
      </c>
      <c r="C5" s="41" t="s">
        <v>232</v>
      </c>
      <c r="D5" s="54">
        <v>15</v>
      </c>
      <c r="E5" s="54">
        <v>14</v>
      </c>
      <c r="F5" s="54">
        <v>8</v>
      </c>
      <c r="G5" s="54">
        <v>16</v>
      </c>
      <c r="H5" s="54">
        <v>20</v>
      </c>
      <c r="I5" s="26">
        <f t="shared" si="0"/>
        <v>73</v>
      </c>
      <c r="J5" s="51">
        <f t="shared" si="1"/>
        <v>14.6</v>
      </c>
      <c r="K5" s="55" t="str">
        <f t="shared" si="2"/>
        <v>B</v>
      </c>
      <c r="L5" s="283"/>
      <c r="M5" s="56" t="s">
        <v>233</v>
      </c>
      <c r="N5" s="57">
        <f>COUNTA(C2:C11)</f>
        <v>10</v>
      </c>
      <c r="O5" s="300"/>
      <c r="P5" s="299"/>
    </row>
    <row r="6" spans="1:16" ht="14.25" customHeight="1">
      <c r="A6" s="54">
        <v>17</v>
      </c>
      <c r="B6" s="53">
        <v>5</v>
      </c>
      <c r="C6" s="41" t="s">
        <v>234</v>
      </c>
      <c r="D6" s="54">
        <v>14</v>
      </c>
      <c r="E6" s="54">
        <v>17</v>
      </c>
      <c r="F6" s="54">
        <v>10</v>
      </c>
      <c r="G6" s="54">
        <v>13</v>
      </c>
      <c r="H6" s="54">
        <v>18</v>
      </c>
      <c r="I6" s="26">
        <f t="shared" si="0"/>
        <v>72</v>
      </c>
      <c r="J6" s="51">
        <f t="shared" si="1"/>
        <v>14.4</v>
      </c>
      <c r="K6" s="55" t="str">
        <f t="shared" si="2"/>
        <v>B</v>
      </c>
      <c r="L6" s="283"/>
      <c r="M6" s="58"/>
      <c r="N6" s="7" t="s">
        <v>235</v>
      </c>
      <c r="O6" s="7" t="s">
        <v>236</v>
      </c>
      <c r="P6" s="299"/>
    </row>
    <row r="7" spans="1:16" ht="14.25" customHeight="1">
      <c r="A7" s="54">
        <v>8</v>
      </c>
      <c r="B7" s="53">
        <v>6</v>
      </c>
      <c r="C7" s="41" t="s">
        <v>237</v>
      </c>
      <c r="D7" s="54">
        <v>16</v>
      </c>
      <c r="E7" s="54">
        <v>8</v>
      </c>
      <c r="F7" s="54">
        <v>20</v>
      </c>
      <c r="G7" s="54">
        <v>17</v>
      </c>
      <c r="H7" s="54">
        <v>15</v>
      </c>
      <c r="I7" s="26">
        <f t="shared" si="0"/>
        <v>76</v>
      </c>
      <c r="J7" s="51">
        <f t="shared" si="1"/>
        <v>15.2</v>
      </c>
      <c r="K7" s="55" t="str">
        <f t="shared" si="2"/>
        <v>A</v>
      </c>
      <c r="L7" s="283"/>
      <c r="M7" s="59" t="s">
        <v>219</v>
      </c>
      <c r="N7" s="7">
        <f>COUNTIF(D2:D11,"&gt;20")</f>
        <v>4</v>
      </c>
      <c r="O7" s="7">
        <f>COUNTIF(D2:D11,"&lt;15")</f>
        <v>1</v>
      </c>
      <c r="P7" s="299"/>
    </row>
    <row r="8" spans="1:16" ht="14.25" customHeight="1">
      <c r="A8" s="54">
        <v>19</v>
      </c>
      <c r="B8" s="53">
        <v>7</v>
      </c>
      <c r="C8" s="41" t="s">
        <v>238</v>
      </c>
      <c r="D8" s="54">
        <v>18</v>
      </c>
      <c r="E8" s="54">
        <v>19</v>
      </c>
      <c r="F8" s="54">
        <v>3</v>
      </c>
      <c r="G8" s="54">
        <v>10</v>
      </c>
      <c r="H8" s="54">
        <v>14</v>
      </c>
      <c r="I8" s="26">
        <f t="shared" si="0"/>
        <v>64</v>
      </c>
      <c r="J8" s="51">
        <f t="shared" si="1"/>
        <v>12.8</v>
      </c>
      <c r="K8" s="55" t="str">
        <f t="shared" si="2"/>
        <v>B</v>
      </c>
      <c r="L8" s="283"/>
      <c r="M8" s="59" t="s">
        <v>220</v>
      </c>
      <c r="N8" s="7">
        <f>COUNTIF(E2:E11,"&gt;20")</f>
        <v>0</v>
      </c>
      <c r="O8" s="7">
        <f>COUNTIF(E2:E11,"&lt;15")</f>
        <v>6</v>
      </c>
      <c r="P8" s="299"/>
    </row>
    <row r="9" spans="1:16" ht="14.25" customHeight="1">
      <c r="A9" s="54">
        <v>20</v>
      </c>
      <c r="B9" s="53">
        <v>8</v>
      </c>
      <c r="C9" s="41" t="s">
        <v>239</v>
      </c>
      <c r="D9" s="54">
        <v>19</v>
      </c>
      <c r="E9" s="54">
        <v>20</v>
      </c>
      <c r="F9" s="54">
        <v>7</v>
      </c>
      <c r="G9" s="54">
        <v>14</v>
      </c>
      <c r="H9" s="54">
        <v>18</v>
      </c>
      <c r="I9" s="26">
        <f t="shared" si="0"/>
        <v>78</v>
      </c>
      <c r="J9" s="51">
        <f t="shared" si="1"/>
        <v>15.6</v>
      </c>
      <c r="K9" s="55" t="str">
        <f t="shared" si="2"/>
        <v>A</v>
      </c>
      <c r="L9" s="283"/>
      <c r="M9" s="303" t="s">
        <v>240</v>
      </c>
      <c r="N9" s="217"/>
      <c r="O9" s="212"/>
      <c r="P9" s="299"/>
    </row>
    <row r="10" spans="1:16" ht="14.25" customHeight="1">
      <c r="A10" s="54">
        <v>13</v>
      </c>
      <c r="B10" s="53">
        <v>9</v>
      </c>
      <c r="C10" s="41" t="s">
        <v>241</v>
      </c>
      <c r="D10" s="54">
        <v>22</v>
      </c>
      <c r="E10" s="54">
        <v>13</v>
      </c>
      <c r="F10" s="54">
        <v>8</v>
      </c>
      <c r="G10" s="54">
        <v>12</v>
      </c>
      <c r="H10" s="54">
        <v>19</v>
      </c>
      <c r="I10" s="26">
        <f t="shared" si="0"/>
        <v>74</v>
      </c>
      <c r="J10" s="51">
        <f t="shared" si="1"/>
        <v>14.8</v>
      </c>
      <c r="K10" s="55" t="str">
        <f t="shared" si="2"/>
        <v>B</v>
      </c>
      <c r="L10" s="283"/>
      <c r="M10" s="294"/>
      <c r="N10" s="191"/>
      <c r="O10" s="213"/>
      <c r="P10" s="299"/>
    </row>
    <row r="11" spans="1:16" ht="14.25" customHeight="1">
      <c r="A11" s="54">
        <v>12</v>
      </c>
      <c r="B11" s="53">
        <v>10</v>
      </c>
      <c r="C11" s="41" t="s">
        <v>242</v>
      </c>
      <c r="D11" s="54">
        <v>26</v>
      </c>
      <c r="E11" s="54">
        <v>12</v>
      </c>
      <c r="F11" s="54">
        <v>10</v>
      </c>
      <c r="G11" s="54">
        <v>11</v>
      </c>
      <c r="H11" s="54">
        <v>27</v>
      </c>
      <c r="I11" s="26">
        <f t="shared" si="0"/>
        <v>86</v>
      </c>
      <c r="J11" s="51">
        <f t="shared" si="1"/>
        <v>17.2</v>
      </c>
      <c r="K11" s="55" t="str">
        <f t="shared" si="2"/>
        <v>A</v>
      </c>
      <c r="L11" s="284"/>
      <c r="M11" s="294"/>
      <c r="N11" s="191"/>
      <c r="O11" s="213"/>
      <c r="P11" s="299"/>
    </row>
    <row r="12" spans="1:16" ht="14.25" customHeight="1">
      <c r="B12" s="304"/>
      <c r="C12" s="212"/>
      <c r="D12" s="292"/>
      <c r="E12" s="220"/>
      <c r="F12" s="293"/>
      <c r="G12" s="234"/>
      <c r="H12" s="234"/>
      <c r="I12" s="234"/>
      <c r="J12" s="234"/>
      <c r="K12" s="234"/>
      <c r="L12" s="235"/>
      <c r="M12" s="294"/>
      <c r="N12" s="191"/>
      <c r="O12" s="213"/>
      <c r="P12" s="299"/>
    </row>
    <row r="13" spans="1:16" ht="14.25" customHeight="1">
      <c r="A13" s="51" t="s">
        <v>113</v>
      </c>
      <c r="B13" s="305"/>
      <c r="C13" s="306"/>
      <c r="D13" s="51" t="s">
        <v>243</v>
      </c>
      <c r="E13" s="51" t="s">
        <v>113</v>
      </c>
      <c r="F13" s="294"/>
      <c r="G13" s="191"/>
      <c r="H13" s="191"/>
      <c r="I13" s="191"/>
      <c r="J13" s="191"/>
      <c r="K13" s="191"/>
      <c r="L13" s="213"/>
      <c r="M13" s="294"/>
      <c r="N13" s="191"/>
      <c r="O13" s="213"/>
      <c r="P13" s="299"/>
    </row>
    <row r="14" spans="1:16" ht="14.25" customHeight="1">
      <c r="A14" s="51" t="e">
        <f>SUMIF(#REF!, "ASHOK", F2:F11)</f>
        <v>#REF!</v>
      </c>
      <c r="B14" s="55">
        <v>1</v>
      </c>
      <c r="C14" s="61" t="s">
        <v>228</v>
      </c>
      <c r="D14" s="51">
        <f>SUMIF(C2:C11, "ASHOK", I2:I11)</f>
        <v>77</v>
      </c>
      <c r="E14" s="51">
        <f>SUMIF(C2:C11, "ASHOK", J2:J11)</f>
        <v>15.4</v>
      </c>
      <c r="F14" s="294"/>
      <c r="G14" s="191"/>
      <c r="H14" s="191"/>
      <c r="I14" s="191"/>
      <c r="J14" s="191"/>
      <c r="K14" s="191"/>
      <c r="L14" s="213"/>
      <c r="M14" s="294"/>
      <c r="N14" s="191"/>
      <c r="O14" s="213"/>
      <c r="P14" s="299"/>
    </row>
    <row r="15" spans="1:16" ht="14.25" customHeight="1">
      <c r="A15" s="51" t="e">
        <f>SUMIF(#REF!,"MANOJ",F2:F11)</f>
        <v>#REF!</v>
      </c>
      <c r="B15" s="55">
        <v>2</v>
      </c>
      <c r="C15" s="61" t="s">
        <v>230</v>
      </c>
      <c r="D15" s="51">
        <f>SUMIF(C2:C11, "MANOJ", I2:I11)</f>
        <v>86</v>
      </c>
      <c r="E15" s="51">
        <f>SUMIF(C2:C11,"MANOJ",J2:J11)</f>
        <v>17.2</v>
      </c>
      <c r="F15" s="294"/>
      <c r="G15" s="191"/>
      <c r="H15" s="191"/>
      <c r="I15" s="191"/>
      <c r="J15" s="191"/>
      <c r="K15" s="191"/>
      <c r="L15" s="213"/>
      <c r="M15" s="294"/>
      <c r="N15" s="191"/>
      <c r="O15" s="213"/>
      <c r="P15" s="299"/>
    </row>
    <row r="16" spans="1:16" ht="14.25" customHeight="1">
      <c r="B16" s="307"/>
      <c r="C16" s="308"/>
      <c r="D16" s="308"/>
      <c r="E16" s="309"/>
      <c r="F16" s="236"/>
      <c r="G16" s="237"/>
      <c r="H16" s="237"/>
      <c r="I16" s="237"/>
      <c r="J16" s="237"/>
      <c r="K16" s="237"/>
      <c r="L16" s="215"/>
      <c r="M16" s="236"/>
      <c r="N16" s="237"/>
      <c r="O16" s="215"/>
      <c r="P16" s="301"/>
    </row>
    <row r="17" spans="1:14" ht="14.25" customHeight="1">
      <c r="B17" s="281" t="s">
        <v>244</v>
      </c>
      <c r="C17" s="234"/>
      <c r="D17" s="234"/>
      <c r="E17" s="234"/>
      <c r="F17" s="234"/>
      <c r="G17" s="234"/>
      <c r="H17" s="234"/>
      <c r="I17" s="234"/>
      <c r="J17" s="235"/>
      <c r="K17" s="58"/>
      <c r="L17" s="58"/>
      <c r="M17" s="58"/>
      <c r="N17" s="58"/>
    </row>
    <row r="18" spans="1:14" ht="14.25" customHeight="1">
      <c r="B18" s="236"/>
      <c r="C18" s="237"/>
      <c r="D18" s="237"/>
      <c r="E18" s="237"/>
      <c r="F18" s="237"/>
      <c r="G18" s="237"/>
      <c r="H18" s="237"/>
      <c r="I18" s="237"/>
      <c r="J18" s="215"/>
      <c r="K18" s="58"/>
      <c r="L18" s="58"/>
      <c r="M18" s="58"/>
      <c r="N18" s="58"/>
    </row>
    <row r="19" spans="1:14" ht="14.25" customHeight="1">
      <c r="A19" s="62" t="s">
        <v>247</v>
      </c>
      <c r="B19" s="62" t="s">
        <v>217</v>
      </c>
      <c r="C19" s="62" t="s">
        <v>245</v>
      </c>
      <c r="D19" s="62" t="s">
        <v>246</v>
      </c>
      <c r="E19" s="62" t="s">
        <v>247</v>
      </c>
      <c r="F19" s="62" t="s">
        <v>248</v>
      </c>
      <c r="G19" s="62" t="s">
        <v>224</v>
      </c>
      <c r="H19" s="51" t="s">
        <v>58</v>
      </c>
      <c r="I19" s="51" t="s">
        <v>82</v>
      </c>
      <c r="J19" s="58"/>
      <c r="K19" s="58"/>
      <c r="L19" s="58"/>
      <c r="M19" s="58"/>
      <c r="N19" s="58"/>
    </row>
    <row r="20" spans="1:14" ht="14.25" customHeight="1">
      <c r="A20" s="34">
        <v>40000</v>
      </c>
      <c r="B20" s="62">
        <v>1</v>
      </c>
      <c r="C20" s="56" t="s">
        <v>249</v>
      </c>
      <c r="D20" s="63">
        <v>20</v>
      </c>
      <c r="E20" s="34">
        <v>40000</v>
      </c>
      <c r="F20" s="51">
        <f t="shared" ref="F20:F29" si="3">D20*E20</f>
        <v>800000</v>
      </c>
      <c r="G20" s="64" t="str">
        <f t="shared" ref="G20:G29" si="4">IF(F20&gt;500000,"EXPENSIVE", "LETS BUY IT")</f>
        <v>EXPENSIVE</v>
      </c>
      <c r="H20" s="65" t="s">
        <v>250</v>
      </c>
      <c r="I20" s="66">
        <f>COUNTA(C20:C29)</f>
        <v>10</v>
      </c>
      <c r="J20" s="58"/>
      <c r="K20" s="58"/>
      <c r="L20" s="58"/>
      <c r="M20" s="58"/>
      <c r="N20" s="58"/>
    </row>
    <row r="21" spans="1:14" ht="14.25" customHeight="1">
      <c r="A21" s="34">
        <v>20000</v>
      </c>
      <c r="B21" s="62">
        <v>2</v>
      </c>
      <c r="C21" s="56" t="s">
        <v>251</v>
      </c>
      <c r="D21" s="63">
        <v>30</v>
      </c>
      <c r="E21" s="34">
        <v>20000</v>
      </c>
      <c r="F21" s="51">
        <f t="shared" si="3"/>
        <v>600000</v>
      </c>
      <c r="G21" s="64" t="str">
        <f t="shared" si="4"/>
        <v>EXPENSIVE</v>
      </c>
      <c r="H21" s="282"/>
      <c r="I21" s="67"/>
      <c r="J21" s="67"/>
      <c r="K21" s="67" t="s">
        <v>247</v>
      </c>
      <c r="L21" s="67" t="s">
        <v>246</v>
      </c>
      <c r="M21" s="67" t="s">
        <v>252</v>
      </c>
      <c r="N21" s="58"/>
    </row>
    <row r="22" spans="1:14" ht="14.25" customHeight="1">
      <c r="A22" s="34">
        <v>10000</v>
      </c>
      <c r="B22" s="62">
        <v>3</v>
      </c>
      <c r="C22" s="56" t="s">
        <v>253</v>
      </c>
      <c r="D22" s="63">
        <v>15</v>
      </c>
      <c r="E22" s="34">
        <v>10000</v>
      </c>
      <c r="F22" s="51">
        <f t="shared" si="3"/>
        <v>150000</v>
      </c>
      <c r="G22" s="64" t="str">
        <f t="shared" si="4"/>
        <v>LETS BUY IT</v>
      </c>
      <c r="H22" s="283"/>
      <c r="I22" s="67">
        <v>1</v>
      </c>
      <c r="J22" s="67" t="s">
        <v>254</v>
      </c>
      <c r="K22" s="67">
        <f>SUMIF(C20:C29, "COMPUTER", E20:E29)</f>
        <v>25000</v>
      </c>
      <c r="L22" s="67">
        <f>SUMIF(C20:C29, "COMPUTER",D20:D29)</f>
        <v>10</v>
      </c>
      <c r="M22" s="67">
        <f>SUMIF(C20:C29, "COMPUTER", F20:F29)</f>
        <v>250000</v>
      </c>
      <c r="N22" s="58"/>
    </row>
    <row r="23" spans="1:14" ht="14.25" customHeight="1">
      <c r="A23" s="34">
        <v>15000</v>
      </c>
      <c r="B23" s="62">
        <v>4</v>
      </c>
      <c r="C23" s="56" t="s">
        <v>255</v>
      </c>
      <c r="D23" s="63">
        <v>14</v>
      </c>
      <c r="E23" s="34">
        <v>15000</v>
      </c>
      <c r="F23" s="51">
        <f t="shared" si="3"/>
        <v>210000</v>
      </c>
      <c r="G23" s="64" t="str">
        <f t="shared" si="4"/>
        <v>LETS BUY IT</v>
      </c>
      <c r="H23" s="283"/>
      <c r="I23" s="58"/>
      <c r="J23" s="58"/>
      <c r="K23" s="58"/>
      <c r="L23" s="58"/>
      <c r="M23" s="58"/>
      <c r="N23" s="58"/>
    </row>
    <row r="24" spans="1:14" ht="14.25" customHeight="1">
      <c r="A24" s="34">
        <v>20000</v>
      </c>
      <c r="B24" s="62">
        <v>5</v>
      </c>
      <c r="C24" s="56" t="s">
        <v>67</v>
      </c>
      <c r="D24" s="63">
        <v>18</v>
      </c>
      <c r="E24" s="34">
        <v>20000</v>
      </c>
      <c r="F24" s="51">
        <f t="shared" si="3"/>
        <v>360000</v>
      </c>
      <c r="G24" s="64" t="str">
        <f t="shared" si="4"/>
        <v>LETS BUY IT</v>
      </c>
      <c r="H24" s="283"/>
      <c r="I24" s="58"/>
      <c r="J24" s="58"/>
      <c r="K24" s="58"/>
      <c r="L24" s="58"/>
      <c r="M24" s="58"/>
      <c r="N24" s="58"/>
    </row>
    <row r="25" spans="1:14" ht="14.25" customHeight="1">
      <c r="A25" s="34">
        <v>2000</v>
      </c>
      <c r="B25" s="62">
        <v>6</v>
      </c>
      <c r="C25" s="56" t="s">
        <v>256</v>
      </c>
      <c r="D25" s="63">
        <v>17</v>
      </c>
      <c r="E25" s="34">
        <v>2000</v>
      </c>
      <c r="F25" s="51">
        <f t="shared" si="3"/>
        <v>34000</v>
      </c>
      <c r="G25" s="64" t="str">
        <f t="shared" si="4"/>
        <v>LETS BUY IT</v>
      </c>
      <c r="H25" s="283"/>
      <c r="I25" s="58"/>
      <c r="J25" s="58"/>
      <c r="K25" s="58"/>
      <c r="L25" s="58"/>
      <c r="M25" s="58"/>
      <c r="N25" s="58"/>
    </row>
    <row r="26" spans="1:14" ht="14.25" customHeight="1">
      <c r="A26" s="34">
        <v>25000</v>
      </c>
      <c r="B26" s="62">
        <v>7</v>
      </c>
      <c r="C26" s="56" t="s">
        <v>254</v>
      </c>
      <c r="D26" s="63">
        <v>10</v>
      </c>
      <c r="E26" s="34">
        <v>25000</v>
      </c>
      <c r="F26" s="51">
        <f t="shared" si="3"/>
        <v>250000</v>
      </c>
      <c r="G26" s="64" t="str">
        <f t="shared" si="4"/>
        <v>LETS BUY IT</v>
      </c>
      <c r="H26" s="283"/>
      <c r="I26" s="58"/>
      <c r="J26" s="58"/>
      <c r="K26" s="58"/>
      <c r="L26" s="58"/>
      <c r="M26" s="58"/>
      <c r="N26" s="58"/>
    </row>
    <row r="27" spans="1:14" ht="14.25" customHeight="1">
      <c r="A27" s="34">
        <v>250</v>
      </c>
      <c r="B27" s="62">
        <v>8</v>
      </c>
      <c r="C27" s="56" t="s">
        <v>257</v>
      </c>
      <c r="D27" s="63">
        <v>5</v>
      </c>
      <c r="E27" s="34">
        <v>250</v>
      </c>
      <c r="F27" s="51">
        <f t="shared" si="3"/>
        <v>1250</v>
      </c>
      <c r="G27" s="64" t="str">
        <f t="shared" si="4"/>
        <v>LETS BUY IT</v>
      </c>
      <c r="H27" s="283"/>
      <c r="I27" s="58"/>
      <c r="J27" s="58"/>
      <c r="K27" s="58"/>
      <c r="L27" s="58"/>
      <c r="M27" s="58"/>
      <c r="N27" s="58"/>
    </row>
    <row r="28" spans="1:14" ht="14.25" customHeight="1">
      <c r="A28" s="34">
        <v>100</v>
      </c>
      <c r="B28" s="62">
        <v>9</v>
      </c>
      <c r="C28" s="56" t="s">
        <v>258</v>
      </c>
      <c r="D28" s="63">
        <v>25</v>
      </c>
      <c r="E28" s="34">
        <v>100</v>
      </c>
      <c r="F28" s="51">
        <f t="shared" si="3"/>
        <v>2500</v>
      </c>
      <c r="G28" s="64" t="str">
        <f t="shared" si="4"/>
        <v>LETS BUY IT</v>
      </c>
      <c r="H28" s="283"/>
      <c r="I28" s="58"/>
      <c r="J28" s="58"/>
      <c r="K28" s="58"/>
      <c r="L28" s="58"/>
      <c r="M28" s="58"/>
      <c r="N28" s="58"/>
    </row>
    <row r="29" spans="1:14" ht="14.25" customHeight="1">
      <c r="A29" s="34">
        <v>12000</v>
      </c>
      <c r="B29" s="62">
        <v>10</v>
      </c>
      <c r="C29" s="56" t="s">
        <v>259</v>
      </c>
      <c r="D29" s="63">
        <v>30</v>
      </c>
      <c r="E29" s="34">
        <v>12000</v>
      </c>
      <c r="F29" s="51">
        <f t="shared" si="3"/>
        <v>360000</v>
      </c>
      <c r="G29" s="64" t="str">
        <f t="shared" si="4"/>
        <v>LETS BUY IT</v>
      </c>
      <c r="H29" s="284"/>
      <c r="I29" s="58"/>
      <c r="J29" s="58"/>
      <c r="K29" s="58"/>
      <c r="L29" s="58"/>
      <c r="M29" s="58"/>
      <c r="N29" s="58"/>
    </row>
    <row r="30" spans="1:14" ht="14.25" customHeight="1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</row>
    <row r="31" spans="1:14" ht="14.25" customHeight="1"/>
    <row r="32" spans="1:14" ht="14.25" customHeight="1"/>
    <row r="33" spans="1:13" ht="14.25" customHeight="1">
      <c r="A33" s="291" t="s">
        <v>260</v>
      </c>
      <c r="B33" s="291"/>
      <c r="C33" s="291"/>
      <c r="D33" s="291"/>
      <c r="E33" s="291"/>
      <c r="F33" s="291"/>
      <c r="G33" s="291"/>
      <c r="H33" s="291"/>
      <c r="I33" s="291"/>
      <c r="J33" s="291"/>
      <c r="K33" s="291"/>
      <c r="L33" s="291"/>
      <c r="M33" s="291"/>
    </row>
    <row r="34" spans="1:13" ht="14.25" customHeight="1">
      <c r="A34" s="291"/>
      <c r="B34" s="291"/>
      <c r="C34" s="291"/>
      <c r="D34" s="291"/>
      <c r="E34" s="291"/>
      <c r="F34" s="291"/>
      <c r="G34" s="291"/>
      <c r="H34" s="291"/>
      <c r="I34" s="291"/>
      <c r="J34" s="291"/>
      <c r="K34" s="291"/>
      <c r="L34" s="291"/>
      <c r="M34" s="291"/>
    </row>
    <row r="35" spans="1:13" ht="14.25" customHeight="1">
      <c r="A35" s="68" t="s">
        <v>263</v>
      </c>
      <c r="B35" s="68" t="s">
        <v>261</v>
      </c>
      <c r="C35" s="68" t="s">
        <v>262</v>
      </c>
      <c r="D35" s="68" t="s">
        <v>263</v>
      </c>
      <c r="E35" s="68" t="s">
        <v>264</v>
      </c>
      <c r="F35" s="68" t="s">
        <v>265</v>
      </c>
      <c r="G35" s="68" t="s">
        <v>266</v>
      </c>
      <c r="H35" s="68" t="s">
        <v>267</v>
      </c>
    </row>
    <row r="36" spans="1:13" ht="14.25" customHeight="1">
      <c r="A36" s="70">
        <v>15</v>
      </c>
      <c r="B36" s="69" t="s">
        <v>268</v>
      </c>
      <c r="C36" s="70">
        <v>20</v>
      </c>
      <c r="D36" s="70">
        <v>15</v>
      </c>
      <c r="E36" s="70">
        <v>20</v>
      </c>
      <c r="F36" s="17">
        <f t="shared" ref="F36:F44" si="5">SUM(C36:E36)</f>
        <v>55</v>
      </c>
      <c r="G36" s="71">
        <f t="shared" ref="G36:G44" si="6">AVERAGE(C36:E36)</f>
        <v>18.333333333333332</v>
      </c>
      <c r="H36" s="72" t="str">
        <f t="shared" ref="H36:H44" si="7">IF(G36&gt;20,"A",IF(G36&gt;15,"B","C"))</f>
        <v>B</v>
      </c>
      <c r="K36" s="73" t="s">
        <v>269</v>
      </c>
    </row>
    <row r="37" spans="1:13" ht="14.25" customHeight="1">
      <c r="A37" s="70">
        <v>12</v>
      </c>
      <c r="B37" s="69" t="s">
        <v>270</v>
      </c>
      <c r="C37" s="70">
        <v>30</v>
      </c>
      <c r="D37" s="70">
        <v>12</v>
      </c>
      <c r="E37" s="70">
        <v>15</v>
      </c>
      <c r="F37" s="17">
        <f t="shared" si="5"/>
        <v>57</v>
      </c>
      <c r="G37" s="71">
        <f t="shared" si="6"/>
        <v>19</v>
      </c>
      <c r="H37" s="72" t="str">
        <f t="shared" si="7"/>
        <v>B</v>
      </c>
      <c r="K37" s="52">
        <f>COUNTA(B36:B44)</f>
        <v>9</v>
      </c>
    </row>
    <row r="38" spans="1:13" ht="14.25" customHeight="1">
      <c r="A38" s="70">
        <v>14</v>
      </c>
      <c r="B38" s="69" t="s">
        <v>271</v>
      </c>
      <c r="C38" s="70">
        <v>15</v>
      </c>
      <c r="D38" s="70">
        <v>14</v>
      </c>
      <c r="E38" s="70">
        <v>14</v>
      </c>
      <c r="F38" s="17">
        <f t="shared" si="5"/>
        <v>43</v>
      </c>
      <c r="G38" s="71">
        <f t="shared" si="6"/>
        <v>14.333333333333334</v>
      </c>
      <c r="H38" s="72" t="str">
        <f t="shared" si="7"/>
        <v>C</v>
      </c>
      <c r="K38" s="73" t="s">
        <v>272</v>
      </c>
    </row>
    <row r="39" spans="1:13" ht="14.25" customHeight="1">
      <c r="A39" s="70">
        <v>17</v>
      </c>
      <c r="B39" s="69" t="s">
        <v>273</v>
      </c>
      <c r="C39" s="70">
        <v>12</v>
      </c>
      <c r="D39" s="70">
        <v>17</v>
      </c>
      <c r="E39" s="70">
        <v>17</v>
      </c>
      <c r="F39" s="17">
        <f t="shared" si="5"/>
        <v>46</v>
      </c>
      <c r="G39" s="71">
        <f t="shared" si="6"/>
        <v>15.333333333333334</v>
      </c>
      <c r="H39" s="72" t="str">
        <f t="shared" si="7"/>
        <v>B</v>
      </c>
      <c r="K39" s="52">
        <f>COUNTIF(C36:E44,"&lt;20")</f>
        <v>16</v>
      </c>
    </row>
    <row r="40" spans="1:13" ht="14.25" customHeight="1">
      <c r="A40" s="70">
        <v>18</v>
      </c>
      <c r="B40" s="69" t="s">
        <v>274</v>
      </c>
      <c r="C40" s="70">
        <v>14</v>
      </c>
      <c r="D40" s="70">
        <v>18</v>
      </c>
      <c r="E40" s="70">
        <v>18</v>
      </c>
      <c r="F40" s="17">
        <f t="shared" si="5"/>
        <v>50</v>
      </c>
      <c r="G40" s="71">
        <f t="shared" si="6"/>
        <v>16.666666666666668</v>
      </c>
      <c r="H40" s="72" t="str">
        <f t="shared" si="7"/>
        <v>B</v>
      </c>
    </row>
    <row r="41" spans="1:13" ht="14.25" customHeight="1">
      <c r="A41" s="70">
        <v>25</v>
      </c>
      <c r="B41" s="69" t="s">
        <v>275</v>
      </c>
      <c r="C41" s="70">
        <v>16</v>
      </c>
      <c r="D41" s="70">
        <v>25</v>
      </c>
      <c r="E41" s="70">
        <v>20</v>
      </c>
      <c r="F41" s="17">
        <f t="shared" si="5"/>
        <v>61</v>
      </c>
      <c r="G41" s="71">
        <f t="shared" si="6"/>
        <v>20.333333333333332</v>
      </c>
      <c r="H41" s="72" t="str">
        <f t="shared" si="7"/>
        <v>A</v>
      </c>
      <c r="J41" s="74" t="s">
        <v>261</v>
      </c>
      <c r="K41" s="74" t="s">
        <v>265</v>
      </c>
      <c r="L41" s="74" t="s">
        <v>276</v>
      </c>
    </row>
    <row r="42" spans="1:13" ht="14.25" customHeight="1">
      <c r="A42" s="70">
        <v>21</v>
      </c>
      <c r="B42" s="69" t="s">
        <v>277</v>
      </c>
      <c r="C42" s="70">
        <v>18</v>
      </c>
      <c r="D42" s="70">
        <v>21</v>
      </c>
      <c r="E42" s="70">
        <v>22</v>
      </c>
      <c r="F42" s="17">
        <f t="shared" si="5"/>
        <v>61</v>
      </c>
      <c r="G42" s="71">
        <f t="shared" si="6"/>
        <v>20.333333333333332</v>
      </c>
      <c r="H42" s="72" t="str">
        <f t="shared" si="7"/>
        <v>A</v>
      </c>
      <c r="J42" s="52" t="s">
        <v>273</v>
      </c>
      <c r="K42" s="52">
        <f>VLOOKUP(J42,B36:H44,5,0)</f>
        <v>46</v>
      </c>
      <c r="L42" s="75">
        <f>VLOOKUP(J42,B36:H44,6,0)</f>
        <v>15.333333333333334</v>
      </c>
      <c r="M42" s="75"/>
    </row>
    <row r="43" spans="1:13" ht="14.25" customHeight="1">
      <c r="A43" s="70">
        <v>23</v>
      </c>
      <c r="B43" s="69" t="s">
        <v>278</v>
      </c>
      <c r="C43" s="70">
        <v>17</v>
      </c>
      <c r="D43" s="70">
        <v>23</v>
      </c>
      <c r="E43" s="70">
        <v>13</v>
      </c>
      <c r="F43" s="17">
        <f t="shared" si="5"/>
        <v>53</v>
      </c>
      <c r="G43" s="71">
        <f t="shared" si="6"/>
        <v>17.666666666666668</v>
      </c>
      <c r="H43" s="72" t="str">
        <f t="shared" si="7"/>
        <v>B</v>
      </c>
    </row>
    <row r="44" spans="1:13" ht="14.25" customHeight="1">
      <c r="A44" s="70">
        <v>25</v>
      </c>
      <c r="B44" s="69" t="s">
        <v>279</v>
      </c>
      <c r="C44" s="70">
        <v>20</v>
      </c>
      <c r="D44" s="70">
        <v>25</v>
      </c>
      <c r="E44" s="70">
        <v>25</v>
      </c>
      <c r="F44" s="17">
        <f t="shared" si="5"/>
        <v>70</v>
      </c>
      <c r="G44" s="71">
        <f t="shared" si="6"/>
        <v>23.333333333333332</v>
      </c>
      <c r="H44" s="72" t="str">
        <f t="shared" si="7"/>
        <v>A</v>
      </c>
    </row>
    <row r="45" spans="1:13" ht="14.25" customHeight="1">
      <c r="J45" s="76"/>
    </row>
    <row r="46" spans="1:13" ht="14.25" customHeight="1"/>
    <row r="47" spans="1:13" ht="14.25" customHeight="1"/>
    <row r="48" spans="1:13" ht="14.25" customHeight="1"/>
    <row r="49" spans="1:16" ht="14.25" customHeight="1"/>
    <row r="50" spans="1:16" ht="14.25" customHeight="1">
      <c r="B50" s="285" t="s">
        <v>280</v>
      </c>
      <c r="C50" s="234"/>
      <c r="D50" s="234"/>
      <c r="E50" s="234"/>
      <c r="F50" s="234"/>
      <c r="G50" s="234"/>
      <c r="H50" s="235"/>
    </row>
    <row r="51" spans="1:16" ht="14.25" customHeight="1">
      <c r="B51" s="236"/>
      <c r="C51" s="237"/>
      <c r="D51" s="237"/>
      <c r="E51" s="237"/>
      <c r="F51" s="237"/>
      <c r="G51" s="237"/>
      <c r="H51" s="215"/>
    </row>
    <row r="52" spans="1:16" ht="14.25" customHeight="1">
      <c r="A52" s="179"/>
      <c r="B52" s="77" t="s">
        <v>281</v>
      </c>
      <c r="C52" s="77" t="s">
        <v>282</v>
      </c>
      <c r="D52" s="77" t="s">
        <v>283</v>
      </c>
      <c r="E52" s="77" t="s">
        <v>284</v>
      </c>
      <c r="F52" s="77" t="s">
        <v>285</v>
      </c>
      <c r="G52" s="77" t="s">
        <v>286</v>
      </c>
      <c r="H52" s="77" t="s">
        <v>287</v>
      </c>
      <c r="I52" s="77" t="s">
        <v>82</v>
      </c>
      <c r="J52" s="77" t="s">
        <v>224</v>
      </c>
      <c r="L52" s="77" t="s">
        <v>288</v>
      </c>
    </row>
    <row r="53" spans="1:16" ht="14.25" customHeight="1">
      <c r="A53" s="180"/>
      <c r="B53" s="78" t="s">
        <v>226</v>
      </c>
      <c r="C53" s="79" t="s">
        <v>254</v>
      </c>
      <c r="D53" s="68" t="s">
        <v>289</v>
      </c>
      <c r="E53" s="80">
        <v>5000</v>
      </c>
      <c r="F53" s="80">
        <f t="shared" ref="F53:F60" si="8">E53*2.5%</f>
        <v>125</v>
      </c>
      <c r="G53" s="80">
        <f t="shared" ref="G53:G60" si="9">E53*3.5%</f>
        <v>175.00000000000003</v>
      </c>
      <c r="H53" s="80">
        <v>75</v>
      </c>
      <c r="I53" s="17">
        <f t="shared" ref="I53:I60" si="10">SUM(E53:G53)-H53</f>
        <v>5225</v>
      </c>
      <c r="J53" s="81" t="str">
        <f t="shared" ref="J53:J60" si="11">IF(I53&gt;20000,"A",IF(I53&gt;10000,"B","C"))</f>
        <v>C</v>
      </c>
      <c r="L53" s="52">
        <f>COUNTIF(C53:C60,"computer")</f>
        <v>3</v>
      </c>
      <c r="P53" s="74" t="s">
        <v>290</v>
      </c>
    </row>
    <row r="54" spans="1:16" ht="14.25" customHeight="1">
      <c r="A54" s="180"/>
      <c r="B54" s="78" t="s">
        <v>291</v>
      </c>
      <c r="C54" s="79" t="s">
        <v>254</v>
      </c>
      <c r="D54" s="68" t="s">
        <v>292</v>
      </c>
      <c r="E54" s="80">
        <v>8000</v>
      </c>
      <c r="F54" s="80">
        <f t="shared" si="8"/>
        <v>200</v>
      </c>
      <c r="G54" s="80">
        <f t="shared" si="9"/>
        <v>280</v>
      </c>
      <c r="H54" s="80">
        <f t="shared" ref="H54:H60" si="12">E54*1.5%</f>
        <v>120</v>
      </c>
      <c r="I54" s="17">
        <f t="shared" si="10"/>
        <v>8360</v>
      </c>
      <c r="J54" s="81" t="str">
        <f t="shared" si="11"/>
        <v>C</v>
      </c>
      <c r="L54" s="52">
        <f>COUNTIF(C53:C60,"finance")</f>
        <v>2</v>
      </c>
      <c r="P54" s="52">
        <f>COUNTIF(D53:D60,"manager")</f>
        <v>2</v>
      </c>
    </row>
    <row r="55" spans="1:16" ht="14.25" customHeight="1">
      <c r="A55" s="180"/>
      <c r="B55" s="78" t="s">
        <v>230</v>
      </c>
      <c r="C55" s="79" t="s">
        <v>254</v>
      </c>
      <c r="D55" s="68" t="s">
        <v>293</v>
      </c>
      <c r="E55" s="80">
        <v>3000</v>
      </c>
      <c r="F55" s="80">
        <f t="shared" si="8"/>
        <v>75</v>
      </c>
      <c r="G55" s="80">
        <f t="shared" si="9"/>
        <v>105.00000000000001</v>
      </c>
      <c r="H55" s="80">
        <f t="shared" si="12"/>
        <v>45</v>
      </c>
      <c r="I55" s="17">
        <f t="shared" si="10"/>
        <v>3135</v>
      </c>
      <c r="J55" s="81" t="str">
        <f t="shared" si="11"/>
        <v>C</v>
      </c>
      <c r="L55" s="52">
        <f>COUNTIF(C53:C60,"Electrical")</f>
        <v>3</v>
      </c>
      <c r="P55" s="52">
        <f>COUNTIF(D53:D60,"guard")</f>
        <v>2</v>
      </c>
    </row>
    <row r="56" spans="1:16" ht="14.25" customHeight="1">
      <c r="A56" s="180"/>
      <c r="B56" s="78" t="s">
        <v>237</v>
      </c>
      <c r="C56" s="79" t="s">
        <v>294</v>
      </c>
      <c r="D56" s="68" t="s">
        <v>295</v>
      </c>
      <c r="E56" s="80">
        <v>6000</v>
      </c>
      <c r="F56" s="80">
        <f t="shared" si="8"/>
        <v>150</v>
      </c>
      <c r="G56" s="80">
        <f t="shared" si="9"/>
        <v>210.00000000000003</v>
      </c>
      <c r="H56" s="80">
        <f t="shared" si="12"/>
        <v>90</v>
      </c>
      <c r="I56" s="17">
        <f t="shared" si="10"/>
        <v>6270</v>
      </c>
      <c r="J56" s="81" t="str">
        <f t="shared" si="11"/>
        <v>C</v>
      </c>
      <c r="L56" s="74" t="s">
        <v>296</v>
      </c>
    </row>
    <row r="57" spans="1:16" ht="14.25" customHeight="1">
      <c r="A57" s="180"/>
      <c r="B57" s="78" t="s">
        <v>297</v>
      </c>
      <c r="C57" s="79" t="s">
        <v>294</v>
      </c>
      <c r="D57" s="68" t="s">
        <v>298</v>
      </c>
      <c r="E57" s="80">
        <v>8000</v>
      </c>
      <c r="F57" s="80">
        <f t="shared" si="8"/>
        <v>200</v>
      </c>
      <c r="G57" s="80">
        <f t="shared" si="9"/>
        <v>280</v>
      </c>
      <c r="H57" s="80">
        <f t="shared" si="12"/>
        <v>120</v>
      </c>
      <c r="I57" s="17">
        <f t="shared" si="10"/>
        <v>8360</v>
      </c>
      <c r="J57" s="81" t="str">
        <f t="shared" si="11"/>
        <v>C</v>
      </c>
      <c r="L57" s="52">
        <f>SUMIF(C53:C60,"computer",E53:E60)</f>
        <v>16000</v>
      </c>
    </row>
    <row r="58" spans="1:16" ht="14.25" customHeight="1">
      <c r="A58" s="180"/>
      <c r="B58" s="78" t="s">
        <v>299</v>
      </c>
      <c r="C58" s="79" t="s">
        <v>294</v>
      </c>
      <c r="D58" s="68" t="s">
        <v>300</v>
      </c>
      <c r="E58" s="80">
        <v>9000</v>
      </c>
      <c r="F58" s="80">
        <f t="shared" si="8"/>
        <v>225</v>
      </c>
      <c r="G58" s="80">
        <f t="shared" si="9"/>
        <v>315.00000000000006</v>
      </c>
      <c r="H58" s="80">
        <f t="shared" si="12"/>
        <v>135</v>
      </c>
      <c r="I58" s="17">
        <f t="shared" si="10"/>
        <v>9405</v>
      </c>
      <c r="J58" s="81" t="str">
        <f t="shared" si="11"/>
        <v>C</v>
      </c>
    </row>
    <row r="59" spans="1:16" ht="14.25" customHeight="1">
      <c r="A59" s="180"/>
      <c r="B59" s="78" t="s">
        <v>301</v>
      </c>
      <c r="C59" s="79" t="s">
        <v>302</v>
      </c>
      <c r="D59" s="68" t="s">
        <v>289</v>
      </c>
      <c r="E59" s="80">
        <v>10000</v>
      </c>
      <c r="F59" s="80">
        <f t="shared" si="8"/>
        <v>250</v>
      </c>
      <c r="G59" s="80">
        <f t="shared" si="9"/>
        <v>350.00000000000006</v>
      </c>
      <c r="H59" s="80">
        <f t="shared" si="12"/>
        <v>150</v>
      </c>
      <c r="I59" s="17">
        <f t="shared" si="10"/>
        <v>10450</v>
      </c>
      <c r="J59" s="81" t="str">
        <f t="shared" si="11"/>
        <v>B</v>
      </c>
      <c r="L59" s="74" t="s">
        <v>303</v>
      </c>
      <c r="M59" s="74" t="s">
        <v>283</v>
      </c>
      <c r="N59" s="74" t="s">
        <v>267</v>
      </c>
    </row>
    <row r="60" spans="1:16" ht="14.25" customHeight="1">
      <c r="A60" s="180"/>
      <c r="B60" s="78" t="s">
        <v>304</v>
      </c>
      <c r="C60" s="79" t="s">
        <v>302</v>
      </c>
      <c r="D60" s="68" t="s">
        <v>295</v>
      </c>
      <c r="E60" s="80">
        <v>5000</v>
      </c>
      <c r="F60" s="80">
        <f t="shared" si="8"/>
        <v>125</v>
      </c>
      <c r="G60" s="80">
        <f t="shared" si="9"/>
        <v>175.00000000000003</v>
      </c>
      <c r="H60" s="80">
        <f t="shared" si="12"/>
        <v>75</v>
      </c>
      <c r="I60" s="17">
        <f t="shared" si="10"/>
        <v>5225</v>
      </c>
      <c r="J60" s="81" t="str">
        <f t="shared" si="11"/>
        <v>C</v>
      </c>
      <c r="L60" s="52" t="s">
        <v>305</v>
      </c>
      <c r="M60" s="52" t="str">
        <f t="shared" ref="M60:M61" si="13">VLOOKUP(L60,B53:J60,3,0)</f>
        <v>PION</v>
      </c>
      <c r="N60" s="52" t="str">
        <f t="shared" ref="N60:N61" si="14">VLOOKUP(L60,B53:J60,9,0)</f>
        <v>C</v>
      </c>
    </row>
    <row r="61" spans="1:16" ht="14.25" customHeight="1">
      <c r="L61" s="52" t="s">
        <v>306</v>
      </c>
      <c r="M61" s="52" t="str">
        <f t="shared" si="13"/>
        <v>MANAGER</v>
      </c>
      <c r="N61" s="52" t="str">
        <f t="shared" si="14"/>
        <v>B</v>
      </c>
    </row>
    <row r="62" spans="1:16" ht="14.25" customHeight="1"/>
    <row r="63" spans="1:16" ht="14.25" customHeight="1"/>
    <row r="64" spans="1:16" ht="14.25" customHeight="1"/>
    <row r="65" spans="1:16" ht="14.25" customHeight="1"/>
    <row r="66" spans="1:16" ht="14.25" customHeight="1">
      <c r="B66" s="286" t="s">
        <v>307</v>
      </c>
      <c r="C66" s="234"/>
      <c r="D66" s="234"/>
      <c r="E66" s="234"/>
      <c r="F66" s="234"/>
      <c r="G66" s="234"/>
      <c r="H66" s="234"/>
      <c r="I66" s="234"/>
      <c r="J66" s="234"/>
      <c r="K66" s="234"/>
      <c r="L66" s="235"/>
    </row>
    <row r="67" spans="1:16" ht="14.25" customHeight="1">
      <c r="B67" s="236"/>
      <c r="C67" s="237"/>
      <c r="D67" s="237"/>
      <c r="E67" s="237"/>
      <c r="F67" s="237"/>
      <c r="G67" s="237"/>
      <c r="H67" s="237"/>
      <c r="I67" s="237"/>
      <c r="J67" s="237"/>
      <c r="K67" s="237"/>
      <c r="L67" s="215"/>
    </row>
    <row r="68" spans="1:16" ht="14.25" customHeight="1">
      <c r="A68" s="82"/>
      <c r="B68" s="82" t="s">
        <v>308</v>
      </c>
      <c r="C68" s="82" t="s">
        <v>107</v>
      </c>
      <c r="D68" s="82" t="s">
        <v>108</v>
      </c>
      <c r="E68" s="82" t="s">
        <v>109</v>
      </c>
      <c r="F68" s="82" t="s">
        <v>309</v>
      </c>
      <c r="G68" s="82" t="s">
        <v>112</v>
      </c>
      <c r="H68" s="82" t="s">
        <v>310</v>
      </c>
      <c r="I68" s="82" t="s">
        <v>153</v>
      </c>
      <c r="J68" s="82" t="s">
        <v>311</v>
      </c>
      <c r="K68" s="82" t="s">
        <v>312</v>
      </c>
    </row>
    <row r="69" spans="1:16" ht="14.25" customHeight="1">
      <c r="A69" s="84"/>
      <c r="B69" s="71" t="s">
        <v>313</v>
      </c>
      <c r="C69" s="83">
        <v>2000</v>
      </c>
      <c r="D69" s="84">
        <v>1500</v>
      </c>
      <c r="E69" s="85">
        <v>300</v>
      </c>
      <c r="F69" s="86">
        <v>1400</v>
      </c>
      <c r="G69" s="85">
        <v>1000</v>
      </c>
      <c r="H69" s="68">
        <v>1400</v>
      </c>
      <c r="I69" s="87">
        <f t="shared" ref="I69:I79" si="15">SUM(C69:H69)</f>
        <v>7600</v>
      </c>
      <c r="J69" s="88">
        <v>10000</v>
      </c>
      <c r="K69" s="17" t="str">
        <f t="shared" ref="K69:K79" si="16">IF(I69&gt;J69,"ACHIVED",IF(I69&lt;J69,"NOT ACHIVED"))</f>
        <v>NOT ACHIVED</v>
      </c>
      <c r="N69" s="74" t="s">
        <v>314</v>
      </c>
      <c r="O69" s="74"/>
    </row>
    <row r="70" spans="1:16" ht="14.25" customHeight="1">
      <c r="A70" s="84"/>
      <c r="B70" s="71" t="s">
        <v>299</v>
      </c>
      <c r="C70" s="83">
        <v>5000</v>
      </c>
      <c r="D70" s="84">
        <v>1200</v>
      </c>
      <c r="E70" s="85">
        <v>500</v>
      </c>
      <c r="F70" s="86">
        <v>1200</v>
      </c>
      <c r="G70" s="85">
        <v>1200</v>
      </c>
      <c r="H70" s="68">
        <v>2800</v>
      </c>
      <c r="I70" s="87">
        <f t="shared" si="15"/>
        <v>11900</v>
      </c>
      <c r="J70" s="88">
        <v>12000</v>
      </c>
      <c r="K70" s="17" t="str">
        <f t="shared" si="16"/>
        <v>NOT ACHIVED</v>
      </c>
      <c r="N70" s="52">
        <f>COUNTA(B69:B79)</f>
        <v>11</v>
      </c>
    </row>
    <row r="71" spans="1:16" ht="14.25" customHeight="1">
      <c r="A71" s="84"/>
      <c r="B71" s="71" t="s">
        <v>297</v>
      </c>
      <c r="C71" s="83">
        <v>3000</v>
      </c>
      <c r="D71" s="84">
        <v>800</v>
      </c>
      <c r="E71" s="85">
        <v>1200</v>
      </c>
      <c r="F71" s="86">
        <v>3000</v>
      </c>
      <c r="G71" s="85">
        <v>1500</v>
      </c>
      <c r="H71" s="68">
        <v>3500</v>
      </c>
      <c r="I71" s="87">
        <f t="shared" si="15"/>
        <v>13000</v>
      </c>
      <c r="J71" s="88">
        <v>18000</v>
      </c>
      <c r="K71" s="17" t="str">
        <f t="shared" si="16"/>
        <v>NOT ACHIVED</v>
      </c>
      <c r="N71" s="74" t="s">
        <v>315</v>
      </c>
      <c r="O71" s="74" t="s">
        <v>316</v>
      </c>
      <c r="P71" s="74" t="s">
        <v>317</v>
      </c>
    </row>
    <row r="72" spans="1:16" ht="14.25" customHeight="1">
      <c r="A72" s="84"/>
      <c r="B72" s="71" t="s">
        <v>237</v>
      </c>
      <c r="C72" s="83">
        <v>1000</v>
      </c>
      <c r="D72" s="84">
        <v>900</v>
      </c>
      <c r="E72" s="85">
        <v>1800</v>
      </c>
      <c r="F72" s="86">
        <v>5000</v>
      </c>
      <c r="G72" s="85">
        <v>1400</v>
      </c>
      <c r="H72" s="68">
        <v>1200</v>
      </c>
      <c r="I72" s="87">
        <f t="shared" si="15"/>
        <v>11300</v>
      </c>
      <c r="J72" s="88">
        <v>10000</v>
      </c>
      <c r="K72" s="68" t="str">
        <f t="shared" si="16"/>
        <v>ACHIVED</v>
      </c>
      <c r="N72" s="52" t="s">
        <v>318</v>
      </c>
      <c r="O72" s="52">
        <f t="shared" ref="O72:O74" si="17">VLOOKUP(N72,B69:K79,9,0)</f>
        <v>12000</v>
      </c>
      <c r="P72" s="52" t="str">
        <f t="shared" ref="P72:P74" si="18">VLOOKUP(N72,B69:K79,10,0)</f>
        <v>ACHIVED</v>
      </c>
    </row>
    <row r="73" spans="1:16" ht="14.25" customHeight="1">
      <c r="A73" s="84"/>
      <c r="B73" s="71" t="s">
        <v>230</v>
      </c>
      <c r="C73" s="83">
        <v>500</v>
      </c>
      <c r="D73" s="84">
        <v>1000</v>
      </c>
      <c r="E73" s="85">
        <v>2300</v>
      </c>
      <c r="F73" s="86">
        <v>8000</v>
      </c>
      <c r="G73" s="85">
        <v>1700</v>
      </c>
      <c r="H73" s="68">
        <v>1400</v>
      </c>
      <c r="I73" s="87">
        <f t="shared" si="15"/>
        <v>14900</v>
      </c>
      <c r="J73" s="88">
        <v>12000</v>
      </c>
      <c r="K73" s="68" t="str">
        <f t="shared" si="16"/>
        <v>ACHIVED</v>
      </c>
      <c r="N73" s="74" t="s">
        <v>319</v>
      </c>
      <c r="O73" s="52">
        <f t="shared" si="17"/>
        <v>10000</v>
      </c>
      <c r="P73" s="52" t="str">
        <f t="shared" si="18"/>
        <v>ACHIVED</v>
      </c>
    </row>
    <row r="74" spans="1:16" ht="14.25" customHeight="1">
      <c r="A74" s="84"/>
      <c r="B74" s="71" t="s">
        <v>228</v>
      </c>
      <c r="C74" s="83">
        <v>800</v>
      </c>
      <c r="D74" s="84">
        <v>500</v>
      </c>
      <c r="E74" s="85">
        <v>2400</v>
      </c>
      <c r="F74" s="86">
        <v>1900</v>
      </c>
      <c r="G74" s="85">
        <v>1800</v>
      </c>
      <c r="H74" s="68">
        <v>1800</v>
      </c>
      <c r="I74" s="87">
        <f t="shared" si="15"/>
        <v>9200</v>
      </c>
      <c r="J74" s="88">
        <v>10000</v>
      </c>
      <c r="K74" s="17" t="str">
        <f t="shared" si="16"/>
        <v>NOT ACHIVED</v>
      </c>
      <c r="N74" s="52" t="s">
        <v>320</v>
      </c>
      <c r="O74" s="52">
        <f t="shared" si="17"/>
        <v>10000</v>
      </c>
      <c r="P74" s="52" t="str">
        <f t="shared" si="18"/>
        <v>NOT ACHIVED</v>
      </c>
    </row>
    <row r="75" spans="1:16" ht="14.25" customHeight="1">
      <c r="A75" s="84"/>
      <c r="B75" s="71" t="s">
        <v>321</v>
      </c>
      <c r="C75" s="83">
        <v>1200</v>
      </c>
      <c r="D75" s="84">
        <v>1400</v>
      </c>
      <c r="E75" s="85">
        <v>1500</v>
      </c>
      <c r="F75" s="86">
        <v>700</v>
      </c>
      <c r="G75" s="85">
        <v>2500</v>
      </c>
      <c r="H75" s="68">
        <v>7000</v>
      </c>
      <c r="I75" s="87">
        <f t="shared" si="15"/>
        <v>14300</v>
      </c>
      <c r="J75" s="88">
        <v>12000</v>
      </c>
      <c r="K75" s="68" t="str">
        <f t="shared" si="16"/>
        <v>ACHIVED</v>
      </c>
      <c r="N75" s="74" t="s">
        <v>322</v>
      </c>
      <c r="O75" s="52">
        <f>VLOOKUP(N75,B69:K79,9,0)</f>
        <v>18000</v>
      </c>
      <c r="P75" s="52" t="str">
        <f>VLOOKUP(N75,B69:K79,10,0)</f>
        <v>NOT ACHIVED</v>
      </c>
    </row>
    <row r="76" spans="1:16" ht="14.25" customHeight="1">
      <c r="A76" s="84"/>
      <c r="B76" s="71" t="s">
        <v>323</v>
      </c>
      <c r="C76" s="83">
        <v>1500</v>
      </c>
      <c r="D76" s="84">
        <v>1800</v>
      </c>
      <c r="E76" s="85">
        <v>1800</v>
      </c>
      <c r="F76" s="86">
        <v>1800</v>
      </c>
      <c r="G76" s="85">
        <v>300</v>
      </c>
      <c r="H76" s="68">
        <v>1500</v>
      </c>
      <c r="I76" s="87">
        <f t="shared" si="15"/>
        <v>8700</v>
      </c>
      <c r="J76" s="88">
        <v>10000</v>
      </c>
      <c r="K76" s="17" t="str">
        <f t="shared" si="16"/>
        <v>NOT ACHIVED</v>
      </c>
    </row>
    <row r="77" spans="1:16" ht="14.25" customHeight="1">
      <c r="A77" s="84"/>
      <c r="B77" s="71" t="s">
        <v>324</v>
      </c>
      <c r="C77" s="83">
        <v>1800</v>
      </c>
      <c r="D77" s="84">
        <v>2500</v>
      </c>
      <c r="E77" s="85">
        <v>1700</v>
      </c>
      <c r="F77" s="86">
        <v>1500</v>
      </c>
      <c r="G77" s="85">
        <v>2800</v>
      </c>
      <c r="H77" s="68">
        <v>1800</v>
      </c>
      <c r="I77" s="87">
        <f t="shared" si="15"/>
        <v>12100</v>
      </c>
      <c r="J77" s="88">
        <v>12000</v>
      </c>
      <c r="K77" s="68" t="str">
        <f t="shared" si="16"/>
        <v>ACHIVED</v>
      </c>
      <c r="N77" s="74" t="s">
        <v>325</v>
      </c>
    </row>
    <row r="78" spans="1:16" ht="14.25" customHeight="1">
      <c r="A78" s="84"/>
      <c r="B78" s="71" t="s">
        <v>326</v>
      </c>
      <c r="C78" s="83">
        <v>200</v>
      </c>
      <c r="D78" s="84">
        <v>3000</v>
      </c>
      <c r="E78" s="85">
        <v>1900</v>
      </c>
      <c r="F78" s="86">
        <v>1200</v>
      </c>
      <c r="G78" s="85">
        <v>1500</v>
      </c>
      <c r="H78" s="68">
        <v>3000</v>
      </c>
      <c r="I78" s="87">
        <f t="shared" si="15"/>
        <v>10800</v>
      </c>
      <c r="J78" s="88">
        <v>10000</v>
      </c>
      <c r="K78" s="68" t="str">
        <f t="shared" si="16"/>
        <v>ACHIVED</v>
      </c>
      <c r="N78" s="52">
        <f>COUNTIF(K69:K79,"ACHIVED")</f>
        <v>5</v>
      </c>
    </row>
    <row r="79" spans="1:16" ht="14.25" customHeight="1">
      <c r="A79" s="84"/>
      <c r="B79" s="71" t="s">
        <v>327</v>
      </c>
      <c r="C79" s="83">
        <v>1600</v>
      </c>
      <c r="D79" s="84">
        <v>1200</v>
      </c>
      <c r="E79" s="85">
        <v>2000</v>
      </c>
      <c r="F79" s="86">
        <v>800</v>
      </c>
      <c r="G79" s="85">
        <v>1700</v>
      </c>
      <c r="H79" s="68">
        <v>800</v>
      </c>
      <c r="I79" s="87">
        <f t="shared" si="15"/>
        <v>8100</v>
      </c>
      <c r="J79" s="88">
        <v>10000</v>
      </c>
      <c r="K79" s="17" t="str">
        <f t="shared" si="16"/>
        <v>NOT ACHIVED</v>
      </c>
    </row>
    <row r="80" spans="1:16" ht="14.25" customHeight="1">
      <c r="N80" s="52" t="s">
        <v>328</v>
      </c>
    </row>
    <row r="81" spans="1:14" ht="14.25" customHeight="1">
      <c r="N81" s="52" t="s">
        <v>329</v>
      </c>
    </row>
    <row r="82" spans="1:14" ht="14.25" customHeight="1"/>
    <row r="83" spans="1:14" ht="14.25" customHeight="1">
      <c r="F83" s="8" t="s">
        <v>330</v>
      </c>
    </row>
    <row r="84" spans="1:14" ht="14.25" customHeight="1"/>
    <row r="85" spans="1:14" ht="14.25" customHeight="1"/>
    <row r="86" spans="1:14" ht="14.25" customHeight="1">
      <c r="B86" s="287" t="s">
        <v>331</v>
      </c>
      <c r="C86" s="234"/>
      <c r="D86" s="234"/>
      <c r="E86" s="234"/>
      <c r="F86" s="234"/>
      <c r="G86" s="234"/>
      <c r="H86" s="234"/>
      <c r="I86" s="234"/>
      <c r="J86" s="235"/>
    </row>
    <row r="87" spans="1:14" ht="14.25" customHeight="1">
      <c r="B87" s="236"/>
      <c r="C87" s="237"/>
      <c r="D87" s="237"/>
      <c r="E87" s="237"/>
      <c r="F87" s="237"/>
      <c r="G87" s="237"/>
      <c r="H87" s="237"/>
      <c r="I87" s="237"/>
      <c r="J87" s="215"/>
    </row>
    <row r="88" spans="1:14" ht="14.25" customHeight="1">
      <c r="A88" s="89"/>
      <c r="B88" s="89" t="s">
        <v>332</v>
      </c>
      <c r="C88" s="89" t="s">
        <v>333</v>
      </c>
      <c r="D88" s="89" t="s">
        <v>334</v>
      </c>
    </row>
    <row r="89" spans="1:14" ht="14.25" customHeight="1">
      <c r="A89" s="91"/>
      <c r="B89" s="86" t="s">
        <v>335</v>
      </c>
      <c r="C89" s="90">
        <v>42370</v>
      </c>
      <c r="D89" s="91">
        <v>800</v>
      </c>
      <c r="E89" s="288" t="s">
        <v>336</v>
      </c>
      <c r="F89" s="257"/>
      <c r="G89" s="257"/>
      <c r="H89" s="257"/>
      <c r="I89" s="257"/>
      <c r="J89" s="258"/>
    </row>
    <row r="90" spans="1:14" ht="14.25" customHeight="1">
      <c r="A90" s="91"/>
      <c r="B90" s="86" t="s">
        <v>337</v>
      </c>
      <c r="C90" s="90">
        <v>42502</v>
      </c>
      <c r="D90" s="91">
        <v>2000</v>
      </c>
      <c r="E90" s="8" t="s">
        <v>335</v>
      </c>
      <c r="F90" s="52">
        <f>COUNTIFS(B89:B107,"Brakes")</f>
        <v>4</v>
      </c>
    </row>
    <row r="91" spans="1:14" ht="14.25" customHeight="1">
      <c r="A91" s="91"/>
      <c r="B91" s="86" t="s">
        <v>335</v>
      </c>
      <c r="C91" s="90">
        <v>42508</v>
      </c>
      <c r="D91" s="91">
        <v>500</v>
      </c>
      <c r="E91" s="8" t="s">
        <v>338</v>
      </c>
      <c r="F91" s="52">
        <f>COUNTIFS(B89:B107,"Window")</f>
        <v>5</v>
      </c>
    </row>
    <row r="92" spans="1:14" ht="14.25" customHeight="1">
      <c r="A92" s="91"/>
      <c r="B92" s="86" t="s">
        <v>339</v>
      </c>
      <c r="C92" s="90">
        <v>42510</v>
      </c>
      <c r="D92" s="91">
        <v>800</v>
      </c>
      <c r="E92" s="8" t="s">
        <v>337</v>
      </c>
      <c r="F92" s="52">
        <f>COUNTIFS(B89:B107,"Tyres")</f>
        <v>5</v>
      </c>
    </row>
    <row r="93" spans="1:14" ht="14.25" customHeight="1">
      <c r="A93" s="91"/>
      <c r="B93" s="86" t="s">
        <v>339</v>
      </c>
      <c r="C93" s="90">
        <v>42410</v>
      </c>
      <c r="D93" s="91">
        <v>1000</v>
      </c>
    </row>
    <row r="94" spans="1:14" ht="14.25" customHeight="1">
      <c r="A94" s="91"/>
      <c r="B94" s="86" t="s">
        <v>338</v>
      </c>
      <c r="C94" s="90">
        <v>42498</v>
      </c>
      <c r="D94" s="91">
        <v>1000</v>
      </c>
      <c r="E94" s="74" t="s">
        <v>340</v>
      </c>
    </row>
    <row r="95" spans="1:14" ht="14.25" customHeight="1">
      <c r="A95" s="91"/>
      <c r="B95" s="86" t="s">
        <v>337</v>
      </c>
      <c r="C95" s="90">
        <v>42500</v>
      </c>
      <c r="D95" s="91">
        <v>1200</v>
      </c>
      <c r="E95" s="52">
        <f>COUNTA(B89:B107)</f>
        <v>19</v>
      </c>
    </row>
    <row r="96" spans="1:14" ht="14.25" customHeight="1">
      <c r="A96" s="91"/>
      <c r="B96" s="86" t="s">
        <v>337</v>
      </c>
      <c r="C96" s="90">
        <v>42515</v>
      </c>
      <c r="D96" s="91">
        <v>1500</v>
      </c>
      <c r="E96" s="289" t="s">
        <v>341</v>
      </c>
      <c r="F96" s="258"/>
    </row>
    <row r="97" spans="1:6" ht="14.25" customHeight="1">
      <c r="A97" s="91"/>
      <c r="B97" s="86" t="s">
        <v>342</v>
      </c>
      <c r="C97" s="90">
        <v>42561</v>
      </c>
      <c r="D97" s="91">
        <v>1800</v>
      </c>
      <c r="E97" s="52">
        <f>COUNTIF(D89:D107,"&gt;1000")</f>
        <v>12</v>
      </c>
      <c r="F97" s="52">
        <f>COUNTIF(D89:D108,"&lt;1000")</f>
        <v>3</v>
      </c>
    </row>
    <row r="98" spans="1:6" ht="14.25" customHeight="1">
      <c r="A98" s="91"/>
      <c r="B98" s="86" t="s">
        <v>337</v>
      </c>
      <c r="C98" s="90">
        <v>42379</v>
      </c>
      <c r="D98" s="91">
        <v>2000</v>
      </c>
    </row>
    <row r="99" spans="1:6" ht="14.25" customHeight="1">
      <c r="A99" s="91"/>
      <c r="B99" s="86" t="s">
        <v>342</v>
      </c>
      <c r="C99" s="90">
        <v>42536</v>
      </c>
      <c r="D99" s="91">
        <v>1500</v>
      </c>
      <c r="E99" s="52" t="s">
        <v>343</v>
      </c>
    </row>
    <row r="100" spans="1:6" ht="14.25" customHeight="1">
      <c r="A100" s="91"/>
      <c r="B100" s="86" t="s">
        <v>342</v>
      </c>
      <c r="C100" s="90">
        <v>42381</v>
      </c>
      <c r="D100" s="91">
        <v>1000</v>
      </c>
    </row>
    <row r="101" spans="1:6" ht="14.25" customHeight="1">
      <c r="A101" s="91"/>
      <c r="B101" s="86" t="s">
        <v>338</v>
      </c>
      <c r="C101" s="90">
        <v>42370</v>
      </c>
      <c r="D101" s="91">
        <v>1200</v>
      </c>
    </row>
    <row r="102" spans="1:6" ht="14.25" customHeight="1">
      <c r="A102" s="91"/>
      <c r="B102" s="86" t="s">
        <v>338</v>
      </c>
      <c r="C102" s="90">
        <v>42500</v>
      </c>
      <c r="D102" s="91">
        <v>1500</v>
      </c>
      <c r="E102" s="79" t="s">
        <v>344</v>
      </c>
    </row>
    <row r="103" spans="1:6" ht="14.25" customHeight="1">
      <c r="A103" s="91"/>
      <c r="B103" s="86" t="s">
        <v>338</v>
      </c>
      <c r="C103" s="90">
        <v>42500</v>
      </c>
      <c r="D103" s="91">
        <v>1800</v>
      </c>
      <c r="E103" s="52">
        <f>SUMIF(B89:B107,"window",D89:D107)</f>
        <v>7300</v>
      </c>
    </row>
    <row r="104" spans="1:6" ht="14.25" customHeight="1">
      <c r="A104" s="91"/>
      <c r="B104" s="86" t="s">
        <v>335</v>
      </c>
      <c r="C104" s="90">
        <v>42500</v>
      </c>
      <c r="D104" s="91">
        <v>1000</v>
      </c>
      <c r="E104" s="52">
        <f>SUMIF(B89:B107,"brakes",D89:D107)</f>
        <v>3500</v>
      </c>
    </row>
    <row r="105" spans="1:6" ht="14.25" customHeight="1">
      <c r="A105" s="91"/>
      <c r="B105" s="86" t="s">
        <v>335</v>
      </c>
      <c r="C105" s="90">
        <v>42596</v>
      </c>
      <c r="D105" s="91">
        <v>1200</v>
      </c>
    </row>
    <row r="106" spans="1:6" ht="14.25" customHeight="1">
      <c r="A106" s="91"/>
      <c r="B106" s="86" t="s">
        <v>337</v>
      </c>
      <c r="C106" s="90">
        <v>42597</v>
      </c>
      <c r="D106" s="91">
        <v>1500</v>
      </c>
      <c r="E106" s="52">
        <v>15</v>
      </c>
      <c r="F106" s="79" t="str">
        <f>HLOOKUP(B88,B88:B107,15,0)</f>
        <v>Window</v>
      </c>
    </row>
    <row r="107" spans="1:6" ht="14.25" customHeight="1">
      <c r="A107" s="91"/>
      <c r="B107" s="86" t="s">
        <v>338</v>
      </c>
      <c r="C107" s="90">
        <v>42602</v>
      </c>
      <c r="D107" s="91">
        <v>1800</v>
      </c>
      <c r="E107" s="52">
        <v>18</v>
      </c>
      <c r="F107" s="79" t="str">
        <f>HLOOKUP(B88,B88:B107,18,0)</f>
        <v>Brakes</v>
      </c>
    </row>
    <row r="108" spans="1:6" ht="14.25" customHeight="1">
      <c r="B108" s="86"/>
      <c r="E108" s="52">
        <v>20</v>
      </c>
      <c r="F108" s="79" t="str">
        <f>HLOOKUP(B88,B88:B107,20,0)</f>
        <v>Window</v>
      </c>
    </row>
    <row r="109" spans="1:6" ht="14.25" customHeight="1"/>
    <row r="110" spans="1:6" ht="14.25" customHeight="1"/>
    <row r="111" spans="1:6" ht="14.25" customHeight="1"/>
    <row r="112" spans="1:6" ht="14.25" customHeight="1"/>
    <row r="113" spans="1:11" ht="14.25" customHeight="1"/>
    <row r="114" spans="1:11" ht="14.25" customHeight="1"/>
    <row r="115" spans="1:11" ht="14.25" customHeight="1">
      <c r="B115" s="290" t="s">
        <v>345</v>
      </c>
      <c r="C115" s="234"/>
      <c r="D115" s="234"/>
      <c r="E115" s="234"/>
      <c r="F115" s="234"/>
      <c r="G115" s="234"/>
      <c r="H115" s="234"/>
      <c r="I115" s="235"/>
    </row>
    <row r="116" spans="1:11" ht="14.25" customHeight="1">
      <c r="B116" s="236"/>
      <c r="C116" s="237"/>
      <c r="D116" s="237"/>
      <c r="E116" s="237"/>
      <c r="F116" s="237"/>
      <c r="G116" s="237"/>
      <c r="H116" s="237"/>
      <c r="I116" s="215"/>
      <c r="K116" s="73" t="s">
        <v>346</v>
      </c>
    </row>
    <row r="117" spans="1:11" ht="14.25" customHeight="1">
      <c r="A117" s="92"/>
      <c r="B117" s="92" t="s">
        <v>281</v>
      </c>
      <c r="C117" s="92" t="s">
        <v>347</v>
      </c>
      <c r="D117" s="92" t="s">
        <v>348</v>
      </c>
      <c r="E117" s="92" t="s">
        <v>349</v>
      </c>
      <c r="F117" s="92" t="s">
        <v>350</v>
      </c>
      <c r="G117" s="92" t="s">
        <v>351</v>
      </c>
      <c r="K117" s="52">
        <f>COUNTA(B118:B128)</f>
        <v>11</v>
      </c>
    </row>
    <row r="118" spans="1:11" ht="14.25" customHeight="1">
      <c r="A118" s="8"/>
      <c r="B118" s="71" t="s">
        <v>313</v>
      </c>
      <c r="C118" s="93">
        <v>29356</v>
      </c>
      <c r="D118" s="8">
        <f ca="1">DATEDIF(C118,TODAY(),"md")</f>
        <v>26</v>
      </c>
      <c r="E118" s="8">
        <f ca="1">DATEDIF(C118,TODAY(),"YM")</f>
        <v>5</v>
      </c>
      <c r="F118" s="52">
        <f ca="1">DATEDIF(C118,TODAY(),"Y")</f>
        <v>44</v>
      </c>
      <c r="G118" s="52" t="str">
        <f ca="1">IF(F118:F128&gt;20,"ADULT",IF(F118:F128&lt;20,"CHILD"))</f>
        <v>ADULT</v>
      </c>
    </row>
    <row r="119" spans="1:11" ht="14.25" customHeight="1">
      <c r="A119" s="8"/>
      <c r="B119" s="71" t="s">
        <v>299</v>
      </c>
      <c r="C119" s="94">
        <v>29818</v>
      </c>
      <c r="D119" s="8">
        <f ca="1">DATEDIF(C119,TODAY(),"md")</f>
        <v>21</v>
      </c>
      <c r="E119" s="8">
        <f ca="1">DATEDIF(C119,TODAY(),"YM")</f>
        <v>2</v>
      </c>
      <c r="F119" s="52">
        <f ca="1">DATEDIF(C119,TODAY(),"Y")</f>
        <v>43</v>
      </c>
      <c r="G119" s="52" t="str">
        <f ca="1">IF(F119:F129&gt;20,"ADULT",IF(F119:F129&lt;20,"CHILD"))</f>
        <v>ADULT</v>
      </c>
      <c r="K119" s="79" t="s">
        <v>352</v>
      </c>
    </row>
    <row r="120" spans="1:11" ht="14.25" customHeight="1">
      <c r="A120" s="8"/>
      <c r="B120" s="71" t="s">
        <v>297</v>
      </c>
      <c r="C120" s="93">
        <v>37909</v>
      </c>
      <c r="D120" s="8">
        <f ca="1">DATEDIF(C120,TODAY(),"md")</f>
        <v>26</v>
      </c>
      <c r="E120" s="8">
        <f ca="1">DATEDIF(C120,TODAY(),"YM")</f>
        <v>0</v>
      </c>
      <c r="F120" s="52">
        <f ca="1">DATEDIF(C120,TODAY(),"Y")</f>
        <v>21</v>
      </c>
      <c r="G120" s="52" t="str">
        <f ca="1">IF(F120:F130&gt;20,"ADULT",IF(F120:F130&lt;20,"CHILD"))</f>
        <v>ADULT</v>
      </c>
      <c r="K120" s="52">
        <f ca="1">SUMIF(B118:B128,"SURENDRA",F118:F128)</f>
        <v>14</v>
      </c>
    </row>
    <row r="121" spans="1:11" ht="14.25" customHeight="1">
      <c r="A121" s="8"/>
      <c r="B121" s="71" t="s">
        <v>237</v>
      </c>
      <c r="C121" s="94">
        <v>33018</v>
      </c>
      <c r="D121" s="8">
        <f ca="1">DATEDIF(C121,TODAY(),"md")</f>
        <v>16</v>
      </c>
      <c r="E121" s="8">
        <f ca="1">DATEDIF(C121,TODAY(),"YM")</f>
        <v>5</v>
      </c>
      <c r="F121" s="52">
        <f ca="1">DATEDIF(C121,TODAY(),"Y")</f>
        <v>34</v>
      </c>
      <c r="G121" s="52" t="str">
        <f ca="1">IF(F121:F131&gt;20,"ADULT",IF(F121:F131&lt;20,"CHILD"))</f>
        <v>ADULT</v>
      </c>
    </row>
    <row r="122" spans="1:11" ht="14.25" customHeight="1">
      <c r="A122" s="8"/>
      <c r="B122" s="71" t="s">
        <v>230</v>
      </c>
      <c r="C122" s="94">
        <v>33840</v>
      </c>
      <c r="D122" s="8">
        <f ca="1">DATEDIF(C122,TODAY(),"md")</f>
        <v>17</v>
      </c>
      <c r="E122" s="8">
        <f ca="1">DATEDIF(C122,TODAY(),"YM")</f>
        <v>2</v>
      </c>
      <c r="F122" s="52">
        <f ca="1">DATEDIF(C122,TODAY(),"Y")</f>
        <v>32</v>
      </c>
      <c r="G122" s="52" t="str">
        <f ca="1">IF(F122:F132&gt;20,"ADULT",IF(F122:F132&lt;20,"CHILD"))</f>
        <v>ADULT</v>
      </c>
      <c r="K122" s="79" t="s">
        <v>353</v>
      </c>
    </row>
    <row r="123" spans="1:11" ht="14.25" customHeight="1">
      <c r="A123" s="8"/>
      <c r="B123" s="71" t="s">
        <v>228</v>
      </c>
      <c r="C123" s="94">
        <v>36030</v>
      </c>
      <c r="D123" s="8">
        <f ca="1">DATEDIF(C123,TODAY(),"md")</f>
        <v>18</v>
      </c>
      <c r="E123" s="8">
        <f ca="1">DATEDIF(C123,TODAY(),"YM")</f>
        <v>2</v>
      </c>
      <c r="F123" s="52">
        <f ca="1">DATEDIF(C123,TODAY(),"Y")</f>
        <v>26</v>
      </c>
      <c r="G123" s="52" t="str">
        <f ca="1">IF(F123:F133&gt;20,"ADULT",IF(F123:F133&lt;20,"CHILD"))</f>
        <v>ADULT</v>
      </c>
      <c r="K123" s="52">
        <f ca="1">COUNTIF(F118:F128,"&gt;20")</f>
        <v>8</v>
      </c>
    </row>
    <row r="124" spans="1:11" ht="14.25" customHeight="1">
      <c r="A124" s="8"/>
      <c r="B124" s="71" t="s">
        <v>321</v>
      </c>
      <c r="C124" s="94">
        <v>29353</v>
      </c>
      <c r="D124" s="8">
        <f ca="1">DATEDIF(C124,TODAY(),"md")</f>
        <v>29</v>
      </c>
      <c r="E124" s="8">
        <f ca="1">DATEDIF(C124,TODAY(),"YM")</f>
        <v>5</v>
      </c>
      <c r="F124" s="52">
        <f ca="1">DATEDIF(C124,TODAY(),"Y")</f>
        <v>44</v>
      </c>
      <c r="G124" s="52" t="str">
        <f ca="1">IF(F124:F134&gt;20,"ADULT",IF(F124:F134&lt;20,"CHILD"))</f>
        <v>ADULT</v>
      </c>
    </row>
    <row r="125" spans="1:11" ht="14.25" customHeight="1">
      <c r="A125" s="8"/>
      <c r="B125" s="71" t="s">
        <v>354</v>
      </c>
      <c r="C125" s="94">
        <v>38429</v>
      </c>
      <c r="D125" s="8">
        <f ca="1">DATEDIF(C125,TODAY(),"md")</f>
        <v>23</v>
      </c>
      <c r="E125" s="8">
        <f ca="1">DATEDIF(C125,TODAY(),"YM")</f>
        <v>7</v>
      </c>
      <c r="F125" s="52">
        <f ca="1">DATEDIF(C125,TODAY(),"Y")</f>
        <v>19</v>
      </c>
      <c r="G125" s="52" t="str">
        <f ca="1">IF(F125:F135&gt;20,"ADULT",IF(F125:F135&lt;20,"CHILD"))</f>
        <v>CHILD</v>
      </c>
      <c r="K125" s="79" t="s">
        <v>355</v>
      </c>
    </row>
    <row r="126" spans="1:11" ht="14.25" customHeight="1">
      <c r="A126" s="8"/>
      <c r="B126" s="71" t="s">
        <v>324</v>
      </c>
      <c r="C126" s="94">
        <v>39309</v>
      </c>
      <c r="D126" s="8">
        <f ca="1">DATEDIF(C126,TODAY(),"md")</f>
        <v>26</v>
      </c>
      <c r="E126" s="8">
        <f ca="1">DATEDIF(C126,TODAY(),"YM")</f>
        <v>2</v>
      </c>
      <c r="F126" s="52">
        <f ca="1">DATEDIF(C126,TODAY(),"Y")</f>
        <v>17</v>
      </c>
      <c r="G126" s="52" t="str">
        <f ca="1">IF(F126:F136&gt;20,"ADULT",IF(F126:F136&lt;20,"CHILD"))</f>
        <v>CHILD</v>
      </c>
      <c r="K126" s="52">
        <f ca="1">COUNTIF(F118:F128,"&gt;25")</f>
        <v>7</v>
      </c>
    </row>
    <row r="127" spans="1:11" ht="14.25" customHeight="1">
      <c r="A127" s="8"/>
      <c r="B127" s="71" t="s">
        <v>326</v>
      </c>
      <c r="C127" s="94">
        <v>40323</v>
      </c>
      <c r="D127" s="8">
        <f ca="1">DATEDIF(C127,TODAY(),"md")</f>
        <v>16</v>
      </c>
      <c r="E127" s="8">
        <f ca="1">DATEDIF(C127,TODAY(),"YM")</f>
        <v>5</v>
      </c>
      <c r="F127" s="52">
        <f ca="1">DATEDIF(C127,TODAY(),"Y")</f>
        <v>14</v>
      </c>
      <c r="G127" s="52" t="str">
        <f ca="1">IF(F127:F137&gt;20,"ADULT",IF(F127:F137&lt;20,"CHILD"))</f>
        <v>CHILD</v>
      </c>
    </row>
    <row r="128" spans="1:11" ht="14.25" customHeight="1">
      <c r="A128" s="8"/>
      <c r="B128" s="71" t="s">
        <v>327</v>
      </c>
      <c r="C128" s="94">
        <v>34206</v>
      </c>
      <c r="D128" s="8">
        <f ca="1">DATEDIF(C128,TODAY(),"md")</f>
        <v>16</v>
      </c>
      <c r="E128" s="8">
        <f ca="1">DATEDIF(C128,TODAY(),"YM")</f>
        <v>2</v>
      </c>
      <c r="F128" s="52">
        <f ca="1">DATEDIF(C128,TODAY(),"Y")</f>
        <v>31</v>
      </c>
      <c r="G128" s="52" t="str">
        <f ca="1">IF(F128:F138&gt;20,"ADULT",IF(F128:F138&lt;20,"CHILD"))</f>
        <v>ADULT</v>
      </c>
    </row>
    <row r="129" spans="1:12" ht="14.25" customHeight="1"/>
    <row r="130" spans="1:12" ht="14.25" customHeight="1"/>
    <row r="131" spans="1:12" ht="14.25" customHeight="1">
      <c r="B131" s="277" t="s">
        <v>356</v>
      </c>
      <c r="C131" s="234"/>
      <c r="D131" s="234"/>
      <c r="E131" s="234"/>
      <c r="F131" s="234"/>
      <c r="G131" s="234"/>
      <c r="H131" s="234"/>
      <c r="I131" s="235"/>
    </row>
    <row r="132" spans="1:12" ht="14.25" customHeight="1">
      <c r="B132" s="236"/>
      <c r="C132" s="237"/>
      <c r="D132" s="237"/>
      <c r="E132" s="237"/>
      <c r="F132" s="237"/>
      <c r="G132" s="237"/>
      <c r="H132" s="237"/>
      <c r="I132" s="215"/>
    </row>
    <row r="133" spans="1:12" ht="14.25" customHeight="1">
      <c r="B133" s="278" t="s">
        <v>357</v>
      </c>
      <c r="C133" s="258"/>
      <c r="D133" s="278" t="s">
        <v>261</v>
      </c>
      <c r="E133" s="257"/>
      <c r="F133" s="258"/>
      <c r="G133" s="278" t="s">
        <v>317</v>
      </c>
      <c r="H133" s="257"/>
      <c r="I133" s="258"/>
      <c r="L133" s="73" t="s">
        <v>358</v>
      </c>
    </row>
    <row r="134" spans="1:12" ht="14.25" customHeight="1">
      <c r="A134" s="95"/>
      <c r="B134" s="95" t="s">
        <v>281</v>
      </c>
      <c r="C134" s="95" t="s">
        <v>359</v>
      </c>
      <c r="D134" s="95" t="s">
        <v>270</v>
      </c>
      <c r="E134" s="95" t="s">
        <v>273</v>
      </c>
      <c r="F134" s="95" t="s">
        <v>82</v>
      </c>
      <c r="G134" s="95" t="s">
        <v>360</v>
      </c>
      <c r="H134" s="95" t="s">
        <v>267</v>
      </c>
      <c r="L134" s="52">
        <f>COUNTA(B135:B144)</f>
        <v>10</v>
      </c>
    </row>
    <row r="135" spans="1:12" ht="14.25" customHeight="1">
      <c r="A135" s="97"/>
      <c r="B135" s="96" t="s">
        <v>361</v>
      </c>
      <c r="C135" s="85">
        <v>80</v>
      </c>
      <c r="D135" s="97">
        <v>75</v>
      </c>
      <c r="E135" s="78">
        <v>85</v>
      </c>
      <c r="F135" s="98">
        <f t="shared" ref="F135:F144" si="19">SUM(C135:E135)</f>
        <v>240</v>
      </c>
      <c r="G135" s="99">
        <f t="shared" ref="G135:G144" si="20">F135/300</f>
        <v>0.8</v>
      </c>
      <c r="H135" s="52" t="str">
        <f t="shared" ref="H135:H144" si="21">IF(G135&gt;70%,"EXCELLENT",IF(G135&gt;50%,"GOOD","BAD"))</f>
        <v>EXCELLENT</v>
      </c>
    </row>
    <row r="136" spans="1:12" ht="14.25" customHeight="1">
      <c r="A136" s="97"/>
      <c r="B136" s="96" t="s">
        <v>362</v>
      </c>
      <c r="C136" s="85">
        <v>50</v>
      </c>
      <c r="D136" s="97">
        <v>30</v>
      </c>
      <c r="E136" s="78">
        <v>40</v>
      </c>
      <c r="F136" s="98">
        <f t="shared" si="19"/>
        <v>120</v>
      </c>
      <c r="G136" s="99">
        <f t="shared" si="20"/>
        <v>0.4</v>
      </c>
      <c r="H136" s="52" t="str">
        <f t="shared" si="21"/>
        <v>BAD</v>
      </c>
      <c r="K136" s="74" t="s">
        <v>363</v>
      </c>
    </row>
    <row r="137" spans="1:12" ht="14.25" customHeight="1">
      <c r="A137" s="97"/>
      <c r="B137" s="96" t="s">
        <v>364</v>
      </c>
      <c r="C137" s="85">
        <v>60</v>
      </c>
      <c r="D137" s="97">
        <v>70</v>
      </c>
      <c r="E137" s="78" t="s">
        <v>365</v>
      </c>
      <c r="F137" s="98">
        <f t="shared" si="19"/>
        <v>130</v>
      </c>
      <c r="G137" s="99">
        <f t="shared" si="20"/>
        <v>0.43333333333333335</v>
      </c>
      <c r="H137" s="52" t="str">
        <f t="shared" si="21"/>
        <v>BAD</v>
      </c>
      <c r="K137" s="52">
        <f>COUNTIF(G135:G144,"&lt;50")</f>
        <v>10</v>
      </c>
    </row>
    <row r="138" spans="1:12" ht="14.25" customHeight="1">
      <c r="A138" s="97"/>
      <c r="B138" s="96" t="s">
        <v>366</v>
      </c>
      <c r="C138" s="85">
        <v>90</v>
      </c>
      <c r="D138" s="97">
        <v>85</v>
      </c>
      <c r="E138" s="78">
        <v>95</v>
      </c>
      <c r="F138" s="98">
        <f t="shared" si="19"/>
        <v>270</v>
      </c>
      <c r="G138" s="99">
        <f t="shared" si="20"/>
        <v>0.9</v>
      </c>
      <c r="H138" s="52" t="str">
        <f t="shared" si="21"/>
        <v>EXCELLENT</v>
      </c>
    </row>
    <row r="139" spans="1:12" ht="14.25" customHeight="1">
      <c r="A139" s="97"/>
      <c r="B139" s="96" t="s">
        <v>367</v>
      </c>
      <c r="C139" s="85">
        <v>20</v>
      </c>
      <c r="D139" s="97">
        <v>30</v>
      </c>
      <c r="E139" s="78" t="s">
        <v>368</v>
      </c>
      <c r="F139" s="98">
        <f t="shared" si="19"/>
        <v>50</v>
      </c>
      <c r="G139" s="99">
        <f t="shared" si="20"/>
        <v>0.16666666666666666</v>
      </c>
      <c r="H139" s="52" t="str">
        <f t="shared" si="21"/>
        <v>BAD</v>
      </c>
      <c r="K139" s="100" t="s">
        <v>48</v>
      </c>
      <c r="L139" s="100" t="s">
        <v>369</v>
      </c>
    </row>
    <row r="140" spans="1:12" ht="14.25" customHeight="1">
      <c r="A140" s="97"/>
      <c r="B140" s="96" t="s">
        <v>370</v>
      </c>
      <c r="C140" s="85">
        <v>40</v>
      </c>
      <c r="D140" s="97">
        <v>60</v>
      </c>
      <c r="E140" s="78">
        <v>80</v>
      </c>
      <c r="F140" s="98">
        <f t="shared" si="19"/>
        <v>180</v>
      </c>
      <c r="G140" s="99">
        <f t="shared" si="20"/>
        <v>0.6</v>
      </c>
      <c r="H140" s="52" t="str">
        <f t="shared" si="21"/>
        <v>GOOD</v>
      </c>
      <c r="K140" s="8" t="s">
        <v>371</v>
      </c>
      <c r="L140" s="52">
        <f>SUMIF(B135:B144,"BOB",F135:F144)</f>
        <v>120</v>
      </c>
    </row>
    <row r="141" spans="1:12" ht="14.25" customHeight="1">
      <c r="A141" s="97"/>
      <c r="B141" s="96" t="s">
        <v>372</v>
      </c>
      <c r="C141" s="85">
        <v>10</v>
      </c>
      <c r="D141" s="97">
        <v>90</v>
      </c>
      <c r="E141" s="78">
        <v>80</v>
      </c>
      <c r="F141" s="98">
        <f t="shared" si="19"/>
        <v>180</v>
      </c>
      <c r="G141" s="99">
        <f t="shared" si="20"/>
        <v>0.6</v>
      </c>
      <c r="H141" s="52" t="str">
        <f t="shared" si="21"/>
        <v>GOOD</v>
      </c>
      <c r="K141" s="8" t="s">
        <v>373</v>
      </c>
      <c r="L141" s="52">
        <f>SUMIF(B135:B144,"ERIC",F135:F144)</f>
        <v>50</v>
      </c>
    </row>
    <row r="142" spans="1:12" ht="14.25" customHeight="1">
      <c r="A142" s="97"/>
      <c r="B142" s="96" t="s">
        <v>374</v>
      </c>
      <c r="C142" s="85">
        <v>80</v>
      </c>
      <c r="D142" s="97">
        <v>70</v>
      </c>
      <c r="E142" s="78">
        <v>60</v>
      </c>
      <c r="F142" s="98">
        <f t="shared" si="19"/>
        <v>210</v>
      </c>
      <c r="G142" s="99">
        <f t="shared" si="20"/>
        <v>0.7</v>
      </c>
      <c r="H142" s="52" t="str">
        <f t="shared" si="21"/>
        <v>GOOD</v>
      </c>
    </row>
    <row r="143" spans="1:12" ht="14.25" customHeight="1">
      <c r="A143" s="97"/>
      <c r="B143" s="96" t="s">
        <v>375</v>
      </c>
      <c r="C143" s="85">
        <v>30</v>
      </c>
      <c r="D143" s="97">
        <v>10</v>
      </c>
      <c r="E143" s="78">
        <v>20</v>
      </c>
      <c r="F143" s="98">
        <f t="shared" si="19"/>
        <v>60</v>
      </c>
      <c r="G143" s="99">
        <f t="shared" si="20"/>
        <v>0.2</v>
      </c>
      <c r="H143" s="52" t="str">
        <f t="shared" si="21"/>
        <v>BAD</v>
      </c>
      <c r="K143" s="100" t="s">
        <v>376</v>
      </c>
    </row>
    <row r="144" spans="1:12" ht="14.25" customHeight="1">
      <c r="A144" s="97"/>
      <c r="B144" s="96" t="s">
        <v>377</v>
      </c>
      <c r="C144" s="85">
        <v>10</v>
      </c>
      <c r="D144" s="97">
        <v>20</v>
      </c>
      <c r="E144" s="78">
        <v>30</v>
      </c>
      <c r="F144" s="98">
        <f t="shared" si="19"/>
        <v>60</v>
      </c>
      <c r="G144" s="99">
        <f t="shared" si="20"/>
        <v>0.2</v>
      </c>
      <c r="H144" s="52" t="str">
        <f t="shared" si="21"/>
        <v>BAD</v>
      </c>
      <c r="K144" s="52">
        <f>COUNTIF(H135:H144,"GOOD")</f>
        <v>3</v>
      </c>
    </row>
    <row r="145" spans="1:11" ht="14.25" customHeight="1">
      <c r="K145" s="52">
        <f>COUNTIF(H135:H144,"BAD")</f>
        <v>5</v>
      </c>
    </row>
    <row r="146" spans="1:11" ht="14.25" customHeight="1"/>
    <row r="147" spans="1:11" ht="14.25" customHeight="1">
      <c r="B147" s="279" t="s">
        <v>378</v>
      </c>
      <c r="C147" s="234"/>
      <c r="D147" s="234"/>
      <c r="E147" s="234"/>
      <c r="F147" s="234"/>
      <c r="G147" s="234"/>
      <c r="H147" s="234"/>
      <c r="I147" s="235"/>
    </row>
    <row r="148" spans="1:11" ht="14.25" customHeight="1">
      <c r="B148" s="236"/>
      <c r="C148" s="237"/>
      <c r="D148" s="237"/>
      <c r="E148" s="237"/>
      <c r="F148" s="237"/>
      <c r="G148" s="237"/>
      <c r="H148" s="237"/>
      <c r="I148" s="215"/>
    </row>
    <row r="149" spans="1:11" ht="14.25" customHeight="1">
      <c r="A149" s="101"/>
      <c r="B149" s="101" t="s">
        <v>379</v>
      </c>
      <c r="C149" s="101" t="s">
        <v>380</v>
      </c>
      <c r="D149" s="101" t="s">
        <v>381</v>
      </c>
      <c r="F149" s="102" t="s">
        <v>379</v>
      </c>
      <c r="G149" s="102" t="s">
        <v>382</v>
      </c>
      <c r="H149" s="102" t="s">
        <v>383</v>
      </c>
      <c r="I149" s="102" t="s">
        <v>384</v>
      </c>
    </row>
    <row r="150" spans="1:11" ht="14.25" customHeight="1">
      <c r="A150" s="8"/>
      <c r="B150" s="8">
        <v>110608</v>
      </c>
      <c r="C150" s="8" t="s">
        <v>385</v>
      </c>
      <c r="D150" s="8" t="s">
        <v>386</v>
      </c>
      <c r="F150" s="8">
        <v>602693</v>
      </c>
      <c r="G150" s="103">
        <v>84289</v>
      </c>
      <c r="H150" s="52" t="str">
        <f>VLOOKUP(F150,B150:D162,3,0)</f>
        <v>Micheal</v>
      </c>
      <c r="I150" s="52" t="str">
        <f>VLOOKUP(F150,B150:D162,2,0)</f>
        <v>Vick</v>
      </c>
    </row>
    <row r="151" spans="1:11" ht="14.25" customHeight="1">
      <c r="A151" s="8"/>
      <c r="B151" s="8">
        <v>253072</v>
      </c>
      <c r="C151" s="8" t="s">
        <v>387</v>
      </c>
      <c r="D151" s="8" t="s">
        <v>388</v>
      </c>
      <c r="F151" s="8">
        <v>611810</v>
      </c>
      <c r="G151" s="103">
        <v>137670</v>
      </c>
      <c r="H151" s="52" t="str">
        <f>VLOOKUP(F151,B150:D162,3,0)</f>
        <v>Tiger</v>
      </c>
      <c r="I151" s="52" t="str">
        <f>VLOOKUP(F151,B150:D162,2,0)</f>
        <v>Woods</v>
      </c>
    </row>
    <row r="152" spans="1:11" ht="14.25" customHeight="1">
      <c r="A152" s="8"/>
      <c r="B152" s="8">
        <v>352711</v>
      </c>
      <c r="C152" s="8" t="s">
        <v>389</v>
      </c>
      <c r="D152" s="8" t="s">
        <v>386</v>
      </c>
      <c r="F152" s="8">
        <v>549457</v>
      </c>
      <c r="G152" s="103">
        <v>190024</v>
      </c>
      <c r="H152" s="52" t="str">
        <f>VLOOKUP(F152,B150:D162,3,0)</f>
        <v>John</v>
      </c>
      <c r="I152" s="52" t="str">
        <f>VLOOKUP(F152,B150:D162,2,0)</f>
        <v>Elway</v>
      </c>
    </row>
    <row r="153" spans="1:11" ht="14.25" customHeight="1">
      <c r="A153" s="8"/>
      <c r="B153" s="8">
        <v>391006</v>
      </c>
      <c r="C153" s="8" t="s">
        <v>390</v>
      </c>
      <c r="D153" s="8" t="s">
        <v>391</v>
      </c>
      <c r="F153" s="8">
        <v>612235</v>
      </c>
      <c r="G153" s="103">
        <v>122604</v>
      </c>
      <c r="H153" s="52" t="str">
        <f>VLOOKUP(F153,B150:D162,3,0)</f>
        <v>Micheal</v>
      </c>
      <c r="I153" s="52" t="str">
        <f>VLOOKUP(F153,B150:D162,2,0)</f>
        <v>Jordan</v>
      </c>
    </row>
    <row r="154" spans="1:11" ht="14.25" customHeight="1">
      <c r="A154" s="8"/>
      <c r="B154" s="8">
        <v>392128</v>
      </c>
      <c r="C154" s="8" t="s">
        <v>392</v>
      </c>
      <c r="D154" s="8" t="s">
        <v>393</v>
      </c>
      <c r="F154" s="8">
        <v>580622</v>
      </c>
      <c r="G154" s="103">
        <v>111709</v>
      </c>
      <c r="H154" s="52" t="str">
        <f>VLOOKUP(F154,B150:D162,3,0)</f>
        <v>Eli</v>
      </c>
      <c r="I154" s="52" t="str">
        <f>VLOOKUP(F154,B154:D166,2,0)</f>
        <v>Manning</v>
      </c>
    </row>
    <row r="155" spans="1:11" ht="14.25" customHeight="1">
      <c r="A155" s="8"/>
      <c r="B155" s="8">
        <v>549457</v>
      </c>
      <c r="C155" s="8" t="s">
        <v>394</v>
      </c>
      <c r="D155" s="8" t="s">
        <v>386</v>
      </c>
      <c r="F155" s="8">
        <v>830385</v>
      </c>
      <c r="G155" s="103">
        <v>85931</v>
      </c>
      <c r="H155" s="52" t="str">
        <f>VLOOKUP(F155,B150:D162,3,0)</f>
        <v>Prince</v>
      </c>
      <c r="I155" s="52" t="str">
        <f>VLOOKUP(F155,B150:D162,2,0)</f>
        <v>Williams</v>
      </c>
    </row>
    <row r="156" spans="1:11" ht="14.25" customHeight="1">
      <c r="A156" s="8"/>
      <c r="B156" s="8">
        <v>580622</v>
      </c>
      <c r="C156" s="8" t="s">
        <v>395</v>
      </c>
      <c r="D156" s="8" t="s">
        <v>396</v>
      </c>
      <c r="F156" s="8">
        <v>253072</v>
      </c>
      <c r="G156" s="103">
        <v>168114</v>
      </c>
      <c r="H156" s="52" t="str">
        <f>VLOOKUP(F156,B150:D162,3,0)</f>
        <v>Andy</v>
      </c>
      <c r="I156" s="52" t="str">
        <f>VLOOKUP(F156,B150:D162,2,0)</f>
        <v>Cline</v>
      </c>
    </row>
    <row r="157" spans="1:11" ht="14.25" customHeight="1">
      <c r="A157" s="8"/>
      <c r="B157" s="8">
        <v>602693</v>
      </c>
      <c r="C157" s="8" t="s">
        <v>397</v>
      </c>
      <c r="D157" s="8" t="s">
        <v>398</v>
      </c>
      <c r="F157" s="8">
        <v>391006</v>
      </c>
      <c r="G157" s="103">
        <v>89627</v>
      </c>
      <c r="H157" s="52" t="str">
        <f>VLOOKUP(F157,B150:D162,3,0)</f>
        <v>peter</v>
      </c>
      <c r="I157" s="52" t="str">
        <f>VLOOKUP(F157,B150:D162,2,0)</f>
        <v>Pan</v>
      </c>
    </row>
    <row r="158" spans="1:11" ht="14.25" customHeight="1">
      <c r="A158" s="8"/>
      <c r="B158" s="8">
        <v>611810</v>
      </c>
      <c r="C158" s="8" t="s">
        <v>399</v>
      </c>
      <c r="D158" s="8" t="s">
        <v>400</v>
      </c>
      <c r="F158" s="8">
        <v>990678</v>
      </c>
      <c r="G158" s="103">
        <v>149946</v>
      </c>
      <c r="H158" s="52" t="str">
        <f>VLOOKUP(F158,B158:D170,3,0)</f>
        <v>Brad</v>
      </c>
      <c r="I158" s="52" t="str">
        <f>VLOOKUP(F158,B150:D162,2,0)</f>
        <v>Pitt</v>
      </c>
    </row>
    <row r="159" spans="1:11" ht="14.25" customHeight="1">
      <c r="A159" s="8"/>
      <c r="B159" s="8">
        <v>612235</v>
      </c>
      <c r="C159" s="8" t="s">
        <v>401</v>
      </c>
      <c r="D159" s="8" t="s">
        <v>398</v>
      </c>
      <c r="F159" s="8">
        <v>795574</v>
      </c>
      <c r="G159" s="103">
        <v>145893</v>
      </c>
      <c r="H159" s="52" t="str">
        <f>VLOOKUP(F159,B150:D162,3,0)</f>
        <v>Tony</v>
      </c>
      <c r="I159" s="52" t="str">
        <f>VLOOKUP(F159,B150:D162,2,0)</f>
        <v>Stark</v>
      </c>
    </row>
    <row r="160" spans="1:11" ht="14.25" customHeight="1">
      <c r="A160" s="8"/>
      <c r="B160" s="8">
        <v>795574</v>
      </c>
      <c r="C160" s="8" t="s">
        <v>402</v>
      </c>
      <c r="D160" s="8" t="s">
        <v>403</v>
      </c>
      <c r="F160" s="8">
        <v>392128</v>
      </c>
      <c r="G160" s="103">
        <v>64757</v>
      </c>
      <c r="H160" s="52" t="str">
        <f>VLOOKUP(F160,B150:D162,3,0)</f>
        <v>Bret</v>
      </c>
      <c r="I160" s="52" t="str">
        <f>VLOOKUP(F160,B150:D162,2,0)</f>
        <v>Favre</v>
      </c>
    </row>
    <row r="161" spans="1:11" ht="14.25" customHeight="1">
      <c r="A161" s="8"/>
      <c r="B161" s="8">
        <v>830385</v>
      </c>
      <c r="C161" s="8" t="s">
        <v>404</v>
      </c>
      <c r="D161" s="8" t="s">
        <v>405</v>
      </c>
      <c r="F161" s="8">
        <v>352711</v>
      </c>
      <c r="G161" s="103">
        <v>71478</v>
      </c>
      <c r="H161" s="52" t="str">
        <f>VLOOKUP(F161,B150:D162,3,0)</f>
        <v>John</v>
      </c>
      <c r="I161" s="52" t="str">
        <f>VLOOKUP(F161,B150:D162,2,0)</f>
        <v>Smith</v>
      </c>
    </row>
    <row r="162" spans="1:11" ht="14.25" customHeight="1">
      <c r="A162" s="8"/>
      <c r="B162" s="8">
        <v>990678</v>
      </c>
      <c r="C162" s="8" t="s">
        <v>406</v>
      </c>
      <c r="D162" s="8" t="s">
        <v>407</v>
      </c>
      <c r="F162" s="8">
        <v>110608</v>
      </c>
      <c r="G162" s="103">
        <v>121444</v>
      </c>
      <c r="H162" s="52" t="str">
        <f>VLOOKUP(F162,B150:D162,3,0)</f>
        <v>John</v>
      </c>
      <c r="I162" s="52" t="str">
        <f>VLOOKUP(F162,B150:D162,2,0)</f>
        <v>Doe</v>
      </c>
    </row>
    <row r="163" spans="1:11" ht="14.25" customHeight="1"/>
    <row r="164" spans="1:11" ht="14.25" customHeight="1"/>
    <row r="165" spans="1:11" ht="14.25" customHeight="1"/>
    <row r="166" spans="1:11" ht="14.25" customHeight="1"/>
    <row r="167" spans="1:11" ht="14.25" customHeight="1">
      <c r="B167" s="280" t="s">
        <v>408</v>
      </c>
      <c r="C167" s="234"/>
      <c r="D167" s="234"/>
      <c r="E167" s="234"/>
      <c r="F167" s="234"/>
      <c r="G167" s="234"/>
      <c r="H167" s="234"/>
      <c r="I167" s="235"/>
    </row>
    <row r="168" spans="1:11" ht="14.25" customHeight="1">
      <c r="B168" s="236"/>
      <c r="C168" s="237"/>
      <c r="D168" s="237"/>
      <c r="E168" s="237"/>
      <c r="F168" s="237"/>
      <c r="G168" s="237"/>
      <c r="H168" s="237"/>
      <c r="I168" s="215"/>
    </row>
    <row r="169" spans="1:11" ht="14.25" customHeight="1">
      <c r="A169" s="104" t="s">
        <v>411</v>
      </c>
      <c r="B169" s="104" t="s">
        <v>409</v>
      </c>
      <c r="C169" s="104" t="s">
        <v>410</v>
      </c>
      <c r="D169" s="104" t="s">
        <v>411</v>
      </c>
      <c r="E169" s="104" t="s">
        <v>282</v>
      </c>
      <c r="F169" s="104" t="s">
        <v>412</v>
      </c>
      <c r="G169" s="104" t="s">
        <v>413</v>
      </c>
    </row>
    <row r="170" spans="1:11" ht="14.25" customHeight="1">
      <c r="A170" s="52" t="e">
        <f>VLOOKUP(#REF!,#REF!,3,0)</f>
        <v>#REF!</v>
      </c>
      <c r="B170" s="8" t="s">
        <v>414</v>
      </c>
      <c r="C170" s="52" t="str">
        <f>VLOOKUP(B170,B175:G188,2,0)</f>
        <v>faith K. Macias</v>
      </c>
      <c r="D170" s="52" t="str">
        <f>VLOOKUP(B170,B175:G188,3,0)</f>
        <v>845-04-3962</v>
      </c>
      <c r="E170" s="52" t="str">
        <f>VLOOKUP(B170,B175:G188,4,0)</f>
        <v>Marketing</v>
      </c>
      <c r="F170" s="105">
        <f>VLOOKUP(B170,B175:G188,5,0)</f>
        <v>39474</v>
      </c>
      <c r="G170" s="106">
        <f>VLOOKUP(B170,B175:G188,6,0)</f>
        <v>73500</v>
      </c>
    </row>
    <row r="171" spans="1:11" ht="14.25" customHeight="1">
      <c r="A171" s="52" t="e">
        <f>VLOOKUP(#REF!,#REF!,3,0)</f>
        <v>#REF!</v>
      </c>
      <c r="B171" s="8" t="s">
        <v>415</v>
      </c>
      <c r="C171" s="52" t="str">
        <f>VLOOKUP(B171,B175:G188,2,0)</f>
        <v>Lucian Q. Franklin</v>
      </c>
      <c r="D171" s="52" t="str">
        <f>VLOOKUP(B171,B175:G188,3,0)</f>
        <v>845-28-4935</v>
      </c>
      <c r="E171" s="52" t="str">
        <f>VLOOKUP(B171,B175:G188,4,0)</f>
        <v>IT/IS</v>
      </c>
      <c r="F171" s="105">
        <f>VLOOKUP(B171,B175:G188,5,0)</f>
        <v>39508</v>
      </c>
      <c r="G171" s="106">
        <f>VLOOKUP(B171,B175:G188,6,0)</f>
        <v>80000</v>
      </c>
    </row>
    <row r="172" spans="1:11" ht="14.25" customHeight="1">
      <c r="A172" s="52" t="e">
        <f>VLOOKUP(#REF!,#REF!,3,0)</f>
        <v>#REF!</v>
      </c>
      <c r="B172" s="8" t="s">
        <v>416</v>
      </c>
      <c r="C172" s="52" t="str">
        <f>VLOOKUP(B172,B175:G188,2,0)</f>
        <v>Blaze V. Bridges</v>
      </c>
      <c r="D172" s="52" t="str">
        <f>VLOOKUP(B172,B175:G188,3,0)</f>
        <v>503-53-8350</v>
      </c>
      <c r="E172" s="52" t="str">
        <f>VLOOKUP(B172,B175:G188,4,0)</f>
        <v>Marketing</v>
      </c>
      <c r="F172" s="105">
        <f>VLOOKUP(B172,B175:G188,5,0)</f>
        <v>39554</v>
      </c>
      <c r="G172" s="106">
        <f>VLOOKUP(B172,B175:G188,6,0)</f>
        <v>95000</v>
      </c>
    </row>
    <row r="173" spans="1:11" ht="14.25" customHeight="1">
      <c r="I173" s="271" t="s">
        <v>417</v>
      </c>
      <c r="J173" s="257"/>
      <c r="K173" s="258"/>
    </row>
    <row r="174" spans="1:11" ht="14.25" customHeight="1">
      <c r="A174" s="107" t="s">
        <v>411</v>
      </c>
      <c r="B174" s="107" t="s">
        <v>409</v>
      </c>
      <c r="C174" s="107" t="s">
        <v>410</v>
      </c>
      <c r="D174" s="107" t="s">
        <v>411</v>
      </c>
      <c r="E174" s="107" t="s">
        <v>282</v>
      </c>
      <c r="F174" s="107" t="s">
        <v>412</v>
      </c>
      <c r="G174" s="107" t="s">
        <v>418</v>
      </c>
      <c r="I174" s="190">
        <f>COUNTA(B175:B188)</f>
        <v>14</v>
      </c>
      <c r="J174" s="191"/>
      <c r="K174" s="191"/>
    </row>
    <row r="175" spans="1:11" ht="14.25" customHeight="1">
      <c r="A175" s="108" t="s">
        <v>420</v>
      </c>
      <c r="B175" s="71" t="s">
        <v>414</v>
      </c>
      <c r="C175" s="69" t="s">
        <v>419</v>
      </c>
      <c r="D175" s="108" t="s">
        <v>420</v>
      </c>
      <c r="E175" s="87" t="s">
        <v>421</v>
      </c>
      <c r="F175" s="109">
        <v>39474</v>
      </c>
      <c r="G175" s="110">
        <v>73500</v>
      </c>
    </row>
    <row r="176" spans="1:11" ht="14.25" customHeight="1">
      <c r="A176" s="108" t="s">
        <v>423</v>
      </c>
      <c r="B176" s="71" t="s">
        <v>415</v>
      </c>
      <c r="C176" s="69" t="s">
        <v>422</v>
      </c>
      <c r="D176" s="108" t="s">
        <v>423</v>
      </c>
      <c r="E176" s="87" t="s">
        <v>424</v>
      </c>
      <c r="F176" s="109">
        <v>39508</v>
      </c>
      <c r="G176" s="110">
        <v>80000</v>
      </c>
      <c r="I176" s="271" t="s">
        <v>425</v>
      </c>
      <c r="J176" s="257"/>
      <c r="K176" s="258"/>
    </row>
    <row r="177" spans="1:14" ht="14.25" customHeight="1">
      <c r="A177" s="108" t="s">
        <v>427</v>
      </c>
      <c r="B177" s="71" t="s">
        <v>416</v>
      </c>
      <c r="C177" s="69" t="s">
        <v>426</v>
      </c>
      <c r="D177" s="108" t="s">
        <v>427</v>
      </c>
      <c r="E177" s="87" t="s">
        <v>421</v>
      </c>
      <c r="F177" s="109">
        <v>39554</v>
      </c>
      <c r="G177" s="110">
        <v>95000</v>
      </c>
      <c r="I177" s="190">
        <f>COUNTIF(E175:E188,"FINANCE")</f>
        <v>2</v>
      </c>
      <c r="J177" s="191"/>
      <c r="K177" s="52">
        <f>COUNTIF(E175:E188,"MARKETING")</f>
        <v>7</v>
      </c>
      <c r="L177" s="190">
        <f>COUNTIF(E175:E188,"FINANCE")</f>
        <v>2</v>
      </c>
      <c r="M177" s="191"/>
      <c r="N177" s="191"/>
    </row>
    <row r="178" spans="1:14" ht="14.25" customHeight="1">
      <c r="A178" s="108" t="s">
        <v>430</v>
      </c>
      <c r="B178" s="71" t="s">
        <v>428</v>
      </c>
      <c r="C178" s="69" t="s">
        <v>429</v>
      </c>
      <c r="D178" s="108" t="s">
        <v>430</v>
      </c>
      <c r="E178" s="87" t="s">
        <v>421</v>
      </c>
      <c r="F178" s="109">
        <v>39571</v>
      </c>
      <c r="G178" s="110" t="s">
        <v>431</v>
      </c>
    </row>
    <row r="179" spans="1:14" ht="14.25" customHeight="1">
      <c r="A179" s="108" t="s">
        <v>434</v>
      </c>
      <c r="B179" s="71" t="s">
        <v>432</v>
      </c>
      <c r="C179" s="69" t="s">
        <v>433</v>
      </c>
      <c r="D179" s="108" t="s">
        <v>434</v>
      </c>
      <c r="E179" s="87" t="s">
        <v>435</v>
      </c>
      <c r="F179" s="109">
        <v>39640</v>
      </c>
      <c r="G179" s="110" t="s">
        <v>436</v>
      </c>
      <c r="I179" s="271" t="s">
        <v>437</v>
      </c>
      <c r="J179" s="257"/>
      <c r="K179" s="258"/>
    </row>
    <row r="180" spans="1:14" ht="14.25" customHeight="1">
      <c r="A180" s="108" t="s">
        <v>440</v>
      </c>
      <c r="B180" s="71" t="s">
        <v>438</v>
      </c>
      <c r="C180" s="69" t="s">
        <v>439</v>
      </c>
      <c r="D180" s="108" t="s">
        <v>440</v>
      </c>
      <c r="E180" s="87" t="s">
        <v>441</v>
      </c>
      <c r="F180" s="109">
        <v>39646</v>
      </c>
      <c r="G180" s="110" t="s">
        <v>442</v>
      </c>
      <c r="I180" s="272">
        <f>SUMIF(E175:E188,"MARKETING",G175:G188)</f>
        <v>168500</v>
      </c>
      <c r="J180" s="191"/>
      <c r="K180" s="191"/>
    </row>
    <row r="181" spans="1:14" ht="14.25" customHeight="1">
      <c r="A181" s="108" t="s">
        <v>445</v>
      </c>
      <c r="B181" s="71" t="s">
        <v>443</v>
      </c>
      <c r="C181" s="69" t="s">
        <v>444</v>
      </c>
      <c r="D181" s="108" t="s">
        <v>445</v>
      </c>
      <c r="E181" s="87" t="s">
        <v>441</v>
      </c>
      <c r="F181" s="109">
        <v>39726</v>
      </c>
      <c r="G181" s="110" t="s">
        <v>446</v>
      </c>
    </row>
    <row r="182" spans="1:14" ht="14.25" customHeight="1">
      <c r="A182" s="108" t="s">
        <v>449</v>
      </c>
      <c r="B182" s="71" t="s">
        <v>447</v>
      </c>
      <c r="C182" s="69" t="s">
        <v>448</v>
      </c>
      <c r="D182" s="108" t="s">
        <v>449</v>
      </c>
      <c r="E182" s="87" t="s">
        <v>435</v>
      </c>
      <c r="F182" s="111">
        <v>39749</v>
      </c>
      <c r="G182" s="110" t="s">
        <v>450</v>
      </c>
    </row>
    <row r="183" spans="1:14" ht="14.25" customHeight="1">
      <c r="A183" s="108" t="s">
        <v>453</v>
      </c>
      <c r="B183" s="71" t="s">
        <v>451</v>
      </c>
      <c r="C183" s="69" t="s">
        <v>452</v>
      </c>
      <c r="D183" s="108" t="s">
        <v>453</v>
      </c>
      <c r="E183" s="87" t="s">
        <v>421</v>
      </c>
      <c r="F183" s="109">
        <v>39757</v>
      </c>
      <c r="G183" s="110" t="s">
        <v>454</v>
      </c>
    </row>
    <row r="184" spans="1:14" ht="14.25" customHeight="1">
      <c r="A184" s="108" t="s">
        <v>457</v>
      </c>
      <c r="B184" s="71" t="s">
        <v>455</v>
      </c>
      <c r="C184" s="69" t="s">
        <v>456</v>
      </c>
      <c r="D184" s="108" t="s">
        <v>457</v>
      </c>
      <c r="E184" s="87" t="s">
        <v>421</v>
      </c>
      <c r="F184" s="109">
        <v>39791</v>
      </c>
      <c r="G184" s="110" t="s">
        <v>458</v>
      </c>
    </row>
    <row r="185" spans="1:14" ht="14.25" customHeight="1">
      <c r="A185" s="108" t="s">
        <v>461</v>
      </c>
      <c r="B185" s="71" t="s">
        <v>459</v>
      </c>
      <c r="C185" s="69" t="s">
        <v>460</v>
      </c>
      <c r="D185" s="108" t="s">
        <v>461</v>
      </c>
      <c r="E185" s="87" t="s">
        <v>424</v>
      </c>
      <c r="F185" s="109">
        <v>39856</v>
      </c>
      <c r="G185" s="110" t="s">
        <v>462</v>
      </c>
    </row>
    <row r="186" spans="1:14" ht="14.25" customHeight="1">
      <c r="A186" s="108" t="s">
        <v>465</v>
      </c>
      <c r="B186" s="71" t="s">
        <v>463</v>
      </c>
      <c r="C186" s="69" t="s">
        <v>464</v>
      </c>
      <c r="D186" s="108" t="s">
        <v>465</v>
      </c>
      <c r="E186" s="87" t="s">
        <v>421</v>
      </c>
      <c r="F186" s="109">
        <v>39891</v>
      </c>
      <c r="G186" s="110" t="s">
        <v>466</v>
      </c>
    </row>
    <row r="187" spans="1:14" ht="14.25" customHeight="1">
      <c r="A187" s="108" t="s">
        <v>469</v>
      </c>
      <c r="B187" s="71" t="s">
        <v>467</v>
      </c>
      <c r="C187" s="69" t="s">
        <v>468</v>
      </c>
      <c r="D187" s="108" t="s">
        <v>469</v>
      </c>
      <c r="E187" s="87" t="s">
        <v>470</v>
      </c>
      <c r="F187" s="109">
        <v>39916</v>
      </c>
      <c r="G187" s="110" t="s">
        <v>471</v>
      </c>
    </row>
    <row r="188" spans="1:14" ht="14.25" customHeight="1">
      <c r="A188" s="108" t="s">
        <v>474</v>
      </c>
      <c r="B188" s="71" t="s">
        <v>472</v>
      </c>
      <c r="C188" s="69" t="s">
        <v>473</v>
      </c>
      <c r="D188" s="108" t="s">
        <v>474</v>
      </c>
      <c r="E188" s="87" t="s">
        <v>421</v>
      </c>
      <c r="F188" s="109">
        <v>39931</v>
      </c>
      <c r="G188" s="110" t="s">
        <v>475</v>
      </c>
    </row>
    <row r="189" spans="1:14" ht="14.25" customHeight="1"/>
    <row r="190" spans="1:14" ht="14.25" customHeight="1"/>
    <row r="191" spans="1:14" ht="14.25" customHeight="1"/>
    <row r="192" spans="1:14" ht="14.25" customHeight="1"/>
    <row r="193" spans="1:11" ht="14.25" customHeight="1">
      <c r="C193" s="273" t="s">
        <v>476</v>
      </c>
      <c r="D193" s="234"/>
      <c r="E193" s="234"/>
      <c r="F193" s="234"/>
      <c r="G193" s="234"/>
      <c r="H193" s="234"/>
      <c r="I193" s="234"/>
      <c r="J193" s="234"/>
      <c r="K193" s="235"/>
    </row>
    <row r="194" spans="1:11" ht="14.25" customHeight="1">
      <c r="C194" s="236"/>
      <c r="D194" s="237"/>
      <c r="E194" s="237"/>
      <c r="F194" s="237"/>
      <c r="G194" s="237"/>
      <c r="H194" s="237"/>
      <c r="I194" s="237"/>
      <c r="J194" s="237"/>
      <c r="K194" s="215"/>
    </row>
    <row r="195" spans="1:11" ht="14.25" customHeight="1">
      <c r="A195" s="8" t="s">
        <v>479</v>
      </c>
      <c r="C195" s="8" t="s">
        <v>477</v>
      </c>
      <c r="D195" s="8" t="s">
        <v>478</v>
      </c>
      <c r="E195" s="8" t="s">
        <v>479</v>
      </c>
      <c r="F195" s="8" t="s">
        <v>480</v>
      </c>
    </row>
    <row r="196" spans="1:11" ht="14.25" customHeight="1">
      <c r="A196" s="106">
        <v>3.75</v>
      </c>
      <c r="C196" s="8" t="s">
        <v>481</v>
      </c>
      <c r="D196" s="106">
        <v>2.95</v>
      </c>
      <c r="E196" s="106">
        <v>3.75</v>
      </c>
      <c r="F196" s="106">
        <v>4.1500000000000004</v>
      </c>
    </row>
    <row r="197" spans="1:11" ht="14.25" customHeight="1">
      <c r="A197" s="106">
        <v>3.65</v>
      </c>
      <c r="C197" s="8" t="s">
        <v>482</v>
      </c>
      <c r="D197" s="106">
        <v>2.95</v>
      </c>
      <c r="E197" s="106">
        <v>3.65</v>
      </c>
      <c r="F197" s="106">
        <v>4.1500000000000004</v>
      </c>
    </row>
    <row r="198" spans="1:11" ht="14.25" customHeight="1">
      <c r="A198" s="106">
        <v>3.95</v>
      </c>
      <c r="C198" s="8" t="s">
        <v>483</v>
      </c>
      <c r="D198" s="106">
        <v>3.75</v>
      </c>
      <c r="E198" s="106">
        <v>3.95</v>
      </c>
      <c r="F198" s="106">
        <v>4.25</v>
      </c>
    </row>
    <row r="199" spans="1:11" ht="14.25" customHeight="1">
      <c r="A199" s="106">
        <v>3.95</v>
      </c>
      <c r="C199" s="8" t="s">
        <v>484</v>
      </c>
      <c r="D199" s="106">
        <v>3.25</v>
      </c>
      <c r="E199" s="106">
        <v>3.95</v>
      </c>
      <c r="F199" s="106">
        <v>4.4000000000000004</v>
      </c>
    </row>
    <row r="200" spans="1:11" ht="14.25" customHeight="1">
      <c r="A200" s="106">
        <v>4.1500000000000004</v>
      </c>
      <c r="C200" s="8" t="s">
        <v>485</v>
      </c>
      <c r="D200" s="106">
        <v>3.45</v>
      </c>
      <c r="E200" s="106">
        <v>4.1500000000000004</v>
      </c>
      <c r="F200" s="106">
        <v>4.55</v>
      </c>
    </row>
    <row r="201" spans="1:11" ht="14.25" customHeight="1">
      <c r="A201" s="106">
        <v>2.4</v>
      </c>
      <c r="C201" s="8" t="s">
        <v>486</v>
      </c>
      <c r="D201" s="106">
        <v>2</v>
      </c>
      <c r="E201" s="106">
        <v>2.4</v>
      </c>
      <c r="F201" s="106">
        <v>2.75</v>
      </c>
    </row>
    <row r="202" spans="1:11" ht="14.25" customHeight="1">
      <c r="A202" s="106">
        <v>4.75</v>
      </c>
      <c r="C202" s="8" t="s">
        <v>487</v>
      </c>
      <c r="D202" s="106">
        <v>3.95</v>
      </c>
      <c r="E202" s="106">
        <v>4.75</v>
      </c>
      <c r="F202" s="106">
        <v>5.15</v>
      </c>
    </row>
    <row r="203" spans="1:11" ht="14.25" customHeight="1">
      <c r="A203" s="106">
        <v>2.5</v>
      </c>
      <c r="C203" s="8" t="s">
        <v>488</v>
      </c>
      <c r="D203" s="106">
        <v>2.25</v>
      </c>
      <c r="E203" s="106">
        <v>2.5</v>
      </c>
      <c r="F203" s="106">
        <v>2.75</v>
      </c>
    </row>
    <row r="204" spans="1:11" ht="14.25" customHeight="1">
      <c r="A204" s="106">
        <v>1.95</v>
      </c>
      <c r="C204" s="8" t="s">
        <v>489</v>
      </c>
      <c r="D204" s="106">
        <v>1.75</v>
      </c>
      <c r="E204" s="106">
        <v>1.95</v>
      </c>
      <c r="F204" s="106">
        <v>2.75</v>
      </c>
    </row>
    <row r="205" spans="1:11" ht="14.25" customHeight="1"/>
    <row r="206" spans="1:11" ht="14.25" customHeight="1"/>
    <row r="207" spans="1:11" ht="14.25" customHeight="1">
      <c r="C207" s="274" t="s">
        <v>490</v>
      </c>
      <c r="D207" s="191"/>
      <c r="E207" s="191"/>
      <c r="F207" s="191"/>
      <c r="G207" s="191"/>
      <c r="H207" s="191"/>
      <c r="I207" s="191"/>
      <c r="J207" s="191"/>
      <c r="K207" s="191"/>
    </row>
    <row r="208" spans="1:11" ht="14.25" customHeight="1">
      <c r="C208" s="191"/>
      <c r="D208" s="191"/>
      <c r="E208" s="191"/>
      <c r="F208" s="191"/>
      <c r="G208" s="191"/>
      <c r="H208" s="191"/>
      <c r="I208" s="191"/>
      <c r="J208" s="191"/>
      <c r="K208" s="191"/>
    </row>
    <row r="209" spans="1:11" ht="14.25" customHeight="1">
      <c r="C209" s="8" t="s">
        <v>479</v>
      </c>
      <c r="D209" s="112">
        <f>MATCH(C209,C195:F195,0)</f>
        <v>3</v>
      </c>
    </row>
    <row r="210" spans="1:11" ht="14.25" customHeight="1">
      <c r="C210" s="8" t="s">
        <v>478</v>
      </c>
      <c r="D210" s="112">
        <f>MATCH(C210,C195:F195,0)</f>
        <v>2</v>
      </c>
    </row>
    <row r="211" spans="1:11" ht="14.25" customHeight="1">
      <c r="C211" s="8" t="s">
        <v>480</v>
      </c>
      <c r="D211" s="112">
        <f>MATCH(C211,C195:F195,0)</f>
        <v>4</v>
      </c>
    </row>
    <row r="212" spans="1:11" ht="14.25" customHeight="1"/>
    <row r="213" spans="1:11" ht="14.25" customHeight="1"/>
    <row r="214" spans="1:11" ht="14.25" customHeight="1">
      <c r="C214" s="275" t="s">
        <v>491</v>
      </c>
      <c r="D214" s="191"/>
      <c r="E214" s="191"/>
      <c r="F214" s="191"/>
      <c r="G214" s="191"/>
      <c r="H214" s="191"/>
      <c r="I214" s="191"/>
      <c r="J214" s="191"/>
      <c r="K214" s="191"/>
    </row>
    <row r="215" spans="1:11" ht="14.25" customHeight="1">
      <c r="C215" s="191"/>
      <c r="D215" s="191"/>
      <c r="E215" s="191"/>
      <c r="F215" s="191"/>
      <c r="G215" s="191"/>
      <c r="H215" s="191"/>
      <c r="I215" s="191"/>
      <c r="J215" s="191"/>
      <c r="K215" s="191"/>
    </row>
    <row r="216" spans="1:11" ht="14.25" customHeight="1">
      <c r="A216" s="113" t="e">
        <f>VLOOKUP(#REF!,#REF!,MATCH(#REF!,#REF!,0),0)</f>
        <v>#REF!</v>
      </c>
      <c r="C216" s="8" t="s">
        <v>484</v>
      </c>
      <c r="D216" s="8" t="s">
        <v>479</v>
      </c>
      <c r="E216" s="113">
        <f>VLOOKUP(C216,C195:F204,MATCH(D216,C195:F195,0),0)</f>
        <v>3.95</v>
      </c>
    </row>
    <row r="217" spans="1:11" ht="14.25" customHeight="1">
      <c r="A217" s="113" t="e">
        <f>VLOOKUP(#REF!,#REF!,MATCH(#REF!,#REF!))</f>
        <v>#REF!</v>
      </c>
      <c r="C217" s="8" t="s">
        <v>492</v>
      </c>
      <c r="D217" s="8" t="s">
        <v>478</v>
      </c>
      <c r="E217" s="113">
        <f>VLOOKUP(C217,C196:F204,MATCH(D217,C195:F195))</f>
        <v>2.95</v>
      </c>
    </row>
    <row r="218" spans="1:11" ht="14.25" customHeight="1">
      <c r="A218" s="113" t="e">
        <f>VLOOKUP(#REF!,#REF!,MATCH(#REF!,#REF!))</f>
        <v>#REF!</v>
      </c>
      <c r="C218" s="8" t="s">
        <v>492</v>
      </c>
      <c r="D218" s="8" t="s">
        <v>480</v>
      </c>
      <c r="E218" s="113">
        <f>VLOOKUP(C218,C196:F204,MATCH(D218,C195:F195))</f>
        <v>4.1500000000000004</v>
      </c>
    </row>
    <row r="219" spans="1:11" ht="14.25" customHeight="1"/>
    <row r="220" spans="1:11" ht="14.25" customHeight="1"/>
    <row r="221" spans="1:11" ht="14.25" customHeight="1"/>
    <row r="222" spans="1:11" ht="14.25" customHeight="1"/>
    <row r="223" spans="1:11" ht="14.25" customHeight="1"/>
    <row r="224" spans="1:11" ht="14.25" customHeight="1"/>
    <row r="225" spans="1:16" ht="14.25" customHeight="1"/>
    <row r="226" spans="1:16" ht="14.25" customHeight="1"/>
    <row r="227" spans="1:16" ht="14.25" customHeight="1"/>
    <row r="228" spans="1:16" ht="14.25" customHeight="1">
      <c r="C228" s="276" t="s">
        <v>493</v>
      </c>
      <c r="D228" s="234"/>
      <c r="E228" s="234"/>
      <c r="F228" s="234"/>
      <c r="G228" s="234"/>
      <c r="H228" s="234"/>
      <c r="I228" s="234"/>
      <c r="J228" s="234"/>
      <c r="K228" s="234"/>
      <c r="L228" s="235"/>
    </row>
    <row r="229" spans="1:16" ht="14.25" customHeight="1">
      <c r="C229" s="236"/>
      <c r="D229" s="237"/>
      <c r="E229" s="237"/>
      <c r="F229" s="237"/>
      <c r="G229" s="237"/>
      <c r="H229" s="237"/>
      <c r="I229" s="237"/>
      <c r="J229" s="237"/>
      <c r="K229" s="237"/>
      <c r="L229" s="215"/>
    </row>
    <row r="230" spans="1:16" ht="14.25" customHeight="1">
      <c r="A230" s="114" t="s">
        <v>496</v>
      </c>
      <c r="C230" s="114" t="s">
        <v>494</v>
      </c>
      <c r="D230" s="114" t="s">
        <v>495</v>
      </c>
      <c r="E230" s="114" t="s">
        <v>496</v>
      </c>
      <c r="F230" s="114" t="s">
        <v>497</v>
      </c>
      <c r="G230" s="114" t="s">
        <v>498</v>
      </c>
      <c r="H230" s="114" t="s">
        <v>499</v>
      </c>
      <c r="I230" s="114" t="s">
        <v>500</v>
      </c>
      <c r="J230" s="114" t="s">
        <v>501</v>
      </c>
      <c r="K230" s="114" t="s">
        <v>502</v>
      </c>
      <c r="L230" s="114" t="s">
        <v>503</v>
      </c>
      <c r="M230" s="256" t="s">
        <v>504</v>
      </c>
      <c r="N230" s="257"/>
      <c r="O230" s="257"/>
      <c r="P230" s="258"/>
    </row>
    <row r="231" spans="1:16" ht="14.25" customHeight="1">
      <c r="A231" s="115">
        <v>17462</v>
      </c>
      <c r="C231" s="71" t="s">
        <v>505</v>
      </c>
      <c r="D231" s="115">
        <v>2773</v>
      </c>
      <c r="E231" s="115">
        <v>17462</v>
      </c>
      <c r="F231" s="115">
        <v>5954</v>
      </c>
      <c r="G231" s="115">
        <v>1348</v>
      </c>
      <c r="H231" s="115">
        <v>28158</v>
      </c>
      <c r="I231" s="115">
        <v>28799</v>
      </c>
      <c r="J231" s="115">
        <v>25415</v>
      </c>
      <c r="K231" s="115">
        <v>17227</v>
      </c>
      <c r="L231" s="116">
        <f t="shared" ref="L231:L238" si="22">SUM(D231:K231)</f>
        <v>127136</v>
      </c>
      <c r="M231" s="190">
        <f>COUNTA(C231:C238)</f>
        <v>8</v>
      </c>
      <c r="N231" s="191"/>
      <c r="O231" s="191"/>
      <c r="P231" s="191"/>
    </row>
    <row r="232" spans="1:16" ht="14.25" customHeight="1">
      <c r="A232" s="115">
        <v>3083</v>
      </c>
      <c r="C232" s="71" t="s">
        <v>506</v>
      </c>
      <c r="D232" s="115">
        <v>12908</v>
      </c>
      <c r="E232" s="115">
        <v>3083</v>
      </c>
      <c r="F232" s="115">
        <v>24492</v>
      </c>
      <c r="G232" s="115">
        <v>5825</v>
      </c>
      <c r="H232" s="115">
        <v>1080</v>
      </c>
      <c r="I232" s="115">
        <v>2188</v>
      </c>
      <c r="J232" s="115">
        <v>11087</v>
      </c>
      <c r="K232" s="115">
        <v>15544</v>
      </c>
      <c r="L232" s="116">
        <f t="shared" si="22"/>
        <v>76207</v>
      </c>
    </row>
    <row r="233" spans="1:16" ht="14.25" customHeight="1">
      <c r="A233" s="115">
        <v>14262</v>
      </c>
      <c r="C233" s="71" t="s">
        <v>507</v>
      </c>
      <c r="D233" s="115">
        <v>6554</v>
      </c>
      <c r="E233" s="115">
        <v>14262</v>
      </c>
      <c r="F233" s="115">
        <v>8377</v>
      </c>
      <c r="G233" s="115">
        <v>24982</v>
      </c>
      <c r="H233" s="115">
        <v>12184</v>
      </c>
      <c r="I233" s="115">
        <v>6430</v>
      </c>
      <c r="J233" s="115">
        <v>21159</v>
      </c>
      <c r="K233" s="115">
        <v>18597</v>
      </c>
      <c r="L233" s="116">
        <f t="shared" si="22"/>
        <v>112545</v>
      </c>
    </row>
    <row r="234" spans="1:16" ht="14.25" customHeight="1">
      <c r="A234" s="115">
        <v>1437</v>
      </c>
      <c r="C234" s="71" t="s">
        <v>508</v>
      </c>
      <c r="D234" s="115">
        <v>28913</v>
      </c>
      <c r="E234" s="115">
        <v>1437</v>
      </c>
      <c r="F234" s="115">
        <v>20019</v>
      </c>
      <c r="G234" s="115">
        <v>13026</v>
      </c>
      <c r="H234" s="115">
        <v>26952</v>
      </c>
      <c r="I234" s="115">
        <v>27076</v>
      </c>
      <c r="J234" s="115">
        <v>7040</v>
      </c>
      <c r="K234" s="115">
        <v>10884</v>
      </c>
      <c r="L234" s="116">
        <f t="shared" si="22"/>
        <v>135347</v>
      </c>
      <c r="M234" s="256" t="s">
        <v>509</v>
      </c>
      <c r="N234" s="257"/>
      <c r="O234" s="257"/>
      <c r="P234" s="258"/>
    </row>
    <row r="235" spans="1:16" ht="14.25" customHeight="1">
      <c r="A235" s="115">
        <v>7622</v>
      </c>
      <c r="C235" s="71" t="s">
        <v>510</v>
      </c>
      <c r="D235" s="115">
        <v>4768</v>
      </c>
      <c r="E235" s="115">
        <v>7622</v>
      </c>
      <c r="F235" s="115">
        <v>28918</v>
      </c>
      <c r="G235" s="115">
        <v>27141</v>
      </c>
      <c r="H235" s="115">
        <v>3578</v>
      </c>
      <c r="I235" s="115">
        <v>10092</v>
      </c>
      <c r="J235" s="115">
        <v>15207</v>
      </c>
      <c r="K235" s="115">
        <v>12771</v>
      </c>
      <c r="L235" s="116">
        <f t="shared" si="22"/>
        <v>110097</v>
      </c>
      <c r="M235" s="190" t="s">
        <v>511</v>
      </c>
      <c r="N235" s="191"/>
      <c r="O235" s="103">
        <f>VLOOKUP(M235,C230:L238,4,F230:F238)</f>
        <v>6469</v>
      </c>
    </row>
    <row r="236" spans="1:16" ht="14.25" customHeight="1">
      <c r="A236" s="115">
        <v>3611</v>
      </c>
      <c r="C236" s="71" t="s">
        <v>512</v>
      </c>
      <c r="D236" s="115">
        <v>13390</v>
      </c>
      <c r="E236" s="115">
        <v>3611</v>
      </c>
      <c r="F236" s="115">
        <v>6226</v>
      </c>
      <c r="G236" s="115">
        <v>27567</v>
      </c>
      <c r="H236" s="115">
        <v>29962</v>
      </c>
      <c r="I236" s="115">
        <v>2967</v>
      </c>
      <c r="J236" s="115">
        <v>5740</v>
      </c>
      <c r="K236" s="115">
        <v>2137</v>
      </c>
      <c r="L236" s="116">
        <f t="shared" si="22"/>
        <v>91600</v>
      </c>
      <c r="M236" s="52" t="s">
        <v>510</v>
      </c>
      <c r="N236" s="52" t="s">
        <v>499</v>
      </c>
      <c r="O236" s="103">
        <f>VLOOKUP(M236,C230:L238,MATCH(N236,C230:L230,0),0)</f>
        <v>3578</v>
      </c>
    </row>
    <row r="237" spans="1:16" ht="14.25" customHeight="1">
      <c r="A237" s="115">
        <v>28508</v>
      </c>
      <c r="C237" s="71" t="s">
        <v>513</v>
      </c>
      <c r="D237" s="115">
        <v>17585</v>
      </c>
      <c r="E237" s="115">
        <v>28508</v>
      </c>
      <c r="F237" s="115">
        <v>9614</v>
      </c>
      <c r="G237" s="115">
        <v>17110</v>
      </c>
      <c r="H237" s="115">
        <v>12143</v>
      </c>
      <c r="I237" s="115">
        <v>7365</v>
      </c>
      <c r="J237" s="115">
        <v>24185</v>
      </c>
      <c r="K237" s="115">
        <v>1643</v>
      </c>
      <c r="L237" s="116">
        <f t="shared" si="22"/>
        <v>118153</v>
      </c>
    </row>
    <row r="238" spans="1:16" ht="14.25" customHeight="1">
      <c r="A238" s="115">
        <v>16301</v>
      </c>
      <c r="C238" s="71" t="s">
        <v>514</v>
      </c>
      <c r="D238" s="115">
        <v>22579</v>
      </c>
      <c r="E238" s="115">
        <v>16301</v>
      </c>
      <c r="F238" s="115">
        <v>6469</v>
      </c>
      <c r="G238" s="115">
        <v>22050</v>
      </c>
      <c r="H238" s="115">
        <v>8740</v>
      </c>
      <c r="I238" s="115">
        <v>18806</v>
      </c>
      <c r="J238" s="115">
        <v>3334</v>
      </c>
      <c r="K238" s="115">
        <v>3597</v>
      </c>
      <c r="L238" s="116">
        <f t="shared" si="22"/>
        <v>101876</v>
      </c>
    </row>
    <row r="239" spans="1:16" ht="14.25" customHeight="1"/>
    <row r="240" spans="1:16" ht="14.25" customHeight="1">
      <c r="G240" s="117"/>
    </row>
    <row r="241" spans="1:12" ht="14.25" customHeight="1"/>
    <row r="242" spans="1:12" ht="14.25" customHeight="1"/>
    <row r="243" spans="1:12" ht="14.25" customHeight="1"/>
    <row r="244" spans="1:12" ht="14.25" customHeight="1">
      <c r="C244" s="259" t="s">
        <v>515</v>
      </c>
      <c r="D244" s="234"/>
      <c r="E244" s="234"/>
      <c r="F244" s="234"/>
      <c r="G244" s="234"/>
      <c r="H244" s="234"/>
      <c r="I244" s="234"/>
      <c r="J244" s="234"/>
      <c r="K244" s="234"/>
      <c r="L244" s="235"/>
    </row>
    <row r="245" spans="1:12" ht="14.25" customHeight="1">
      <c r="C245" s="236"/>
      <c r="D245" s="237"/>
      <c r="E245" s="237"/>
      <c r="F245" s="237"/>
      <c r="G245" s="237"/>
      <c r="H245" s="237"/>
      <c r="I245" s="237"/>
      <c r="J245" s="237"/>
      <c r="K245" s="237"/>
      <c r="L245" s="215"/>
    </row>
    <row r="246" spans="1:12" ht="14.25" customHeight="1">
      <c r="A246" s="118" t="s">
        <v>163</v>
      </c>
      <c r="C246" s="118" t="s">
        <v>164</v>
      </c>
      <c r="D246" s="118" t="s">
        <v>516</v>
      </c>
      <c r="E246" s="118" t="s">
        <v>163</v>
      </c>
      <c r="F246" s="118" t="s">
        <v>165</v>
      </c>
    </row>
    <row r="247" spans="1:12" ht="14.25" customHeight="1">
      <c r="A247" s="8" t="s">
        <v>167</v>
      </c>
      <c r="C247" s="8" t="s">
        <v>174</v>
      </c>
      <c r="D247" s="117">
        <v>16753</v>
      </c>
      <c r="E247" s="8" t="s">
        <v>167</v>
      </c>
      <c r="F247" s="8" t="s">
        <v>175</v>
      </c>
    </row>
    <row r="248" spans="1:12" ht="14.25" customHeight="1">
      <c r="A248" s="8" t="s">
        <v>181</v>
      </c>
      <c r="C248" s="8" t="s">
        <v>168</v>
      </c>
      <c r="D248" s="117">
        <v>14808</v>
      </c>
      <c r="E248" s="8" t="s">
        <v>181</v>
      </c>
      <c r="F248" s="8" t="s">
        <v>178</v>
      </c>
    </row>
    <row r="249" spans="1:12" ht="14.25" customHeight="1">
      <c r="A249" s="8" t="s">
        <v>167</v>
      </c>
      <c r="C249" s="8" t="s">
        <v>177</v>
      </c>
      <c r="D249" s="117">
        <v>10644</v>
      </c>
      <c r="E249" s="8" t="s">
        <v>167</v>
      </c>
      <c r="F249" s="8" t="s">
        <v>169</v>
      </c>
    </row>
    <row r="250" spans="1:12" ht="14.25" customHeight="1">
      <c r="A250" s="8" t="s">
        <v>181</v>
      </c>
      <c r="C250" s="8" t="s">
        <v>171</v>
      </c>
      <c r="D250" s="117">
        <v>1390</v>
      </c>
      <c r="E250" s="8" t="s">
        <v>181</v>
      </c>
      <c r="F250" s="8" t="s">
        <v>175</v>
      </c>
    </row>
    <row r="251" spans="1:12" ht="14.25" customHeight="1">
      <c r="A251" s="8" t="s">
        <v>181</v>
      </c>
      <c r="C251" s="8" t="s">
        <v>182</v>
      </c>
      <c r="D251" s="117">
        <v>4865</v>
      </c>
      <c r="E251" s="8" t="s">
        <v>181</v>
      </c>
      <c r="F251" s="8" t="s">
        <v>178</v>
      </c>
    </row>
    <row r="252" spans="1:12" ht="14.25" customHeight="1">
      <c r="A252" s="8" t="s">
        <v>167</v>
      </c>
      <c r="C252" s="8" t="s">
        <v>177</v>
      </c>
      <c r="D252" s="117">
        <v>12438</v>
      </c>
      <c r="E252" s="8" t="s">
        <v>167</v>
      </c>
      <c r="F252" s="8" t="s">
        <v>172</v>
      </c>
    </row>
    <row r="253" spans="1:12" ht="14.25" customHeight="1">
      <c r="A253" s="8" t="s">
        <v>167</v>
      </c>
      <c r="C253" s="8" t="s">
        <v>168</v>
      </c>
      <c r="D253" s="117">
        <v>9339</v>
      </c>
      <c r="E253" s="8" t="s">
        <v>167</v>
      </c>
      <c r="F253" s="8" t="s">
        <v>169</v>
      </c>
    </row>
    <row r="254" spans="1:12" ht="14.25" customHeight="1">
      <c r="A254" s="8" t="s">
        <v>181</v>
      </c>
      <c r="C254" s="8" t="s">
        <v>174</v>
      </c>
      <c r="D254" s="117">
        <v>18919</v>
      </c>
      <c r="E254" s="8" t="s">
        <v>181</v>
      </c>
      <c r="F254" s="8" t="s">
        <v>175</v>
      </c>
      <c r="G254" s="52" t="s">
        <v>517</v>
      </c>
    </row>
    <row r="255" spans="1:12" ht="14.25" customHeight="1">
      <c r="A255" s="8" t="s">
        <v>181</v>
      </c>
      <c r="C255" s="8" t="s">
        <v>171</v>
      </c>
      <c r="D255" s="117">
        <v>9213</v>
      </c>
      <c r="E255" s="8" t="s">
        <v>181</v>
      </c>
      <c r="F255" s="8" t="s">
        <v>178</v>
      </c>
    </row>
    <row r="256" spans="1:12" ht="14.25" customHeight="1">
      <c r="A256" s="8" t="s">
        <v>167</v>
      </c>
      <c r="C256" s="8" t="s">
        <v>171</v>
      </c>
      <c r="D256" s="117">
        <v>7433</v>
      </c>
      <c r="E256" s="8" t="s">
        <v>167</v>
      </c>
      <c r="F256" s="8" t="s">
        <v>172</v>
      </c>
    </row>
    <row r="257" spans="1:12" ht="14.25" customHeight="1">
      <c r="A257" s="8" t="s">
        <v>181</v>
      </c>
      <c r="C257" s="8" t="s">
        <v>182</v>
      </c>
      <c r="D257" s="117">
        <v>3255</v>
      </c>
      <c r="E257" s="8" t="s">
        <v>181</v>
      </c>
      <c r="F257" s="8" t="s">
        <v>169</v>
      </c>
    </row>
    <row r="258" spans="1:12" ht="14.25" customHeight="1">
      <c r="A258" s="8" t="s">
        <v>185</v>
      </c>
      <c r="C258" s="8" t="s">
        <v>177</v>
      </c>
      <c r="D258" s="117">
        <v>14867</v>
      </c>
      <c r="E258" s="8" t="s">
        <v>185</v>
      </c>
      <c r="F258" s="8" t="s">
        <v>175</v>
      </c>
    </row>
    <row r="259" spans="1:12" ht="14.25" customHeight="1">
      <c r="A259" s="8" t="s">
        <v>167</v>
      </c>
      <c r="C259" s="8" t="s">
        <v>177</v>
      </c>
      <c r="D259" s="117">
        <v>19302</v>
      </c>
      <c r="E259" s="8" t="s">
        <v>167</v>
      </c>
      <c r="F259" s="8" t="s">
        <v>178</v>
      </c>
    </row>
    <row r="260" spans="1:12" ht="14.25" customHeight="1">
      <c r="A260" s="8" t="s">
        <v>181</v>
      </c>
      <c r="C260" s="8" t="s">
        <v>174</v>
      </c>
      <c r="D260" s="117">
        <v>9698</v>
      </c>
      <c r="E260" s="8" t="s">
        <v>181</v>
      </c>
      <c r="F260" s="8" t="s">
        <v>172</v>
      </c>
    </row>
    <row r="261" spans="1:12" ht="14.25" customHeight="1"/>
    <row r="262" spans="1:12" ht="14.25" customHeight="1"/>
    <row r="263" spans="1:12" ht="14.25" customHeight="1"/>
    <row r="264" spans="1:12" ht="14.25" customHeight="1">
      <c r="C264" s="260" t="s">
        <v>518</v>
      </c>
      <c r="D264" s="234"/>
      <c r="E264" s="234"/>
      <c r="F264" s="234"/>
      <c r="G264" s="234"/>
      <c r="H264" s="234"/>
      <c r="I264" s="234"/>
      <c r="J264" s="235"/>
    </row>
    <row r="265" spans="1:12" ht="14.25" customHeight="1">
      <c r="C265" s="236"/>
      <c r="D265" s="237"/>
      <c r="E265" s="237"/>
      <c r="F265" s="237"/>
      <c r="G265" s="237"/>
      <c r="H265" s="237"/>
      <c r="I265" s="237"/>
      <c r="J265" s="215"/>
    </row>
    <row r="266" spans="1:12" ht="14.25" customHeight="1">
      <c r="A266" s="88" t="s">
        <v>189</v>
      </c>
      <c r="C266" s="88" t="s">
        <v>188</v>
      </c>
      <c r="D266" s="88" t="s">
        <v>350</v>
      </c>
      <c r="E266" s="88" t="s">
        <v>189</v>
      </c>
      <c r="F266" s="88" t="s">
        <v>190</v>
      </c>
      <c r="G266" s="88" t="s">
        <v>519</v>
      </c>
    </row>
    <row r="267" spans="1:12" ht="14.25" customHeight="1">
      <c r="A267" s="8" t="s">
        <v>194</v>
      </c>
      <c r="C267" s="8" t="s">
        <v>193</v>
      </c>
      <c r="D267" s="8">
        <v>1998</v>
      </c>
      <c r="E267" s="8" t="s">
        <v>194</v>
      </c>
      <c r="F267" s="8" t="s">
        <v>195</v>
      </c>
      <c r="G267" s="117">
        <v>554536</v>
      </c>
    </row>
    <row r="268" spans="1:12" ht="14.25" customHeight="1">
      <c r="A268" s="8" t="s">
        <v>199</v>
      </c>
      <c r="C268" s="8" t="s">
        <v>193</v>
      </c>
      <c r="D268" s="8">
        <v>1998</v>
      </c>
      <c r="E268" s="8" t="s">
        <v>199</v>
      </c>
      <c r="F268" s="8" t="s">
        <v>200</v>
      </c>
      <c r="G268" s="117">
        <v>540643</v>
      </c>
    </row>
    <row r="269" spans="1:12" ht="14.25" customHeight="1">
      <c r="A269" s="8" t="s">
        <v>202</v>
      </c>
      <c r="C269" s="8" t="s">
        <v>193</v>
      </c>
      <c r="D269" s="8">
        <v>1998</v>
      </c>
      <c r="E269" s="8" t="s">
        <v>202</v>
      </c>
      <c r="F269" s="8" t="s">
        <v>200</v>
      </c>
      <c r="G269" s="117">
        <v>577548</v>
      </c>
      <c r="H269" s="256" t="s">
        <v>520</v>
      </c>
      <c r="I269" s="257"/>
      <c r="J269" s="257"/>
      <c r="K269" s="257"/>
      <c r="L269" s="258"/>
    </row>
    <row r="270" spans="1:12" ht="14.25" customHeight="1">
      <c r="A270" s="8" t="s">
        <v>204</v>
      </c>
      <c r="C270" s="8" t="s">
        <v>193</v>
      </c>
      <c r="D270" s="8">
        <v>1998</v>
      </c>
      <c r="E270" s="8" t="s">
        <v>204</v>
      </c>
      <c r="F270" s="8" t="s">
        <v>200</v>
      </c>
      <c r="G270" s="117">
        <v>455905</v>
      </c>
      <c r="H270" s="261">
        <f>COUNTIF(C267:C302,"SPRING")</f>
        <v>18</v>
      </c>
      <c r="I270" s="257"/>
      <c r="J270" s="258"/>
      <c r="K270" s="119">
        <f>COUNTIF(C267:C302,"FALL")</f>
        <v>18</v>
      </c>
    </row>
    <row r="271" spans="1:12" ht="14.25" customHeight="1">
      <c r="A271" s="8" t="s">
        <v>209</v>
      </c>
      <c r="C271" s="8" t="s">
        <v>193</v>
      </c>
      <c r="D271" s="8">
        <v>1998</v>
      </c>
      <c r="E271" s="8" t="s">
        <v>209</v>
      </c>
      <c r="F271" s="8" t="s">
        <v>200</v>
      </c>
      <c r="G271" s="117">
        <v>490871</v>
      </c>
    </row>
    <row r="272" spans="1:12" ht="14.25" customHeight="1">
      <c r="A272" s="8" t="s">
        <v>211</v>
      </c>
      <c r="C272" s="8" t="s">
        <v>193</v>
      </c>
      <c r="D272" s="8">
        <v>1998</v>
      </c>
      <c r="E272" s="8" t="s">
        <v>211</v>
      </c>
      <c r="F272" s="8" t="s">
        <v>200</v>
      </c>
      <c r="G272" s="117">
        <v>446383</v>
      </c>
    </row>
    <row r="273" spans="1:12" ht="14.25" customHeight="1">
      <c r="A273" s="8" t="s">
        <v>194</v>
      </c>
      <c r="C273" s="8" t="s">
        <v>193</v>
      </c>
      <c r="D273" s="8">
        <v>1998</v>
      </c>
      <c r="E273" s="8" t="s">
        <v>194</v>
      </c>
      <c r="F273" s="8" t="s">
        <v>196</v>
      </c>
      <c r="G273" s="117">
        <v>457726</v>
      </c>
      <c r="H273" s="263" t="s">
        <v>521</v>
      </c>
      <c r="I273" s="257"/>
      <c r="J273" s="257"/>
      <c r="K273" s="257"/>
      <c r="L273" s="258"/>
    </row>
    <row r="274" spans="1:12" ht="14.25" customHeight="1">
      <c r="A274" s="8" t="s">
        <v>199</v>
      </c>
      <c r="C274" s="8" t="s">
        <v>193</v>
      </c>
      <c r="D274" s="8">
        <v>1998</v>
      </c>
      <c r="E274" s="8" t="s">
        <v>199</v>
      </c>
      <c r="F274" s="8" t="s">
        <v>196</v>
      </c>
      <c r="G274" s="117">
        <v>347696</v>
      </c>
      <c r="H274" s="264">
        <f>COUNTIFS(C267:C302,"fall",F267:F302,"califonia")</f>
        <v>7</v>
      </c>
      <c r="I274" s="191"/>
      <c r="J274" s="191"/>
      <c r="K274" s="120">
        <f>COUNTIFS(C267:C302,"fall",F267:F302,"Washington")</f>
        <v>6</v>
      </c>
    </row>
    <row r="275" spans="1:12" ht="14.25" customHeight="1">
      <c r="A275" s="8" t="s">
        <v>202</v>
      </c>
      <c r="C275" s="8" t="s">
        <v>193</v>
      </c>
      <c r="D275" s="8">
        <v>1998</v>
      </c>
      <c r="E275" s="8" t="s">
        <v>202</v>
      </c>
      <c r="F275" s="8" t="s">
        <v>196</v>
      </c>
      <c r="G275" s="117">
        <v>384541</v>
      </c>
    </row>
    <row r="276" spans="1:12" ht="14.25" customHeight="1">
      <c r="A276" s="8" t="s">
        <v>206</v>
      </c>
      <c r="C276" s="8" t="s">
        <v>193</v>
      </c>
      <c r="D276" s="8">
        <v>1998</v>
      </c>
      <c r="E276" s="8" t="s">
        <v>206</v>
      </c>
      <c r="F276" s="8" t="s">
        <v>207</v>
      </c>
      <c r="G276" s="117">
        <v>386420</v>
      </c>
      <c r="H276" s="265" t="s">
        <v>522</v>
      </c>
      <c r="I276" s="234"/>
      <c r="J276" s="234"/>
      <c r="K276" s="234"/>
      <c r="L276" s="235"/>
    </row>
    <row r="277" spans="1:12" ht="14.25" customHeight="1">
      <c r="A277" s="8" t="s">
        <v>209</v>
      </c>
      <c r="C277" s="8" t="s">
        <v>193</v>
      </c>
      <c r="D277" s="8">
        <v>1998</v>
      </c>
      <c r="E277" s="8" t="s">
        <v>209</v>
      </c>
      <c r="F277" s="8" t="s">
        <v>207</v>
      </c>
      <c r="G277" s="117">
        <v>370970</v>
      </c>
      <c r="H277" s="236"/>
      <c r="I277" s="237"/>
      <c r="J277" s="237"/>
      <c r="K277" s="237"/>
      <c r="L277" s="215"/>
    </row>
    <row r="278" spans="1:12" ht="14.25" customHeight="1">
      <c r="A278" s="8" t="s">
        <v>211</v>
      </c>
      <c r="C278" s="8" t="s">
        <v>193</v>
      </c>
      <c r="D278" s="8">
        <v>1998</v>
      </c>
      <c r="E278" s="8" t="s">
        <v>211</v>
      </c>
      <c r="F278" s="8" t="s">
        <v>197</v>
      </c>
      <c r="G278" s="117">
        <v>430754</v>
      </c>
      <c r="H278" s="266">
        <f>SUMIF(F267:F302,"washington",G267:G302)</f>
        <v>5927607</v>
      </c>
      <c r="I278" s="191"/>
      <c r="J278" s="191"/>
      <c r="K278" s="267">
        <f>SUMIF(F267:F302,"califonia",G267:G302)</f>
        <v>6084451</v>
      </c>
      <c r="L278" s="191"/>
    </row>
    <row r="279" spans="1:12" ht="14.25" customHeight="1">
      <c r="A279" s="8" t="s">
        <v>194</v>
      </c>
      <c r="C279" s="8" t="s">
        <v>193</v>
      </c>
      <c r="D279" s="8">
        <v>1998</v>
      </c>
      <c r="E279" s="8" t="s">
        <v>194</v>
      </c>
      <c r="F279" s="8" t="s">
        <v>197</v>
      </c>
      <c r="G279" s="117">
        <v>500847</v>
      </c>
    </row>
    <row r="280" spans="1:12" ht="14.25" customHeight="1">
      <c r="A280" s="8" t="s">
        <v>199</v>
      </c>
      <c r="C280" s="8" t="s">
        <v>193</v>
      </c>
      <c r="D280" s="8">
        <v>1998</v>
      </c>
      <c r="E280" s="8" t="s">
        <v>199</v>
      </c>
      <c r="F280" s="8" t="s">
        <v>197</v>
      </c>
      <c r="G280" s="117">
        <v>507070</v>
      </c>
    </row>
    <row r="281" spans="1:12" ht="14.25" customHeight="1">
      <c r="A281" s="8" t="s">
        <v>202</v>
      </c>
      <c r="C281" s="8" t="s">
        <v>193</v>
      </c>
      <c r="D281" s="8">
        <v>1998</v>
      </c>
      <c r="E281" s="8" t="s">
        <v>202</v>
      </c>
      <c r="F281" s="8" t="s">
        <v>197</v>
      </c>
      <c r="G281" s="117">
        <v>482346</v>
      </c>
    </row>
    <row r="282" spans="1:12" ht="14.25" customHeight="1">
      <c r="A282" s="8" t="s">
        <v>215</v>
      </c>
      <c r="C282" s="8" t="s">
        <v>193</v>
      </c>
      <c r="D282" s="8">
        <v>1998</v>
      </c>
      <c r="E282" s="8" t="s">
        <v>215</v>
      </c>
      <c r="F282" s="8" t="s">
        <v>197</v>
      </c>
      <c r="G282" s="117">
        <v>608713</v>
      </c>
      <c r="H282" s="268" t="s">
        <v>523</v>
      </c>
      <c r="I282" s="257"/>
      <c r="J282" s="257"/>
      <c r="K282" s="257"/>
      <c r="L282" s="258"/>
    </row>
    <row r="283" spans="1:12" ht="14.25" customHeight="1">
      <c r="A283" s="8" t="s">
        <v>209</v>
      </c>
      <c r="C283" s="8" t="s">
        <v>193</v>
      </c>
      <c r="D283" s="8">
        <v>1998</v>
      </c>
      <c r="E283" s="8" t="s">
        <v>209</v>
      </c>
      <c r="F283" s="8" t="s">
        <v>197</v>
      </c>
      <c r="G283" s="117">
        <v>150000</v>
      </c>
      <c r="H283" s="121">
        <f>COUNTIFS(C267:C302,"spring",F267:F302,"washington")</f>
        <v>7</v>
      </c>
    </row>
    <row r="284" spans="1:12" ht="14.25" customHeight="1">
      <c r="A284" s="8" t="s">
        <v>211</v>
      </c>
      <c r="C284" s="8" t="s">
        <v>193</v>
      </c>
      <c r="D284" s="8">
        <v>1998</v>
      </c>
      <c r="E284" s="8" t="s">
        <v>211</v>
      </c>
      <c r="F284" s="8" t="s">
        <v>200</v>
      </c>
      <c r="G284" s="117">
        <v>500649</v>
      </c>
    </row>
    <row r="285" spans="1:12" ht="14.25" customHeight="1">
      <c r="A285" s="8" t="s">
        <v>194</v>
      </c>
      <c r="C285" s="8" t="s">
        <v>214</v>
      </c>
      <c r="D285" s="8">
        <v>1998</v>
      </c>
      <c r="E285" s="8" t="s">
        <v>194</v>
      </c>
      <c r="F285" s="8" t="s">
        <v>200</v>
      </c>
      <c r="G285" s="117">
        <v>545780</v>
      </c>
    </row>
    <row r="286" spans="1:12" ht="14.25" customHeight="1">
      <c r="A286" s="8" t="s">
        <v>199</v>
      </c>
      <c r="C286" s="8" t="s">
        <v>214</v>
      </c>
      <c r="D286" s="8">
        <v>1998</v>
      </c>
      <c r="E286" s="8" t="s">
        <v>199</v>
      </c>
      <c r="F286" s="8" t="s">
        <v>200</v>
      </c>
      <c r="G286" s="117">
        <v>440644</v>
      </c>
    </row>
    <row r="287" spans="1:12" ht="14.25" customHeight="1">
      <c r="A287" s="8" t="s">
        <v>202</v>
      </c>
      <c r="C287" s="8" t="s">
        <v>214</v>
      </c>
      <c r="D287" s="8">
        <v>1998</v>
      </c>
      <c r="E287" s="8" t="s">
        <v>202</v>
      </c>
      <c r="F287" s="8" t="s">
        <v>200</v>
      </c>
      <c r="G287" s="117">
        <v>580359</v>
      </c>
    </row>
    <row r="288" spans="1:12" ht="14.25" customHeight="1">
      <c r="A288" s="8" t="s">
        <v>215</v>
      </c>
      <c r="C288" s="8" t="s">
        <v>214</v>
      </c>
      <c r="D288" s="8">
        <v>1998</v>
      </c>
      <c r="E288" s="8" t="s">
        <v>215</v>
      </c>
      <c r="F288" s="8" t="s">
        <v>200</v>
      </c>
      <c r="G288" s="117">
        <v>536225</v>
      </c>
    </row>
    <row r="289" spans="1:7" ht="14.25" customHeight="1">
      <c r="A289" s="8" t="s">
        <v>209</v>
      </c>
      <c r="C289" s="8" t="s">
        <v>214</v>
      </c>
      <c r="D289" s="8">
        <v>1998</v>
      </c>
      <c r="E289" s="8" t="s">
        <v>209</v>
      </c>
      <c r="F289" s="8" t="s">
        <v>200</v>
      </c>
      <c r="G289" s="117">
        <v>414908</v>
      </c>
    </row>
    <row r="290" spans="1:7" ht="14.25" customHeight="1">
      <c r="A290" s="8" t="s">
        <v>211</v>
      </c>
      <c r="C290" s="8" t="s">
        <v>214</v>
      </c>
      <c r="D290" s="8">
        <v>1998</v>
      </c>
      <c r="E290" s="8" t="s">
        <v>211</v>
      </c>
      <c r="F290" s="8" t="s">
        <v>207</v>
      </c>
      <c r="G290" s="117">
        <v>377997</v>
      </c>
    </row>
    <row r="291" spans="1:7" ht="14.25" customHeight="1">
      <c r="A291" s="8" t="s">
        <v>524</v>
      </c>
      <c r="C291" s="8" t="s">
        <v>214</v>
      </c>
      <c r="D291" s="8">
        <v>1998</v>
      </c>
      <c r="E291" s="8" t="s">
        <v>524</v>
      </c>
      <c r="F291" s="8" t="s">
        <v>207</v>
      </c>
      <c r="G291" s="117">
        <v>331289</v>
      </c>
    </row>
    <row r="292" spans="1:7" ht="14.25" customHeight="1">
      <c r="A292" s="8" t="s">
        <v>199</v>
      </c>
      <c r="C292" s="8" t="s">
        <v>214</v>
      </c>
      <c r="D292" s="8">
        <v>1998</v>
      </c>
      <c r="E292" s="8" t="s">
        <v>199</v>
      </c>
      <c r="F292" s="8" t="s">
        <v>207</v>
      </c>
      <c r="G292" s="117">
        <v>384572</v>
      </c>
    </row>
    <row r="293" spans="1:7" ht="14.25" customHeight="1">
      <c r="A293" s="8" t="s">
        <v>202</v>
      </c>
      <c r="C293" s="8" t="s">
        <v>214</v>
      </c>
      <c r="D293" s="8">
        <v>1998</v>
      </c>
      <c r="E293" s="8" t="s">
        <v>202</v>
      </c>
      <c r="F293" s="8" t="s">
        <v>207</v>
      </c>
      <c r="G293" s="117">
        <v>365813</v>
      </c>
    </row>
    <row r="294" spans="1:7" ht="14.25" customHeight="1">
      <c r="A294" s="8" t="s">
        <v>215</v>
      </c>
      <c r="C294" s="8" t="s">
        <v>214</v>
      </c>
      <c r="D294" s="8">
        <v>1998</v>
      </c>
      <c r="E294" s="8" t="s">
        <v>215</v>
      </c>
      <c r="F294" s="8" t="s">
        <v>207</v>
      </c>
      <c r="G294" s="117">
        <v>396338</v>
      </c>
    </row>
    <row r="295" spans="1:7" ht="14.25" customHeight="1">
      <c r="A295" s="8" t="s">
        <v>525</v>
      </c>
      <c r="C295" s="8" t="s">
        <v>214</v>
      </c>
      <c r="D295" s="8">
        <v>1998</v>
      </c>
      <c r="E295" s="8" t="s">
        <v>525</v>
      </c>
      <c r="F295" s="8" t="s">
        <v>207</v>
      </c>
      <c r="G295" s="117">
        <v>453761</v>
      </c>
    </row>
    <row r="296" spans="1:7" ht="14.25" customHeight="1">
      <c r="A296" s="8" t="s">
        <v>211</v>
      </c>
      <c r="C296" s="8" t="s">
        <v>214</v>
      </c>
      <c r="D296" s="8">
        <v>1998</v>
      </c>
      <c r="E296" s="8" t="s">
        <v>211</v>
      </c>
      <c r="F296" s="8" t="s">
        <v>197</v>
      </c>
      <c r="G296" s="117">
        <v>356538</v>
      </c>
    </row>
    <row r="297" spans="1:7" ht="14.25" customHeight="1">
      <c r="A297" s="8" t="s">
        <v>524</v>
      </c>
      <c r="C297" s="8" t="s">
        <v>214</v>
      </c>
      <c r="D297" s="8">
        <v>1998</v>
      </c>
      <c r="E297" s="8" t="s">
        <v>524</v>
      </c>
      <c r="F297" s="8" t="s">
        <v>197</v>
      </c>
      <c r="G297" s="117">
        <v>606332</v>
      </c>
    </row>
    <row r="298" spans="1:7" ht="14.25" customHeight="1">
      <c r="A298" s="8" t="s">
        <v>199</v>
      </c>
      <c r="C298" s="8" t="s">
        <v>214</v>
      </c>
      <c r="D298" s="8">
        <v>1998</v>
      </c>
      <c r="E298" s="8" t="s">
        <v>199</v>
      </c>
      <c r="F298" s="8" t="s">
        <v>197</v>
      </c>
      <c r="G298" s="117">
        <v>535218</v>
      </c>
    </row>
    <row r="299" spans="1:7" ht="14.25" customHeight="1">
      <c r="A299" s="8" t="s">
        <v>202</v>
      </c>
      <c r="C299" s="8" t="s">
        <v>214</v>
      </c>
      <c r="D299" s="8">
        <v>1998</v>
      </c>
      <c r="E299" s="8" t="s">
        <v>202</v>
      </c>
      <c r="F299" s="8" t="s">
        <v>197</v>
      </c>
      <c r="G299" s="117">
        <v>493364</v>
      </c>
    </row>
    <row r="300" spans="1:7" ht="14.25" customHeight="1">
      <c r="A300" s="8" t="s">
        <v>215</v>
      </c>
      <c r="C300" s="8" t="s">
        <v>214</v>
      </c>
      <c r="D300" s="8">
        <v>1998</v>
      </c>
      <c r="E300" s="8" t="s">
        <v>215</v>
      </c>
      <c r="F300" s="8" t="s">
        <v>197</v>
      </c>
      <c r="G300" s="117">
        <v>559100</v>
      </c>
    </row>
    <row r="301" spans="1:7" ht="14.25" customHeight="1">
      <c r="A301" s="8" t="s">
        <v>525</v>
      </c>
      <c r="C301" s="8" t="s">
        <v>214</v>
      </c>
      <c r="D301" s="8">
        <v>1998</v>
      </c>
      <c r="E301" s="8" t="s">
        <v>525</v>
      </c>
      <c r="F301" s="8" t="s">
        <v>197</v>
      </c>
      <c r="G301" s="117">
        <v>220350</v>
      </c>
    </row>
    <row r="302" spans="1:7" ht="14.25" customHeight="1">
      <c r="A302" s="8" t="s">
        <v>211</v>
      </c>
      <c r="C302" s="8" t="s">
        <v>214</v>
      </c>
      <c r="D302" s="8">
        <v>1998</v>
      </c>
      <c r="E302" s="8" t="s">
        <v>211</v>
      </c>
      <c r="F302" s="8" t="s">
        <v>197</v>
      </c>
      <c r="G302" s="117">
        <v>476975</v>
      </c>
    </row>
    <row r="303" spans="1:7" ht="14.25" customHeight="1"/>
    <row r="304" spans="1:7" ht="14.25" customHeight="1"/>
    <row r="305" spans="1:12" ht="14.25" customHeight="1"/>
    <row r="306" spans="1:12" ht="14.25" customHeight="1">
      <c r="B306" s="269" t="s">
        <v>526</v>
      </c>
      <c r="C306" s="234"/>
      <c r="D306" s="234"/>
      <c r="E306" s="234"/>
      <c r="F306" s="234"/>
      <c r="G306" s="234"/>
      <c r="H306" s="234"/>
      <c r="I306" s="234"/>
      <c r="J306" s="235"/>
    </row>
    <row r="307" spans="1:12" ht="14.25" customHeight="1">
      <c r="B307" s="236"/>
      <c r="C307" s="237"/>
      <c r="D307" s="237"/>
      <c r="E307" s="237"/>
      <c r="F307" s="237"/>
      <c r="G307" s="237"/>
      <c r="H307" s="237"/>
      <c r="I307" s="237"/>
      <c r="J307" s="215"/>
    </row>
    <row r="308" spans="1:12" ht="14.25" customHeight="1">
      <c r="A308" s="122" t="s">
        <v>530</v>
      </c>
      <c r="B308" s="122" t="s">
        <v>527</v>
      </c>
      <c r="C308" s="122" t="s">
        <v>528</v>
      </c>
      <c r="D308" s="122" t="s">
        <v>529</v>
      </c>
      <c r="E308" s="122" t="s">
        <v>530</v>
      </c>
      <c r="F308" s="122" t="s">
        <v>333</v>
      </c>
      <c r="G308" s="122" t="s">
        <v>148</v>
      </c>
    </row>
    <row r="309" spans="1:12" ht="14.25" customHeight="1">
      <c r="A309" s="8">
        <v>4270</v>
      </c>
      <c r="B309" s="8">
        <v>1</v>
      </c>
      <c r="C309" s="8" t="s">
        <v>531</v>
      </c>
      <c r="D309" s="8" t="s">
        <v>532</v>
      </c>
      <c r="E309" s="8">
        <v>4270</v>
      </c>
      <c r="F309" s="94">
        <v>42375</v>
      </c>
      <c r="G309" s="8" t="s">
        <v>533</v>
      </c>
    </row>
    <row r="310" spans="1:12" ht="14.25" customHeight="1">
      <c r="A310" s="8">
        <v>8239</v>
      </c>
      <c r="B310" s="8">
        <v>2</v>
      </c>
      <c r="C310" s="8" t="s">
        <v>534</v>
      </c>
      <c r="D310" s="8" t="s">
        <v>532</v>
      </c>
      <c r="E310" s="8">
        <v>8239</v>
      </c>
      <c r="F310" s="94">
        <v>42376</v>
      </c>
      <c r="G310" s="8" t="s">
        <v>535</v>
      </c>
    </row>
    <row r="311" spans="1:12" ht="14.25" customHeight="1">
      <c r="A311" s="8">
        <v>617</v>
      </c>
      <c r="B311" s="8">
        <v>3</v>
      </c>
      <c r="C311" s="8" t="s">
        <v>536</v>
      </c>
      <c r="D311" s="8" t="s">
        <v>537</v>
      </c>
      <c r="E311" s="8">
        <v>617</v>
      </c>
      <c r="F311" s="94">
        <v>42377</v>
      </c>
      <c r="G311" s="8" t="s">
        <v>533</v>
      </c>
    </row>
    <row r="312" spans="1:12" ht="14.25" customHeight="1">
      <c r="A312" s="8">
        <v>8384</v>
      </c>
      <c r="B312" s="8">
        <v>4</v>
      </c>
      <c r="C312" s="8" t="s">
        <v>536</v>
      </c>
      <c r="D312" s="8" t="s">
        <v>537</v>
      </c>
      <c r="E312" s="8">
        <v>8384</v>
      </c>
      <c r="F312" s="94">
        <v>42379</v>
      </c>
      <c r="G312" s="8" t="s">
        <v>538</v>
      </c>
      <c r="I312" s="244" t="s">
        <v>539</v>
      </c>
      <c r="J312" s="191"/>
      <c r="K312" s="191"/>
      <c r="L312" s="191"/>
    </row>
    <row r="313" spans="1:12" ht="14.25" customHeight="1">
      <c r="A313" s="8">
        <v>2626</v>
      </c>
      <c r="B313" s="8">
        <v>5</v>
      </c>
      <c r="C313" s="8" t="s">
        <v>540</v>
      </c>
      <c r="D313" s="8" t="s">
        <v>532</v>
      </c>
      <c r="E313" s="8">
        <v>2626</v>
      </c>
      <c r="F313" s="94">
        <v>42380</v>
      </c>
      <c r="G313" s="8" t="s">
        <v>541</v>
      </c>
      <c r="I313" s="52">
        <f>COUNTIF(D309:D338,"vegetable")</f>
        <v>12</v>
      </c>
    </row>
    <row r="314" spans="1:12" ht="14.25" customHeight="1">
      <c r="A314" s="8">
        <v>3610</v>
      </c>
      <c r="B314" s="8">
        <v>6</v>
      </c>
      <c r="C314" s="8" t="s">
        <v>542</v>
      </c>
      <c r="D314" s="8" t="s">
        <v>537</v>
      </c>
      <c r="E314" s="8">
        <v>3610</v>
      </c>
      <c r="F314" s="94">
        <v>42380</v>
      </c>
      <c r="G314" s="8" t="s">
        <v>543</v>
      </c>
    </row>
    <row r="315" spans="1:12" ht="14.25" customHeight="1">
      <c r="A315" s="8">
        <v>9062</v>
      </c>
      <c r="B315" s="8">
        <v>7</v>
      </c>
      <c r="C315" s="8" t="s">
        <v>534</v>
      </c>
      <c r="D315" s="8" t="s">
        <v>532</v>
      </c>
      <c r="E315" s="8">
        <v>9062</v>
      </c>
      <c r="F315" s="94">
        <v>42385</v>
      </c>
      <c r="G315" s="8" t="s">
        <v>544</v>
      </c>
      <c r="I315" s="244" t="s">
        <v>545</v>
      </c>
      <c r="J315" s="191"/>
      <c r="K315" s="191"/>
      <c r="L315" s="191"/>
    </row>
    <row r="316" spans="1:12" ht="14.25" customHeight="1">
      <c r="A316" s="8">
        <v>6906</v>
      </c>
      <c r="B316" s="8">
        <v>8</v>
      </c>
      <c r="C316" s="8" t="s">
        <v>536</v>
      </c>
      <c r="D316" s="8" t="s">
        <v>537</v>
      </c>
      <c r="E316" s="8">
        <v>6906</v>
      </c>
      <c r="F316" s="94">
        <v>42385</v>
      </c>
      <c r="G316" s="8" t="s">
        <v>546</v>
      </c>
      <c r="I316" s="123">
        <f>SUMIF(C309:C338,"Apple",E309:E338)</f>
        <v>25557</v>
      </c>
      <c r="J316" s="124">
        <f>SUMIF(C309:C338,"Banana",E309:E338)</f>
        <v>38956</v>
      </c>
    </row>
    <row r="317" spans="1:12" ht="14.25" customHeight="1">
      <c r="A317" s="8">
        <v>2417</v>
      </c>
      <c r="B317" s="8">
        <v>9</v>
      </c>
      <c r="C317" s="8" t="s">
        <v>547</v>
      </c>
      <c r="D317" s="8" t="s">
        <v>537</v>
      </c>
      <c r="E317" s="8">
        <v>2417</v>
      </c>
      <c r="F317" s="94">
        <v>42385</v>
      </c>
      <c r="G317" s="8" t="s">
        <v>548</v>
      </c>
    </row>
    <row r="318" spans="1:12" ht="14.25" customHeight="1">
      <c r="A318" s="8">
        <v>7431</v>
      </c>
      <c r="B318" s="8">
        <v>10</v>
      </c>
      <c r="C318" s="8" t="s">
        <v>547</v>
      </c>
      <c r="D318" s="8" t="s">
        <v>537</v>
      </c>
      <c r="E318" s="8">
        <v>7431</v>
      </c>
      <c r="F318" s="94">
        <v>42385</v>
      </c>
      <c r="G318" s="8" t="s">
        <v>549</v>
      </c>
      <c r="I318" s="244" t="s">
        <v>550</v>
      </c>
      <c r="J318" s="191"/>
      <c r="K318" s="191"/>
      <c r="L318" s="191"/>
    </row>
    <row r="319" spans="1:12" ht="14.25" customHeight="1">
      <c r="A319" s="8">
        <v>8250</v>
      </c>
      <c r="B319" s="8">
        <v>11</v>
      </c>
      <c r="C319" s="8" t="s">
        <v>536</v>
      </c>
      <c r="D319" s="8" t="s">
        <v>537</v>
      </c>
      <c r="E319" s="8">
        <v>8250</v>
      </c>
      <c r="F319" s="94">
        <v>42387</v>
      </c>
      <c r="G319" s="8" t="s">
        <v>541</v>
      </c>
      <c r="I319" s="52">
        <f>COUNTA(C309:C338)</f>
        <v>30</v>
      </c>
    </row>
    <row r="320" spans="1:12" ht="14.25" customHeight="1">
      <c r="A320" s="8">
        <v>7012</v>
      </c>
      <c r="B320" s="8">
        <v>12</v>
      </c>
      <c r="C320" s="8" t="s">
        <v>534</v>
      </c>
      <c r="D320" s="8" t="s">
        <v>532</v>
      </c>
      <c r="E320" s="8">
        <v>7012</v>
      </c>
      <c r="F320" s="94">
        <v>42389</v>
      </c>
      <c r="G320" s="8" t="s">
        <v>533</v>
      </c>
    </row>
    <row r="321" spans="1:13" ht="14.25" customHeight="1">
      <c r="A321" s="8">
        <v>1903</v>
      </c>
      <c r="B321" s="8">
        <v>13</v>
      </c>
      <c r="C321" s="8" t="s">
        <v>531</v>
      </c>
      <c r="D321" s="8" t="s">
        <v>532</v>
      </c>
      <c r="E321" s="8">
        <v>1903</v>
      </c>
      <c r="F321" s="94">
        <v>42391</v>
      </c>
      <c r="G321" s="8" t="s">
        <v>541</v>
      </c>
      <c r="I321" s="244" t="s">
        <v>551</v>
      </c>
      <c r="J321" s="191"/>
      <c r="K321" s="191"/>
      <c r="L321" s="191"/>
      <c r="M321" s="191"/>
    </row>
    <row r="322" spans="1:13" ht="14.25" customHeight="1">
      <c r="A322" s="8">
        <v>2824</v>
      </c>
      <c r="B322" s="8">
        <v>14</v>
      </c>
      <c r="C322" s="8" t="s">
        <v>534</v>
      </c>
      <c r="D322" s="8" t="s">
        <v>532</v>
      </c>
      <c r="E322" s="8">
        <v>2824</v>
      </c>
      <c r="F322" s="94">
        <v>42393</v>
      </c>
      <c r="G322" s="8" t="s">
        <v>538</v>
      </c>
      <c r="I322" s="52">
        <f>COUNTIFS(C309:C338,"Apple",G309:G338,"Canada")</f>
        <v>1</v>
      </c>
      <c r="J322" s="52">
        <f>COUNTIFS(C309:C338,"Banana",G309:G338,"Canada")</f>
        <v>2</v>
      </c>
      <c r="K322" s="52">
        <f>COUNTIFS(C309:C338,"Apple",G309:G338,"United Kingdom")</f>
        <v>0</v>
      </c>
      <c r="L322" s="52">
        <f>COUNTIFS(C309:C338,"Banana",G309:G338,"United Kingdom")</f>
        <v>2</v>
      </c>
    </row>
    <row r="323" spans="1:13" ht="14.25" customHeight="1">
      <c r="A323" s="8">
        <v>6946</v>
      </c>
      <c r="B323" s="8">
        <v>15</v>
      </c>
      <c r="C323" s="8" t="s">
        <v>547</v>
      </c>
      <c r="D323" s="8" t="s">
        <v>537</v>
      </c>
      <c r="E323" s="8">
        <v>6946</v>
      </c>
      <c r="F323" s="94">
        <v>42396</v>
      </c>
      <c r="G323" s="8" t="s">
        <v>548</v>
      </c>
    </row>
    <row r="324" spans="1:13" ht="14.25" customHeight="1">
      <c r="A324" s="8">
        <v>2320</v>
      </c>
      <c r="B324" s="8">
        <v>16</v>
      </c>
      <c r="C324" s="8" t="s">
        <v>536</v>
      </c>
      <c r="D324" s="8" t="s">
        <v>537</v>
      </c>
      <c r="E324" s="8">
        <v>2320</v>
      </c>
      <c r="F324" s="94">
        <v>42397</v>
      </c>
      <c r="G324" s="8" t="s">
        <v>535</v>
      </c>
      <c r="I324" s="244" t="s">
        <v>552</v>
      </c>
      <c r="J324" s="191"/>
      <c r="K324" s="191"/>
      <c r="L324" s="191"/>
      <c r="M324" s="191"/>
    </row>
    <row r="325" spans="1:13" ht="14.25" customHeight="1">
      <c r="A325" s="8">
        <v>2116</v>
      </c>
      <c r="B325" s="8">
        <v>17</v>
      </c>
      <c r="C325" s="8" t="s">
        <v>536</v>
      </c>
      <c r="D325" s="8" t="s">
        <v>537</v>
      </c>
      <c r="E325" s="8">
        <v>2116</v>
      </c>
      <c r="F325" s="94">
        <v>42399</v>
      </c>
      <c r="G325" s="8" t="s">
        <v>553</v>
      </c>
      <c r="I325" s="183" t="s">
        <v>547</v>
      </c>
      <c r="J325">
        <f>SUMIFS(E309:E338,C309:C338,I325,G309:G338,"United States")</f>
        <v>1161</v>
      </c>
    </row>
    <row r="326" spans="1:13" ht="14.25" customHeight="1">
      <c r="A326" s="8">
        <v>1135</v>
      </c>
      <c r="B326" s="8">
        <v>18</v>
      </c>
      <c r="C326" s="8" t="s">
        <v>536</v>
      </c>
      <c r="D326" s="8" t="s">
        <v>537</v>
      </c>
      <c r="E326" s="8">
        <v>1135</v>
      </c>
      <c r="F326" s="94">
        <v>42399</v>
      </c>
      <c r="G326" s="8" t="s">
        <v>535</v>
      </c>
      <c r="I326" s="183" t="s">
        <v>536</v>
      </c>
      <c r="J326">
        <f>SUMIFS(E309:E338,C309:C338,I326,G309:G338,"United States")</f>
        <v>7315</v>
      </c>
    </row>
    <row r="327" spans="1:13" ht="14.25" customHeight="1">
      <c r="A327" s="8">
        <v>3595</v>
      </c>
      <c r="B327" s="8">
        <v>19</v>
      </c>
      <c r="C327" s="8" t="s">
        <v>534</v>
      </c>
      <c r="D327" s="8" t="s">
        <v>532</v>
      </c>
      <c r="E327" s="8">
        <v>3595</v>
      </c>
      <c r="F327" s="94">
        <v>42402</v>
      </c>
      <c r="G327" s="8" t="s">
        <v>535</v>
      </c>
    </row>
    <row r="328" spans="1:13" ht="14.25" customHeight="1">
      <c r="A328" s="8">
        <v>1161</v>
      </c>
      <c r="B328" s="8">
        <v>20</v>
      </c>
      <c r="C328" s="8" t="s">
        <v>547</v>
      </c>
      <c r="D328" s="8" t="s">
        <v>537</v>
      </c>
      <c r="E328" s="8">
        <v>1161</v>
      </c>
      <c r="F328" s="94">
        <v>42404</v>
      </c>
      <c r="G328" s="8" t="s">
        <v>543</v>
      </c>
    </row>
    <row r="329" spans="1:13" ht="14.25" customHeight="1">
      <c r="A329" s="8">
        <v>2256</v>
      </c>
      <c r="B329" s="8">
        <v>21</v>
      </c>
      <c r="C329" s="8" t="s">
        <v>542</v>
      </c>
      <c r="D329" s="8" t="s">
        <v>537</v>
      </c>
      <c r="E329" s="8">
        <v>2256</v>
      </c>
      <c r="F329" s="94">
        <v>42411</v>
      </c>
      <c r="G329" s="8" t="s">
        <v>548</v>
      </c>
    </row>
    <row r="330" spans="1:13" ht="14.25" customHeight="1">
      <c r="A330" s="8">
        <v>1004</v>
      </c>
      <c r="B330" s="8">
        <v>22</v>
      </c>
      <c r="C330" s="8" t="s">
        <v>536</v>
      </c>
      <c r="D330" s="8" t="s">
        <v>537</v>
      </c>
      <c r="E330" s="8">
        <v>1004</v>
      </c>
      <c r="F330" s="94">
        <v>42414</v>
      </c>
      <c r="G330" s="8" t="s">
        <v>546</v>
      </c>
    </row>
    <row r="331" spans="1:13" ht="14.25" customHeight="1">
      <c r="A331" s="8">
        <v>3642</v>
      </c>
      <c r="B331" s="8">
        <v>23</v>
      </c>
      <c r="C331" s="8" t="s">
        <v>536</v>
      </c>
      <c r="D331" s="8" t="s">
        <v>537</v>
      </c>
      <c r="E331" s="8">
        <v>3642</v>
      </c>
      <c r="F331" s="94">
        <v>42417</v>
      </c>
      <c r="G331" s="8" t="s">
        <v>538</v>
      </c>
    </row>
    <row r="332" spans="1:13" ht="14.25" customHeight="1">
      <c r="A332" s="8">
        <v>4582</v>
      </c>
      <c r="B332" s="8">
        <v>24</v>
      </c>
      <c r="C332" s="8" t="s">
        <v>536</v>
      </c>
      <c r="D332" s="8" t="s">
        <v>537</v>
      </c>
      <c r="E332" s="8">
        <v>4582</v>
      </c>
      <c r="F332" s="94">
        <v>42417</v>
      </c>
      <c r="G332" s="8" t="s">
        <v>543</v>
      </c>
    </row>
    <row r="333" spans="1:13" ht="14.25" customHeight="1">
      <c r="A333" s="8">
        <v>3559</v>
      </c>
      <c r="B333" s="8">
        <v>25</v>
      </c>
      <c r="C333" s="8" t="s">
        <v>540</v>
      </c>
      <c r="D333" s="8" t="s">
        <v>532</v>
      </c>
      <c r="E333" s="8">
        <v>3559</v>
      </c>
      <c r="F333" s="94">
        <v>42417</v>
      </c>
      <c r="G333" s="8" t="s">
        <v>535</v>
      </c>
    </row>
    <row r="334" spans="1:13" ht="14.25" customHeight="1">
      <c r="A334" s="8">
        <v>5154</v>
      </c>
      <c r="B334" s="8">
        <v>26</v>
      </c>
      <c r="C334" s="8" t="s">
        <v>531</v>
      </c>
      <c r="D334" s="8" t="s">
        <v>532</v>
      </c>
      <c r="E334" s="8">
        <v>5154</v>
      </c>
      <c r="F334" s="94">
        <v>42418</v>
      </c>
      <c r="G334" s="8" t="s">
        <v>544</v>
      </c>
    </row>
    <row r="335" spans="1:13" ht="14.25" customHeight="1">
      <c r="A335" s="8">
        <v>7388</v>
      </c>
      <c r="B335" s="8">
        <v>27</v>
      </c>
      <c r="C335" s="8" t="s">
        <v>554</v>
      </c>
      <c r="D335" s="8" t="s">
        <v>537</v>
      </c>
      <c r="E335" s="8">
        <v>7388</v>
      </c>
      <c r="F335" s="94">
        <v>42418</v>
      </c>
      <c r="G335" s="52" t="s">
        <v>548</v>
      </c>
    </row>
    <row r="336" spans="1:13" ht="14.25" customHeight="1">
      <c r="A336" s="8">
        <v>7163</v>
      </c>
      <c r="B336" s="8">
        <v>28</v>
      </c>
      <c r="C336" s="8" t="s">
        <v>540</v>
      </c>
      <c r="D336" s="8" t="s">
        <v>532</v>
      </c>
      <c r="E336" s="8">
        <v>7163</v>
      </c>
      <c r="F336" s="94">
        <v>42420</v>
      </c>
      <c r="G336" s="52" t="s">
        <v>543</v>
      </c>
    </row>
    <row r="337" spans="1:10" ht="14.25" customHeight="1">
      <c r="A337" s="8">
        <v>5101</v>
      </c>
      <c r="B337" s="8">
        <v>29</v>
      </c>
      <c r="C337" s="8" t="s">
        <v>540</v>
      </c>
      <c r="D337" s="8" t="s">
        <v>532</v>
      </c>
      <c r="E337" s="8">
        <v>5101</v>
      </c>
      <c r="F337" s="94">
        <v>42421</v>
      </c>
      <c r="G337" s="52" t="s">
        <v>541</v>
      </c>
    </row>
    <row r="338" spans="1:10" ht="14.25" customHeight="1">
      <c r="A338" s="8">
        <v>7602</v>
      </c>
      <c r="B338" s="8">
        <v>30</v>
      </c>
      <c r="C338" s="8" t="s">
        <v>547</v>
      </c>
      <c r="D338" s="8" t="s">
        <v>537</v>
      </c>
      <c r="E338" s="8">
        <v>7602</v>
      </c>
      <c r="F338" s="94">
        <v>42421</v>
      </c>
      <c r="G338" s="52" t="s">
        <v>548</v>
      </c>
    </row>
    <row r="339" spans="1:10" ht="14.25" customHeight="1"/>
    <row r="340" spans="1:10" ht="14.25" customHeight="1"/>
    <row r="341" spans="1:10" ht="14.25" customHeight="1"/>
    <row r="342" spans="1:10" ht="14.25" customHeight="1"/>
    <row r="343" spans="1:10" ht="14.25" customHeight="1">
      <c r="B343" s="270" t="s">
        <v>555</v>
      </c>
      <c r="C343" s="234"/>
      <c r="D343" s="234"/>
      <c r="E343" s="234"/>
      <c r="F343" s="234"/>
      <c r="G343" s="234"/>
      <c r="H343" s="234"/>
      <c r="I343" s="234"/>
      <c r="J343" s="235"/>
    </row>
    <row r="344" spans="1:10" ht="14.25" customHeight="1">
      <c r="B344" s="236"/>
      <c r="C344" s="237"/>
      <c r="D344" s="237"/>
      <c r="E344" s="237"/>
      <c r="F344" s="237"/>
      <c r="G344" s="237"/>
      <c r="H344" s="237"/>
      <c r="I344" s="237"/>
      <c r="J344" s="215"/>
    </row>
    <row r="345" spans="1:10" ht="14.25" customHeight="1">
      <c r="A345" s="8"/>
      <c r="B345" s="8" t="s">
        <v>281</v>
      </c>
      <c r="C345" s="8" t="s">
        <v>556</v>
      </c>
      <c r="D345" s="8" t="s">
        <v>148</v>
      </c>
      <c r="E345" s="8" t="s">
        <v>557</v>
      </c>
    </row>
    <row r="346" spans="1:10" ht="14.25" customHeight="1">
      <c r="A346" s="8"/>
      <c r="B346" s="8" t="s">
        <v>558</v>
      </c>
      <c r="C346" s="8" t="s">
        <v>559</v>
      </c>
      <c r="D346" s="8" t="s">
        <v>533</v>
      </c>
      <c r="E346" s="8">
        <v>74</v>
      </c>
      <c r="G346" s="244" t="s">
        <v>560</v>
      </c>
      <c r="H346" s="191"/>
      <c r="I346" s="191"/>
      <c r="J346" s="191"/>
    </row>
    <row r="347" spans="1:10" ht="14.25" customHeight="1">
      <c r="A347" s="8"/>
      <c r="B347" s="8" t="s">
        <v>561</v>
      </c>
      <c r="C347" s="8" t="s">
        <v>562</v>
      </c>
      <c r="D347" s="8" t="s">
        <v>563</v>
      </c>
      <c r="E347" s="8">
        <v>92</v>
      </c>
      <c r="G347" s="125">
        <f>COUNTIF(C346:C356,"Male")</f>
        <v>5</v>
      </c>
      <c r="H347" s="126">
        <f>COUNTIF(C346:C356,"female")</f>
        <v>6</v>
      </c>
    </row>
    <row r="348" spans="1:10" ht="14.25" customHeight="1">
      <c r="A348" s="8"/>
      <c r="B348" s="8" t="s">
        <v>564</v>
      </c>
      <c r="C348" s="8" t="s">
        <v>559</v>
      </c>
      <c r="D348" s="8" t="s">
        <v>533</v>
      </c>
      <c r="E348" s="8">
        <v>65</v>
      </c>
    </row>
    <row r="349" spans="1:10" ht="14.25" customHeight="1">
      <c r="A349" s="8"/>
      <c r="B349" s="8" t="s">
        <v>565</v>
      </c>
      <c r="C349" s="8" t="s">
        <v>562</v>
      </c>
      <c r="D349" s="8" t="s">
        <v>549</v>
      </c>
      <c r="E349" s="8">
        <v>82</v>
      </c>
      <c r="G349" s="244" t="s">
        <v>566</v>
      </c>
      <c r="H349" s="191"/>
      <c r="I349" s="191"/>
      <c r="J349" s="191"/>
    </row>
    <row r="350" spans="1:10" ht="14.25" customHeight="1">
      <c r="A350" s="8"/>
      <c r="B350" s="8" t="s">
        <v>567</v>
      </c>
      <c r="C350" s="8" t="s">
        <v>562</v>
      </c>
      <c r="D350" s="8" t="s">
        <v>544</v>
      </c>
      <c r="E350" s="8">
        <v>50</v>
      </c>
      <c r="G350" s="52">
        <f>COUNTIFS(C346:C356,"Male",D346:D356,"united States")</f>
        <v>4</v>
      </c>
    </row>
    <row r="351" spans="1:10" ht="14.25" customHeight="1">
      <c r="A351" s="8"/>
      <c r="B351" s="8" t="s">
        <v>568</v>
      </c>
      <c r="C351" s="8" t="s">
        <v>562</v>
      </c>
      <c r="D351" s="8" t="s">
        <v>549</v>
      </c>
      <c r="E351" s="8">
        <v>91</v>
      </c>
    </row>
    <row r="352" spans="1:10" ht="14.25" customHeight="1">
      <c r="A352" s="8"/>
      <c r="B352" s="8" t="s">
        <v>364</v>
      </c>
      <c r="C352" s="8" t="s">
        <v>562</v>
      </c>
      <c r="D352" s="8" t="s">
        <v>533</v>
      </c>
      <c r="E352" s="8">
        <v>96</v>
      </c>
      <c r="G352" s="244" t="s">
        <v>569</v>
      </c>
      <c r="H352" s="191"/>
      <c r="I352" s="191"/>
      <c r="J352" s="191"/>
    </row>
    <row r="353" spans="1:11" ht="14.25" customHeight="1">
      <c r="A353" s="8"/>
      <c r="B353" s="8" t="s">
        <v>570</v>
      </c>
      <c r="C353" s="8" t="s">
        <v>559</v>
      </c>
      <c r="D353" s="8" t="s">
        <v>533</v>
      </c>
      <c r="E353" s="8">
        <v>58</v>
      </c>
      <c r="G353" s="52" t="s">
        <v>565</v>
      </c>
      <c r="H353" s="52" t="str">
        <f>VLOOKUP(G353,B346:E356,3,0)</f>
        <v>Canada</v>
      </c>
    </row>
    <row r="354" spans="1:11" ht="14.25" customHeight="1">
      <c r="A354" s="8"/>
      <c r="B354" s="8" t="s">
        <v>386</v>
      </c>
      <c r="C354" s="8" t="s">
        <v>559</v>
      </c>
      <c r="D354" s="8" t="s">
        <v>549</v>
      </c>
      <c r="E354" s="8">
        <v>67</v>
      </c>
      <c r="G354" s="52" t="s">
        <v>366</v>
      </c>
      <c r="H354" s="52" t="str">
        <f>VLOOKUP(G354,B346:E356,3,0)</f>
        <v>United States</v>
      </c>
    </row>
    <row r="355" spans="1:11" ht="14.25" customHeight="1">
      <c r="A355" s="8"/>
      <c r="B355" s="8" t="s">
        <v>571</v>
      </c>
      <c r="C355" s="8" t="s">
        <v>562</v>
      </c>
      <c r="D355" s="8" t="s">
        <v>563</v>
      </c>
      <c r="E355" s="8">
        <v>54</v>
      </c>
      <c r="G355" s="244" t="s">
        <v>572</v>
      </c>
      <c r="H355" s="191"/>
      <c r="I355" s="191"/>
      <c r="J355" s="191"/>
    </row>
    <row r="356" spans="1:11" ht="14.25" customHeight="1">
      <c r="A356" s="8"/>
      <c r="B356" s="8" t="s">
        <v>366</v>
      </c>
      <c r="C356" s="8" t="s">
        <v>559</v>
      </c>
      <c r="D356" s="8" t="s">
        <v>533</v>
      </c>
      <c r="E356" s="8">
        <v>83</v>
      </c>
      <c r="G356" s="183" t="s">
        <v>1026</v>
      </c>
      <c r="H356">
        <f>SUMIFS(E346:E356,C346:C356,G356,D346:D356,"united states")</f>
        <v>280</v>
      </c>
    </row>
    <row r="357" spans="1:11" ht="14.25" customHeight="1">
      <c r="G357" s="183" t="s">
        <v>1027</v>
      </c>
      <c r="H357">
        <f>SUMIFS(E346:E356,C346:C356,G357,D346:D356,"United States")</f>
        <v>96</v>
      </c>
    </row>
    <row r="358" spans="1:11" ht="14.25" customHeight="1">
      <c r="G358" s="244" t="s">
        <v>573</v>
      </c>
      <c r="H358" s="191"/>
      <c r="I358" s="191"/>
      <c r="J358" s="191"/>
      <c r="K358" s="191"/>
    </row>
    <row r="359" spans="1:11" ht="14.25" customHeight="1">
      <c r="D359" s="191"/>
      <c r="E359" s="191"/>
      <c r="F359" s="191"/>
    </row>
    <row r="360" spans="1:11" ht="14.25" customHeight="1">
      <c r="C360" s="191"/>
      <c r="D360" s="191"/>
    </row>
    <row r="361" spans="1:11" ht="14.25" customHeight="1"/>
    <row r="362" spans="1:11" ht="14.25" customHeight="1"/>
    <row r="363" spans="1:11" ht="14.25" customHeight="1">
      <c r="B363" s="245" t="s">
        <v>574</v>
      </c>
      <c r="C363" s="234"/>
      <c r="D363" s="234"/>
      <c r="E363" s="234"/>
      <c r="F363" s="234"/>
      <c r="G363" s="234"/>
      <c r="H363" s="234"/>
      <c r="I363" s="234"/>
      <c r="J363" s="235"/>
    </row>
    <row r="364" spans="1:11" ht="14.25" customHeight="1">
      <c r="B364" s="236"/>
      <c r="C364" s="237"/>
      <c r="D364" s="237"/>
      <c r="E364" s="237"/>
      <c r="F364" s="237"/>
      <c r="G364" s="237"/>
      <c r="H364" s="237"/>
      <c r="I364" s="237"/>
      <c r="J364" s="215"/>
    </row>
    <row r="365" spans="1:11" ht="14.25" customHeight="1">
      <c r="A365" s="127"/>
      <c r="B365" s="79" t="s">
        <v>575</v>
      </c>
      <c r="C365" s="79" t="s">
        <v>576</v>
      </c>
      <c r="D365" s="79" t="s">
        <v>528</v>
      </c>
      <c r="E365" s="127"/>
      <c r="F365" s="79" t="s">
        <v>575</v>
      </c>
      <c r="G365" s="79" t="s">
        <v>576</v>
      </c>
      <c r="H365" s="79" t="s">
        <v>528</v>
      </c>
    </row>
    <row r="366" spans="1:11" ht="14.25" customHeight="1">
      <c r="B366" s="8">
        <v>101</v>
      </c>
      <c r="C366" s="8" t="s">
        <v>577</v>
      </c>
      <c r="D366" s="8" t="s">
        <v>578</v>
      </c>
      <c r="F366" s="8">
        <v>104</v>
      </c>
      <c r="G366" s="8" t="s">
        <v>579</v>
      </c>
      <c r="H366" s="8" t="s">
        <v>580</v>
      </c>
    </row>
    <row r="367" spans="1:11" ht="14.25" customHeight="1">
      <c r="B367" s="8">
        <v>102</v>
      </c>
      <c r="C367" s="8" t="s">
        <v>581</v>
      </c>
      <c r="D367" s="8" t="s">
        <v>582</v>
      </c>
      <c r="F367" s="8">
        <v>103</v>
      </c>
      <c r="G367" s="112" t="str">
        <f t="shared" ref="G367:G375" si="23">VLOOKUP(F367,$B$366:$D$369,2,0)</f>
        <v>Logitech</v>
      </c>
      <c r="H367" s="112" t="str">
        <f t="shared" ref="H367:H375" si="24">VLOOKUP(F367,$B$366:$D$369,3,0)</f>
        <v>Mouse</v>
      </c>
    </row>
    <row r="368" spans="1:11" ht="14.25" customHeight="1">
      <c r="B368" s="8">
        <v>103</v>
      </c>
      <c r="C368" s="8" t="s">
        <v>581</v>
      </c>
      <c r="D368" s="8" t="s">
        <v>583</v>
      </c>
      <c r="F368" s="8">
        <v>104</v>
      </c>
      <c r="G368" s="112" t="str">
        <f t="shared" si="23"/>
        <v>HP</v>
      </c>
      <c r="H368" s="112" t="str">
        <f t="shared" si="24"/>
        <v>Printer</v>
      </c>
    </row>
    <row r="369" spans="1:9" ht="14.25" customHeight="1">
      <c r="B369" s="8">
        <v>104</v>
      </c>
      <c r="C369" s="8" t="s">
        <v>579</v>
      </c>
      <c r="D369" s="8" t="s">
        <v>580</v>
      </c>
      <c r="F369" s="8">
        <v>101</v>
      </c>
      <c r="G369" s="112" t="str">
        <f t="shared" si="23"/>
        <v>Dell</v>
      </c>
      <c r="H369" s="112" t="str">
        <f t="shared" si="24"/>
        <v>Computer</v>
      </c>
    </row>
    <row r="370" spans="1:9" ht="14.25" customHeight="1">
      <c r="F370" s="8">
        <v>102</v>
      </c>
      <c r="G370" s="112" t="str">
        <f t="shared" si="23"/>
        <v>Logitech</v>
      </c>
      <c r="H370" s="112" t="str">
        <f t="shared" si="24"/>
        <v>Keyboard</v>
      </c>
    </row>
    <row r="371" spans="1:9" ht="14.25" customHeight="1">
      <c r="F371" s="8">
        <v>103</v>
      </c>
      <c r="G371" s="112" t="str">
        <f t="shared" si="23"/>
        <v>Logitech</v>
      </c>
      <c r="H371" s="112" t="str">
        <f t="shared" si="24"/>
        <v>Mouse</v>
      </c>
    </row>
    <row r="372" spans="1:9" ht="14.25" customHeight="1">
      <c r="F372" s="8">
        <v>101</v>
      </c>
      <c r="G372" s="112" t="str">
        <f t="shared" si="23"/>
        <v>Dell</v>
      </c>
      <c r="H372" s="112" t="str">
        <f t="shared" si="24"/>
        <v>Computer</v>
      </c>
    </row>
    <row r="373" spans="1:9" ht="14.25" customHeight="1">
      <c r="F373" s="8">
        <v>104</v>
      </c>
      <c r="G373" s="112" t="str">
        <f t="shared" si="23"/>
        <v>HP</v>
      </c>
      <c r="H373" s="112" t="str">
        <f t="shared" si="24"/>
        <v>Printer</v>
      </c>
    </row>
    <row r="374" spans="1:9" ht="14.25" customHeight="1">
      <c r="F374" s="8">
        <v>101</v>
      </c>
      <c r="G374" s="112" t="str">
        <f t="shared" si="23"/>
        <v>Dell</v>
      </c>
      <c r="H374" s="112" t="str">
        <f t="shared" si="24"/>
        <v>Computer</v>
      </c>
    </row>
    <row r="375" spans="1:9" ht="14.25" customHeight="1">
      <c r="F375" s="8">
        <v>102</v>
      </c>
      <c r="G375" s="112" t="str">
        <f t="shared" si="23"/>
        <v>Logitech</v>
      </c>
      <c r="H375" s="112" t="str">
        <f t="shared" si="24"/>
        <v>Keyboard</v>
      </c>
    </row>
    <row r="376" spans="1:9" ht="14.25" customHeight="1"/>
    <row r="377" spans="1:9" ht="14.25" customHeight="1"/>
    <row r="378" spans="1:9" ht="14.25" customHeight="1"/>
    <row r="379" spans="1:9" ht="14.25" customHeight="1"/>
    <row r="380" spans="1:9" ht="14.25" customHeight="1">
      <c r="A380" s="246" t="s">
        <v>584</v>
      </c>
      <c r="B380" s="246"/>
      <c r="C380" s="246"/>
      <c r="D380" s="246"/>
      <c r="E380" s="246"/>
      <c r="F380" s="246"/>
      <c r="G380" s="246"/>
      <c r="H380" s="246"/>
      <c r="I380" s="246"/>
    </row>
    <row r="381" spans="1:9" ht="14.25" customHeight="1">
      <c r="A381" s="246"/>
      <c r="B381" s="246"/>
      <c r="C381" s="246"/>
      <c r="D381" s="246"/>
      <c r="E381" s="246"/>
      <c r="F381" s="246"/>
      <c r="G381" s="246"/>
      <c r="H381" s="246"/>
      <c r="I381" s="246"/>
    </row>
    <row r="382" spans="1:9" ht="14.25" customHeight="1">
      <c r="A382" s="128"/>
      <c r="B382" s="128" t="s">
        <v>575</v>
      </c>
      <c r="C382" s="128">
        <v>101</v>
      </c>
      <c r="D382" s="128">
        <v>102</v>
      </c>
      <c r="E382" s="128">
        <v>103</v>
      </c>
      <c r="F382" s="128">
        <v>104</v>
      </c>
    </row>
    <row r="383" spans="1:9" ht="14.25" customHeight="1">
      <c r="A383" s="8"/>
      <c r="B383" s="129" t="s">
        <v>576</v>
      </c>
      <c r="C383" s="8" t="s">
        <v>577</v>
      </c>
      <c r="D383" s="8" t="s">
        <v>581</v>
      </c>
      <c r="E383" s="8" t="s">
        <v>581</v>
      </c>
      <c r="F383" s="8" t="s">
        <v>579</v>
      </c>
    </row>
    <row r="384" spans="1:9" ht="14.25" customHeight="1">
      <c r="A384" s="8"/>
      <c r="B384" s="129" t="s">
        <v>528</v>
      </c>
      <c r="C384" s="8" t="s">
        <v>578</v>
      </c>
      <c r="D384" s="8" t="s">
        <v>582</v>
      </c>
      <c r="E384" s="8" t="s">
        <v>583</v>
      </c>
      <c r="F384" s="8" t="s">
        <v>580</v>
      </c>
    </row>
    <row r="385" spans="1:8" ht="14.25" customHeight="1"/>
    <row r="386" spans="1:8" ht="14.25" customHeight="1">
      <c r="B386" s="87" t="s">
        <v>575</v>
      </c>
      <c r="C386" s="87" t="s">
        <v>528</v>
      </c>
      <c r="D386" s="87" t="s">
        <v>576</v>
      </c>
    </row>
    <row r="387" spans="1:8" ht="14.25" customHeight="1">
      <c r="B387" s="8">
        <v>104</v>
      </c>
      <c r="C387" s="8" t="s">
        <v>580</v>
      </c>
      <c r="D387" s="8" t="s">
        <v>579</v>
      </c>
    </row>
    <row r="388" spans="1:8" ht="14.25" customHeight="1">
      <c r="B388" s="8">
        <v>103</v>
      </c>
      <c r="C388" s="181" t="str">
        <f>HLOOKUP(B388,A382:F384,3,0)</f>
        <v>Mouse</v>
      </c>
      <c r="D388" s="182" t="str">
        <f>HLOOKUP(B388,A382:F384,2,0)</f>
        <v>Logitech</v>
      </c>
    </row>
    <row r="389" spans="1:8" ht="14.25" customHeight="1">
      <c r="B389" s="8">
        <v>104</v>
      </c>
      <c r="C389" s="181" t="str">
        <f>HLOOKUP(B389,A382:F384,3,0)</f>
        <v>Printer</v>
      </c>
      <c r="D389" s="182" t="str">
        <f>HLOOKUP(B389,A382:F384,2,0)</f>
        <v>HP</v>
      </c>
    </row>
    <row r="390" spans="1:8" ht="14.25" customHeight="1">
      <c r="B390" s="8">
        <v>101</v>
      </c>
      <c r="C390" s="181" t="str">
        <f>HLOOKUP(B390,B382:F384,3,0)</f>
        <v>Computer</v>
      </c>
      <c r="D390" s="182" t="str">
        <f>HLOOKUP(B390,A382:F384,2,0)</f>
        <v>Dell</v>
      </c>
    </row>
    <row r="391" spans="1:8" ht="14.25" customHeight="1">
      <c r="B391" s="8">
        <v>102</v>
      </c>
      <c r="C391" s="181" t="str">
        <f>HLOOKUP(B391,A382:F384,3,0)</f>
        <v>Keyboard</v>
      </c>
      <c r="D391" s="182" t="str">
        <f>HLOOKUP(B391,A382:F384,2,0)</f>
        <v>Logitech</v>
      </c>
    </row>
    <row r="392" spans="1:8" ht="14.25" customHeight="1">
      <c r="B392" s="8">
        <v>103</v>
      </c>
      <c r="C392" s="181" t="str">
        <f>HLOOKUP(B392,A382:F384,3,0)</f>
        <v>Mouse</v>
      </c>
      <c r="D392" s="182" t="str">
        <f>HLOOKUP(B392,A382:F384,2,0)</f>
        <v>Logitech</v>
      </c>
    </row>
    <row r="393" spans="1:8" ht="14.25" customHeight="1">
      <c r="B393" s="8">
        <v>101</v>
      </c>
      <c r="C393" s="181" t="str">
        <f>HLOOKUP(B393,A382:F384,3,0)</f>
        <v>Computer</v>
      </c>
      <c r="D393" s="182" t="str">
        <f>HLOOKUP(B393,A382:F384,2,0)</f>
        <v>Dell</v>
      </c>
    </row>
    <row r="394" spans="1:8" ht="14.25" customHeight="1">
      <c r="B394" s="8">
        <v>104</v>
      </c>
      <c r="C394" s="181" t="str">
        <f>HLOOKUP(B394,A382:F384,3,0)</f>
        <v>Printer</v>
      </c>
      <c r="D394" s="182" t="str">
        <f>HLOOKUP(B394,A382:F384,2,0)</f>
        <v>HP</v>
      </c>
    </row>
    <row r="395" spans="1:8" ht="14.25" customHeight="1">
      <c r="B395" s="8">
        <v>101</v>
      </c>
      <c r="C395" s="181" t="str">
        <f>HLOOKUP(B395,A382:F384,3,0)</f>
        <v>Computer</v>
      </c>
      <c r="D395" s="182" t="str">
        <f>HLOOKUP(B395,A382:F384,2,0)</f>
        <v>Dell</v>
      </c>
    </row>
    <row r="396" spans="1:8" ht="14.25" customHeight="1">
      <c r="B396" s="8">
        <v>102</v>
      </c>
      <c r="C396" s="181" t="str">
        <f>HLOOKUP(B396,A382:F384,3,0)</f>
        <v>Keyboard</v>
      </c>
      <c r="D396" s="182" t="str">
        <f>HLOOKUP(B396,A382:F384,2,0)</f>
        <v>Logitech</v>
      </c>
    </row>
    <row r="397" spans="1:8" ht="14.25" customHeight="1"/>
    <row r="398" spans="1:8" ht="14.25" customHeight="1"/>
    <row r="399" spans="1:8" ht="14.25" customHeight="1"/>
    <row r="400" spans="1:8" ht="14.25" customHeight="1">
      <c r="A400" s="247" t="s">
        <v>585</v>
      </c>
      <c r="B400" s="247"/>
      <c r="C400" s="247"/>
      <c r="D400" s="247"/>
      <c r="E400" s="247"/>
      <c r="F400" s="247"/>
      <c r="G400" s="247"/>
      <c r="H400" s="247"/>
    </row>
    <row r="401" spans="1:8" ht="14.25" customHeight="1">
      <c r="A401" s="247"/>
      <c r="B401" s="247"/>
      <c r="C401" s="247"/>
      <c r="D401" s="247"/>
      <c r="E401" s="247"/>
      <c r="F401" s="247"/>
      <c r="G401" s="247"/>
      <c r="H401" s="247"/>
    </row>
    <row r="402" spans="1:8" ht="14.25" customHeight="1">
      <c r="A402" s="128" t="s">
        <v>586</v>
      </c>
      <c r="B402" s="128" t="s">
        <v>495</v>
      </c>
      <c r="C402" s="128" t="s">
        <v>496</v>
      </c>
      <c r="D402" s="128" t="s">
        <v>497</v>
      </c>
    </row>
    <row r="403" spans="1:8" ht="14.25" customHeight="1">
      <c r="A403" s="8" t="s">
        <v>587</v>
      </c>
      <c r="B403" s="8">
        <v>5535</v>
      </c>
      <c r="C403" s="8">
        <v>5414</v>
      </c>
      <c r="D403" s="8">
        <v>9027</v>
      </c>
    </row>
    <row r="404" spans="1:8" ht="14.25" customHeight="1">
      <c r="A404" s="8" t="s">
        <v>588</v>
      </c>
      <c r="B404" s="8">
        <v>5013</v>
      </c>
      <c r="C404" s="8">
        <v>5107</v>
      </c>
      <c r="D404" s="8">
        <v>11667</v>
      </c>
    </row>
    <row r="405" spans="1:8" ht="14.25" customHeight="1">
      <c r="A405" s="8" t="s">
        <v>139</v>
      </c>
      <c r="B405" s="8">
        <v>6597</v>
      </c>
      <c r="C405" s="8">
        <v>3858</v>
      </c>
      <c r="D405" s="8">
        <v>1507</v>
      </c>
    </row>
    <row r="406" spans="1:8" ht="14.25" customHeight="1">
      <c r="A406" s="8" t="s">
        <v>589</v>
      </c>
      <c r="B406" s="8">
        <v>3195</v>
      </c>
      <c r="C406" s="8">
        <v>3654</v>
      </c>
      <c r="D406" s="8">
        <v>7225</v>
      </c>
    </row>
    <row r="407" spans="1:8" ht="14.25" customHeight="1"/>
    <row r="408" spans="1:8" ht="14.25" customHeight="1">
      <c r="B408" s="128" t="s">
        <v>139</v>
      </c>
      <c r="C408" s="128" t="s">
        <v>497</v>
      </c>
      <c r="D408" s="128">
        <f>INDEX(A402:D406,MATCH(B408,A402:A406,0),MATCH(C408,A402:D402,0))</f>
        <v>1507</v>
      </c>
    </row>
    <row r="409" spans="1:8" ht="14.25" customHeight="1">
      <c r="B409" s="8" t="s">
        <v>589</v>
      </c>
      <c r="C409" s="8" t="s">
        <v>496</v>
      </c>
      <c r="D409" s="128">
        <f>INDEX(A403:D406,MATCH(B409,A403:A406,0),MATCH(C409,A402:D402,0))</f>
        <v>3654</v>
      </c>
    </row>
    <row r="410" spans="1:8" ht="14.25" customHeight="1">
      <c r="B410" s="8" t="s">
        <v>588</v>
      </c>
      <c r="C410" s="8" t="s">
        <v>495</v>
      </c>
      <c r="D410" s="128">
        <f>INDEX(A402:D406,MATCH(B410,A402:A406,0),MATCH(C410,A402:D402,0))</f>
        <v>5013</v>
      </c>
    </row>
    <row r="411" spans="1:8" ht="14.25" customHeight="1">
      <c r="B411" s="8" t="s">
        <v>587</v>
      </c>
      <c r="C411" s="8" t="s">
        <v>497</v>
      </c>
      <c r="D411" s="128">
        <f>INDEX(A403:D406,MATCH(B411,A402:A406,0),MATCH(C411,A402:D402,0))</f>
        <v>11667</v>
      </c>
    </row>
    <row r="412" spans="1:8" ht="14.25" customHeight="1"/>
    <row r="413" spans="1:8" ht="14.25" customHeight="1"/>
    <row r="414" spans="1:8" ht="14.25" customHeight="1"/>
    <row r="415" spans="1:8" ht="14.25" customHeight="1"/>
    <row r="416" spans="1:8" ht="14.25" customHeight="1">
      <c r="A416" s="248" t="s">
        <v>590</v>
      </c>
      <c r="B416" s="248"/>
      <c r="C416" s="248"/>
      <c r="D416" s="248"/>
      <c r="E416" s="248"/>
      <c r="F416" s="248"/>
      <c r="G416" s="248"/>
      <c r="H416" s="60"/>
    </row>
    <row r="417" spans="1:7" ht="14.25" customHeight="1">
      <c r="A417" s="248"/>
      <c r="B417" s="248"/>
      <c r="C417" s="248"/>
      <c r="D417" s="248"/>
      <c r="E417" s="248"/>
      <c r="F417" s="248"/>
      <c r="G417" s="248"/>
    </row>
    <row r="418" spans="1:7" ht="14.25" customHeight="1" thickBot="1">
      <c r="A418" s="130" t="s">
        <v>591</v>
      </c>
      <c r="B418" s="130" t="s">
        <v>592</v>
      </c>
      <c r="C418" s="130" t="s">
        <v>282</v>
      </c>
      <c r="D418" s="130" t="s">
        <v>593</v>
      </c>
      <c r="E418" s="130"/>
      <c r="F418" s="130" t="s">
        <v>593</v>
      </c>
      <c r="G418" s="130" t="s">
        <v>594</v>
      </c>
    </row>
    <row r="419" spans="1:7" ht="14.25" customHeight="1" thickBot="1">
      <c r="A419" s="8" t="s">
        <v>595</v>
      </c>
      <c r="B419" s="131">
        <v>92671</v>
      </c>
      <c r="C419" s="8" t="s">
        <v>136</v>
      </c>
      <c r="D419" s="8" t="s">
        <v>596</v>
      </c>
      <c r="F419" s="8" t="s">
        <v>596</v>
      </c>
      <c r="G419" s="320">
        <v>92671</v>
      </c>
    </row>
    <row r="420" spans="1:7" ht="14.25" customHeight="1" thickBot="1">
      <c r="A420" s="8" t="s">
        <v>597</v>
      </c>
      <c r="B420" s="131">
        <v>84120</v>
      </c>
      <c r="C420" s="8" t="s">
        <v>598</v>
      </c>
      <c r="D420" s="8" t="s">
        <v>599</v>
      </c>
      <c r="F420" s="8" t="s">
        <v>599</v>
      </c>
      <c r="G420" s="320">
        <v>84120</v>
      </c>
    </row>
    <row r="421" spans="1:7" ht="14.25" customHeight="1" thickBot="1">
      <c r="A421" s="8" t="s">
        <v>600</v>
      </c>
      <c r="B421" s="131">
        <v>50793</v>
      </c>
      <c r="C421" s="8" t="s">
        <v>421</v>
      </c>
      <c r="D421" s="8" t="s">
        <v>601</v>
      </c>
      <c r="F421" s="8" t="s">
        <v>601</v>
      </c>
      <c r="G421" s="320">
        <v>50793</v>
      </c>
    </row>
    <row r="422" spans="1:7" ht="14.25" customHeight="1" thickBot="1">
      <c r="A422" s="8" t="s">
        <v>602</v>
      </c>
      <c r="B422" s="131">
        <v>77833</v>
      </c>
      <c r="C422" s="8" t="s">
        <v>603</v>
      </c>
      <c r="D422" s="8" t="s">
        <v>604</v>
      </c>
      <c r="F422" s="8" t="s">
        <v>604</v>
      </c>
      <c r="G422" s="320">
        <v>77833</v>
      </c>
    </row>
    <row r="423" spans="1:7" ht="14.25" customHeight="1" thickBot="1">
      <c r="A423" s="8" t="s">
        <v>605</v>
      </c>
      <c r="B423" s="131">
        <v>58914</v>
      </c>
      <c r="C423" s="8" t="s">
        <v>441</v>
      </c>
      <c r="D423" s="8" t="s">
        <v>606</v>
      </c>
      <c r="F423" s="8" t="s">
        <v>606</v>
      </c>
      <c r="G423" s="320">
        <v>58914</v>
      </c>
    </row>
    <row r="424" spans="1:7" ht="14.25" customHeight="1" thickBot="1">
      <c r="A424" s="8" t="s">
        <v>607</v>
      </c>
      <c r="B424" s="131">
        <v>51096</v>
      </c>
      <c r="C424" s="8" t="s">
        <v>608</v>
      </c>
      <c r="D424" s="8" t="s">
        <v>609</v>
      </c>
      <c r="F424" s="8" t="s">
        <v>609</v>
      </c>
      <c r="G424" s="320">
        <v>51096</v>
      </c>
    </row>
    <row r="425" spans="1:7" ht="14.25" customHeight="1" thickBot="1">
      <c r="A425" s="8" t="s">
        <v>610</v>
      </c>
      <c r="B425" s="131">
        <v>83735</v>
      </c>
      <c r="C425" s="8" t="s">
        <v>421</v>
      </c>
      <c r="D425" s="8" t="s">
        <v>611</v>
      </c>
      <c r="F425" s="8" t="s">
        <v>611</v>
      </c>
      <c r="G425" s="320">
        <v>83735</v>
      </c>
    </row>
    <row r="426" spans="1:7" ht="14.25" customHeight="1" thickBot="1">
      <c r="A426" s="8" t="s">
        <v>612</v>
      </c>
      <c r="B426" s="131">
        <v>74418</v>
      </c>
      <c r="C426" s="8" t="s">
        <v>608</v>
      </c>
      <c r="D426" s="8" t="s">
        <v>613</v>
      </c>
      <c r="F426" s="8" t="s">
        <v>613</v>
      </c>
      <c r="G426" s="320">
        <v>74418</v>
      </c>
    </row>
    <row r="427" spans="1:7" ht="14.25" customHeight="1" thickBot="1">
      <c r="A427" s="8" t="s">
        <v>614</v>
      </c>
      <c r="B427" s="131">
        <v>51366</v>
      </c>
      <c r="C427" s="8" t="s">
        <v>136</v>
      </c>
      <c r="D427" s="8" t="s">
        <v>615</v>
      </c>
      <c r="F427" s="8" t="s">
        <v>615</v>
      </c>
      <c r="G427" s="320">
        <v>51366</v>
      </c>
    </row>
    <row r="428" spans="1:7" ht="14.25" customHeight="1" thickBot="1">
      <c r="A428" s="8" t="s">
        <v>616</v>
      </c>
      <c r="B428" s="131">
        <v>54600</v>
      </c>
      <c r="C428" s="8" t="s">
        <v>441</v>
      </c>
      <c r="D428" s="8" t="s">
        <v>617</v>
      </c>
      <c r="F428" s="8" t="s">
        <v>617</v>
      </c>
      <c r="G428" s="320">
        <v>54600</v>
      </c>
    </row>
    <row r="429" spans="1:7" ht="14.25" customHeight="1" thickBot="1">
      <c r="A429" s="8" t="s">
        <v>618</v>
      </c>
      <c r="B429" s="131">
        <v>93509</v>
      </c>
      <c r="C429" s="8" t="s">
        <v>598</v>
      </c>
      <c r="D429" s="8" t="s">
        <v>619</v>
      </c>
      <c r="F429" s="8" t="s">
        <v>619</v>
      </c>
      <c r="G429" s="320">
        <v>93509</v>
      </c>
    </row>
    <row r="430" spans="1:7" ht="14.25" customHeight="1" thickBot="1">
      <c r="A430" s="8" t="s">
        <v>620</v>
      </c>
      <c r="B430" s="131">
        <v>80105</v>
      </c>
      <c r="C430" s="8" t="s">
        <v>441</v>
      </c>
      <c r="D430" s="8" t="s">
        <v>621</v>
      </c>
      <c r="F430" s="8" t="s">
        <v>621</v>
      </c>
      <c r="G430" s="320">
        <v>80105</v>
      </c>
    </row>
    <row r="431" spans="1:7" ht="14.25" customHeight="1" thickBot="1">
      <c r="A431" s="8" t="s">
        <v>622</v>
      </c>
      <c r="B431" s="131">
        <v>60802</v>
      </c>
      <c r="C431" s="8" t="s">
        <v>421</v>
      </c>
      <c r="D431" s="8" t="s">
        <v>623</v>
      </c>
      <c r="F431" s="8" t="s">
        <v>623</v>
      </c>
      <c r="G431" s="320">
        <v>60802</v>
      </c>
    </row>
    <row r="432" spans="1:7" ht="14.25" customHeight="1" thickBot="1">
      <c r="A432" s="8" t="s">
        <v>624</v>
      </c>
      <c r="B432" s="131">
        <v>76260</v>
      </c>
      <c r="C432" s="8" t="s">
        <v>516</v>
      </c>
      <c r="D432" s="8" t="s">
        <v>625</v>
      </c>
      <c r="F432" s="8" t="s">
        <v>625</v>
      </c>
      <c r="G432" s="320">
        <v>76260</v>
      </c>
    </row>
    <row r="433" spans="1:8" ht="14.25" customHeight="1" thickBot="1">
      <c r="A433" s="8" t="s">
        <v>626</v>
      </c>
      <c r="B433" s="131">
        <v>88965</v>
      </c>
      <c r="C433" s="8" t="s">
        <v>608</v>
      </c>
      <c r="D433" s="8" t="s">
        <v>627</v>
      </c>
      <c r="F433" s="8" t="s">
        <v>627</v>
      </c>
      <c r="G433" s="320">
        <v>88965</v>
      </c>
    </row>
    <row r="434" spans="1:8" ht="14.25" customHeight="1" thickBot="1">
      <c r="A434" s="8" t="s">
        <v>628</v>
      </c>
      <c r="B434" s="131">
        <v>63288</v>
      </c>
      <c r="C434" s="8" t="s">
        <v>598</v>
      </c>
      <c r="D434" s="8" t="s">
        <v>629</v>
      </c>
      <c r="F434" s="8" t="s">
        <v>629</v>
      </c>
      <c r="G434" s="320">
        <v>63288</v>
      </c>
    </row>
    <row r="435" spans="1:8" ht="14.25" customHeight="1" thickBot="1">
      <c r="A435" s="8" t="s">
        <v>630</v>
      </c>
      <c r="B435" s="131">
        <v>45742</v>
      </c>
      <c r="C435" s="8" t="s">
        <v>516</v>
      </c>
      <c r="D435" s="8" t="s">
        <v>631</v>
      </c>
      <c r="F435" s="8" t="s">
        <v>631</v>
      </c>
      <c r="G435" s="320">
        <v>45742</v>
      </c>
    </row>
    <row r="436" spans="1:8" ht="14.25" customHeight="1" thickBot="1">
      <c r="A436" s="8" t="s">
        <v>366</v>
      </c>
      <c r="B436" s="131">
        <v>88354</v>
      </c>
      <c r="C436" s="8" t="s">
        <v>421</v>
      </c>
      <c r="D436" s="8" t="s">
        <v>632</v>
      </c>
      <c r="F436" s="8" t="s">
        <v>632</v>
      </c>
      <c r="G436" s="320">
        <v>88354</v>
      </c>
    </row>
    <row r="437" spans="1:8" ht="14.25" customHeight="1" thickBot="1">
      <c r="A437" s="8" t="s">
        <v>633</v>
      </c>
      <c r="B437" s="131">
        <v>76641</v>
      </c>
      <c r="C437" s="8" t="s">
        <v>421</v>
      </c>
      <c r="D437" s="8" t="s">
        <v>634</v>
      </c>
      <c r="F437" s="8" t="s">
        <v>634</v>
      </c>
      <c r="G437" s="320">
        <v>76641</v>
      </c>
    </row>
    <row r="438" spans="1:8" ht="14.25" customHeight="1" thickBot="1">
      <c r="A438" s="8" t="s">
        <v>635</v>
      </c>
      <c r="B438" s="131">
        <v>61678</v>
      </c>
      <c r="C438" s="8" t="s">
        <v>516</v>
      </c>
      <c r="D438" s="8" t="s">
        <v>636</v>
      </c>
      <c r="F438" s="8" t="s">
        <v>636</v>
      </c>
      <c r="G438" s="320">
        <v>61678</v>
      </c>
    </row>
    <row r="439" spans="1:8" ht="14.25" customHeight="1"/>
    <row r="440" spans="1:8" ht="14.25" customHeight="1"/>
    <row r="441" spans="1:8" ht="14.25" customHeight="1"/>
    <row r="442" spans="1:8" ht="14.25" customHeight="1"/>
    <row r="443" spans="1:8" ht="14.25" customHeight="1">
      <c r="A443" s="327" t="s">
        <v>637</v>
      </c>
      <c r="B443" s="327"/>
      <c r="C443" s="327"/>
      <c r="D443" s="327"/>
      <c r="E443" s="327"/>
      <c r="F443" s="327"/>
      <c r="G443" s="327"/>
      <c r="H443" s="327"/>
    </row>
    <row r="444" spans="1:8" ht="14.25" customHeight="1">
      <c r="A444" s="327"/>
      <c r="B444" s="327"/>
      <c r="C444" s="327"/>
      <c r="D444" s="327"/>
      <c r="E444" s="327"/>
      <c r="F444" s="327"/>
      <c r="G444" s="327"/>
      <c r="H444" s="327"/>
    </row>
    <row r="445" spans="1:8" ht="14.25" customHeight="1">
      <c r="A445" s="130" t="s">
        <v>591</v>
      </c>
      <c r="B445" s="130" t="s">
        <v>592</v>
      </c>
      <c r="C445" s="130" t="s">
        <v>282</v>
      </c>
      <c r="D445" s="130" t="s">
        <v>593</v>
      </c>
      <c r="E445" s="130"/>
      <c r="F445" s="130" t="s">
        <v>593</v>
      </c>
      <c r="G445" s="130" t="s">
        <v>594</v>
      </c>
    </row>
    <row r="446" spans="1:8" ht="14.25" customHeight="1">
      <c r="A446" s="8" t="s">
        <v>595</v>
      </c>
      <c r="B446" s="131">
        <v>92671</v>
      </c>
      <c r="C446" s="8" t="s">
        <v>136</v>
      </c>
      <c r="D446" s="8" t="s">
        <v>596</v>
      </c>
      <c r="F446" s="8" t="s">
        <v>596</v>
      </c>
      <c r="G446" s="131">
        <v>92671</v>
      </c>
    </row>
    <row r="447" spans="1:8" ht="14.25" customHeight="1">
      <c r="A447" s="8" t="s">
        <v>597</v>
      </c>
      <c r="B447" s="131">
        <v>84120</v>
      </c>
      <c r="C447" s="8" t="s">
        <v>598</v>
      </c>
      <c r="D447" s="8" t="s">
        <v>599</v>
      </c>
      <c r="F447" s="8" t="s">
        <v>599</v>
      </c>
      <c r="G447" s="319">
        <v>84120</v>
      </c>
    </row>
    <row r="448" spans="1:8" ht="14.25" customHeight="1">
      <c r="A448" s="8" t="s">
        <v>600</v>
      </c>
      <c r="B448" s="131">
        <v>50793</v>
      </c>
      <c r="C448" s="8" t="s">
        <v>421</v>
      </c>
      <c r="D448" s="8" t="s">
        <v>601</v>
      </c>
      <c r="F448" s="8" t="s">
        <v>601</v>
      </c>
      <c r="G448" s="319">
        <v>50793</v>
      </c>
    </row>
    <row r="449" spans="1:13" ht="14.25" customHeight="1">
      <c r="A449" s="8" t="s">
        <v>602</v>
      </c>
      <c r="B449" s="131">
        <v>77833</v>
      </c>
      <c r="C449" s="8" t="s">
        <v>603</v>
      </c>
      <c r="D449" s="8" t="s">
        <v>604</v>
      </c>
      <c r="F449" s="8" t="s">
        <v>604</v>
      </c>
      <c r="G449" s="319">
        <v>77833</v>
      </c>
    </row>
    <row r="450" spans="1:13" ht="14.25" customHeight="1">
      <c r="A450" s="8" t="s">
        <v>605</v>
      </c>
      <c r="B450" s="131">
        <v>58914</v>
      </c>
      <c r="C450" s="8" t="s">
        <v>441</v>
      </c>
      <c r="D450" s="8" t="s">
        <v>606</v>
      </c>
      <c r="F450" s="8" t="s">
        <v>606</v>
      </c>
      <c r="G450" s="319">
        <v>58914</v>
      </c>
    </row>
    <row r="451" spans="1:13" ht="14.25" customHeight="1">
      <c r="A451" s="8" t="s">
        <v>607</v>
      </c>
      <c r="B451" s="131">
        <v>51096</v>
      </c>
      <c r="C451" s="8" t="s">
        <v>608</v>
      </c>
      <c r="D451" s="8" t="s">
        <v>609</v>
      </c>
      <c r="F451" s="8" t="s">
        <v>609</v>
      </c>
      <c r="G451" s="319">
        <v>51096</v>
      </c>
    </row>
    <row r="452" spans="1:13" ht="14.25" customHeight="1">
      <c r="A452" s="8" t="s">
        <v>610</v>
      </c>
      <c r="B452" s="131">
        <v>83735</v>
      </c>
      <c r="C452" s="8" t="s">
        <v>421</v>
      </c>
      <c r="D452" s="8" t="s">
        <v>611</v>
      </c>
      <c r="F452" s="8" t="s">
        <v>611</v>
      </c>
      <c r="G452" s="319">
        <v>83735</v>
      </c>
    </row>
    <row r="453" spans="1:13" ht="14.25" customHeight="1">
      <c r="A453" s="8" t="s">
        <v>612</v>
      </c>
      <c r="B453" s="131">
        <v>74418</v>
      </c>
      <c r="C453" s="8" t="s">
        <v>608</v>
      </c>
      <c r="D453" s="8" t="s">
        <v>613</v>
      </c>
      <c r="F453" s="8" t="s">
        <v>613</v>
      </c>
      <c r="G453" s="319">
        <v>74418</v>
      </c>
      <c r="I453" s="249" t="s">
        <v>1025</v>
      </c>
      <c r="J453" s="250"/>
      <c r="K453" s="250"/>
      <c r="L453" s="250"/>
      <c r="M453" s="250"/>
    </row>
    <row r="454" spans="1:13" ht="14.25" customHeight="1">
      <c r="A454" s="8" t="s">
        <v>614</v>
      </c>
      <c r="B454" s="131">
        <v>51366</v>
      </c>
      <c r="C454" s="8" t="s">
        <v>136</v>
      </c>
      <c r="D454" s="8" t="s">
        <v>615</v>
      </c>
      <c r="F454" s="8" t="s">
        <v>615</v>
      </c>
      <c r="G454" s="319">
        <v>51366</v>
      </c>
      <c r="I454" s="184">
        <f>COUNTIF(A419:D438,"HR")</f>
        <v>1</v>
      </c>
      <c r="J454" s="185">
        <f>COUNTIF(A419:D438,"IT")</f>
        <v>3</v>
      </c>
      <c r="K454" s="186">
        <f>COUNTIF(A419:D438,"Marketing")</f>
        <v>5</v>
      </c>
    </row>
    <row r="455" spans="1:13" ht="14.25" customHeight="1">
      <c r="A455" s="8" t="s">
        <v>616</v>
      </c>
      <c r="B455" s="131">
        <v>54600</v>
      </c>
      <c r="C455" s="8" t="s">
        <v>441</v>
      </c>
      <c r="D455" s="8" t="s">
        <v>617</v>
      </c>
      <c r="F455" s="8" t="s">
        <v>617</v>
      </c>
      <c r="G455" s="319">
        <v>54600</v>
      </c>
    </row>
    <row r="456" spans="1:13" ht="14.25" customHeight="1">
      <c r="A456" s="8" t="s">
        <v>618</v>
      </c>
      <c r="B456" s="131">
        <v>93509</v>
      </c>
      <c r="C456" s="8" t="s">
        <v>598</v>
      </c>
      <c r="D456" s="8" t="s">
        <v>619</v>
      </c>
      <c r="F456" s="8" t="s">
        <v>619</v>
      </c>
      <c r="G456" s="319">
        <v>93509</v>
      </c>
      <c r="I456" s="251" t="s">
        <v>1028</v>
      </c>
      <c r="J456" s="250"/>
      <c r="K456" s="250"/>
      <c r="L456" s="250"/>
      <c r="M456" s="250"/>
    </row>
    <row r="457" spans="1:13" ht="14.25" customHeight="1">
      <c r="A457" s="8" t="s">
        <v>620</v>
      </c>
      <c r="B457" s="131">
        <v>80105</v>
      </c>
      <c r="C457" s="8" t="s">
        <v>441</v>
      </c>
      <c r="D457" s="8" t="s">
        <v>621</v>
      </c>
      <c r="F457" s="8" t="s">
        <v>621</v>
      </c>
      <c r="G457" s="319">
        <v>80105</v>
      </c>
      <c r="J457">
        <f>SUMIF(A446:A465,"santosh",B446:B465)</f>
        <v>93509</v>
      </c>
    </row>
    <row r="458" spans="1:13" ht="14.25" customHeight="1">
      <c r="A458" s="8" t="s">
        <v>622</v>
      </c>
      <c r="B458" s="131">
        <v>60802</v>
      </c>
      <c r="C458" s="8" t="s">
        <v>421</v>
      </c>
      <c r="D458" s="8" t="s">
        <v>623</v>
      </c>
      <c r="F458" s="8" t="s">
        <v>623</v>
      </c>
      <c r="G458" s="319">
        <v>60802</v>
      </c>
    </row>
    <row r="459" spans="1:13" ht="14.25" customHeight="1">
      <c r="A459" s="8" t="s">
        <v>624</v>
      </c>
      <c r="B459" s="131">
        <v>76260</v>
      </c>
      <c r="C459" s="8" t="s">
        <v>516</v>
      </c>
      <c r="D459" s="8" t="s">
        <v>625</v>
      </c>
      <c r="F459" s="8" t="s">
        <v>625</v>
      </c>
      <c r="G459" s="319">
        <v>76260</v>
      </c>
      <c r="I459" s="251" t="s">
        <v>1029</v>
      </c>
      <c r="J459" s="250"/>
      <c r="K459" s="250"/>
      <c r="L459" s="250"/>
      <c r="M459" s="250"/>
    </row>
    <row r="460" spans="1:13" ht="14.25" customHeight="1">
      <c r="A460" s="8" t="s">
        <v>626</v>
      </c>
      <c r="B460" s="131">
        <v>88965</v>
      </c>
      <c r="C460" s="8" t="s">
        <v>608</v>
      </c>
      <c r="D460" s="8" t="s">
        <v>627</v>
      </c>
      <c r="F460" s="8" t="s">
        <v>627</v>
      </c>
      <c r="G460" s="319">
        <v>88965</v>
      </c>
      <c r="J460" s="321">
        <f>SUMIF(C446:C465,"IT",B446:B465)</f>
        <v>214479</v>
      </c>
      <c r="K460" s="322">
        <f>SUMIF(C446:C465,"Marketing",B446:B465)</f>
        <v>360325</v>
      </c>
      <c r="L460" s="348">
        <f>SUM(J460:K460)</f>
        <v>574804</v>
      </c>
    </row>
    <row r="461" spans="1:13" ht="14.25" customHeight="1">
      <c r="A461" s="8" t="s">
        <v>628</v>
      </c>
      <c r="B461" s="131">
        <v>63288</v>
      </c>
      <c r="C461" s="8" t="s">
        <v>598</v>
      </c>
      <c r="D461" s="8" t="s">
        <v>629</v>
      </c>
      <c r="F461" s="8" t="s">
        <v>629</v>
      </c>
      <c r="G461" s="319">
        <v>63288</v>
      </c>
    </row>
    <row r="462" spans="1:13" ht="14.25" customHeight="1">
      <c r="A462" s="8" t="s">
        <v>630</v>
      </c>
      <c r="B462" s="131">
        <v>45742</v>
      </c>
      <c r="C462" s="8" t="s">
        <v>516</v>
      </c>
      <c r="D462" s="8" t="s">
        <v>631</v>
      </c>
      <c r="F462" s="8" t="s">
        <v>631</v>
      </c>
      <c r="G462" s="319">
        <v>45742</v>
      </c>
    </row>
    <row r="463" spans="1:13" ht="14.25" customHeight="1">
      <c r="A463" s="8" t="s">
        <v>366</v>
      </c>
      <c r="B463" s="131">
        <v>88354</v>
      </c>
      <c r="C463" s="8" t="s">
        <v>421</v>
      </c>
      <c r="D463" s="8" t="s">
        <v>632</v>
      </c>
      <c r="F463" s="8" t="s">
        <v>632</v>
      </c>
      <c r="G463" s="319">
        <v>88354</v>
      </c>
    </row>
    <row r="464" spans="1:13" ht="14.25" customHeight="1">
      <c r="A464" s="8" t="s">
        <v>633</v>
      </c>
      <c r="B464" s="131">
        <v>76641</v>
      </c>
      <c r="C464" s="8" t="s">
        <v>421</v>
      </c>
      <c r="D464" s="8" t="s">
        <v>634</v>
      </c>
      <c r="F464" s="8" t="s">
        <v>634</v>
      </c>
      <c r="G464" s="319">
        <v>76641</v>
      </c>
    </row>
    <row r="465" spans="1:7" ht="14.25" customHeight="1">
      <c r="A465" s="8" t="s">
        <v>635</v>
      </c>
      <c r="B465" s="131">
        <v>61678</v>
      </c>
      <c r="C465" s="8" t="s">
        <v>516</v>
      </c>
      <c r="D465" s="8" t="s">
        <v>636</v>
      </c>
      <c r="F465" s="8" t="s">
        <v>636</v>
      </c>
      <c r="G465" s="319">
        <v>61678</v>
      </c>
    </row>
    <row r="466" spans="1:7" ht="14.25" customHeight="1"/>
    <row r="467" spans="1:7" ht="14.25" customHeight="1"/>
    <row r="468" spans="1:7" ht="14.25" customHeight="1"/>
    <row r="469" spans="1:7" ht="14.25" customHeight="1"/>
    <row r="470" spans="1:7" ht="14.25" customHeight="1"/>
    <row r="471" spans="1:7" ht="14.25" customHeight="1">
      <c r="A471" s="326" t="s">
        <v>638</v>
      </c>
      <c r="B471" s="326"/>
      <c r="C471" s="326"/>
      <c r="D471" s="326"/>
      <c r="E471" s="326"/>
      <c r="F471" s="326"/>
      <c r="G471" s="326"/>
    </row>
    <row r="472" spans="1:7" ht="14.25" customHeight="1">
      <c r="A472" s="326"/>
      <c r="B472" s="326"/>
      <c r="C472" s="326"/>
      <c r="D472" s="326"/>
      <c r="E472" s="326"/>
      <c r="F472" s="326"/>
      <c r="G472" s="326"/>
    </row>
    <row r="473" spans="1:7" ht="14.25" customHeight="1">
      <c r="A473" s="130" t="s">
        <v>359</v>
      </c>
      <c r="B473" s="130" t="s">
        <v>281</v>
      </c>
      <c r="C473" s="130" t="s">
        <v>273</v>
      </c>
      <c r="D473" s="130" t="s">
        <v>274</v>
      </c>
      <c r="E473" s="130" t="s">
        <v>359</v>
      </c>
      <c r="F473" s="130" t="s">
        <v>639</v>
      </c>
      <c r="G473" s="130" t="s">
        <v>640</v>
      </c>
    </row>
    <row r="474" spans="1:7" ht="14.25" customHeight="1">
      <c r="A474" s="8" t="s">
        <v>643</v>
      </c>
      <c r="B474" s="129" t="s">
        <v>641</v>
      </c>
      <c r="C474" s="8" t="s">
        <v>642</v>
      </c>
      <c r="D474" s="8" t="s">
        <v>642</v>
      </c>
      <c r="E474" s="8" t="s">
        <v>643</v>
      </c>
      <c r="F474" s="8" t="s">
        <v>642</v>
      </c>
      <c r="G474" t="b">
        <f>AND(C474="pass",D474="pass",E474="pass",F474="pass")</f>
        <v>0</v>
      </c>
    </row>
    <row r="475" spans="1:7" ht="14.25" customHeight="1">
      <c r="A475" s="8" t="s">
        <v>642</v>
      </c>
      <c r="B475" s="129" t="s">
        <v>644</v>
      </c>
      <c r="C475" s="8" t="s">
        <v>642</v>
      </c>
      <c r="D475" s="8" t="s">
        <v>642</v>
      </c>
      <c r="E475" s="8" t="s">
        <v>642</v>
      </c>
      <c r="F475" s="8" t="s">
        <v>642</v>
      </c>
      <c r="G475" s="8" t="b">
        <f>AND(C475="Pass",D475="pass",E475="pass",F475="pass")</f>
        <v>1</v>
      </c>
    </row>
    <row r="476" spans="1:7" ht="14.25" customHeight="1">
      <c r="A476" s="8" t="s">
        <v>642</v>
      </c>
      <c r="B476" s="129" t="s">
        <v>645</v>
      </c>
      <c r="C476" s="8" t="s">
        <v>642</v>
      </c>
      <c r="D476" s="8" t="s">
        <v>643</v>
      </c>
      <c r="E476" s="8" t="s">
        <v>642</v>
      </c>
      <c r="F476" s="8" t="s">
        <v>642</v>
      </c>
      <c r="G476" t="b">
        <f>AND(C476="pass",D476="pass",E476="pass",F476="pass")</f>
        <v>0</v>
      </c>
    </row>
    <row r="477" spans="1:7" ht="14.25" customHeight="1">
      <c r="A477" s="8" t="s">
        <v>642</v>
      </c>
      <c r="B477" s="129" t="s">
        <v>646</v>
      </c>
      <c r="C477" s="8" t="s">
        <v>642</v>
      </c>
      <c r="D477" s="8" t="s">
        <v>642</v>
      </c>
      <c r="E477" s="8" t="s">
        <v>642</v>
      </c>
      <c r="F477" s="8" t="s">
        <v>642</v>
      </c>
      <c r="G477" t="b">
        <f t="shared" ref="G477:G482" si="25">AND(C477="pass",D477="pass",E477="pass",F477="pass")</f>
        <v>1</v>
      </c>
    </row>
    <row r="478" spans="1:7" ht="14.25" customHeight="1">
      <c r="A478" s="8" t="s">
        <v>642</v>
      </c>
      <c r="B478" s="129" t="s">
        <v>62</v>
      </c>
      <c r="C478" s="8" t="s">
        <v>642</v>
      </c>
      <c r="D478" s="8" t="s">
        <v>643</v>
      </c>
      <c r="E478" s="8" t="s">
        <v>642</v>
      </c>
      <c r="F478" s="8" t="s">
        <v>642</v>
      </c>
      <c r="G478" t="b">
        <f t="shared" si="25"/>
        <v>0</v>
      </c>
    </row>
    <row r="479" spans="1:7" ht="14.25" customHeight="1">
      <c r="A479" s="8" t="s">
        <v>642</v>
      </c>
      <c r="B479" s="129" t="s">
        <v>647</v>
      </c>
      <c r="C479" s="8" t="s">
        <v>643</v>
      </c>
      <c r="D479" s="8" t="s">
        <v>642</v>
      </c>
      <c r="E479" s="8" t="s">
        <v>642</v>
      </c>
      <c r="F479" s="8" t="s">
        <v>642</v>
      </c>
      <c r="G479" t="b">
        <f t="shared" si="25"/>
        <v>0</v>
      </c>
    </row>
    <row r="480" spans="1:7" ht="14.25" customHeight="1">
      <c r="A480" s="8" t="s">
        <v>642</v>
      </c>
      <c r="B480" s="129" t="s">
        <v>648</v>
      </c>
      <c r="C480" s="8" t="s">
        <v>642</v>
      </c>
      <c r="D480" s="8" t="s">
        <v>642</v>
      </c>
      <c r="E480" s="8" t="s">
        <v>642</v>
      </c>
      <c r="F480" s="8" t="s">
        <v>643</v>
      </c>
      <c r="G480" t="b">
        <f t="shared" si="25"/>
        <v>0</v>
      </c>
    </row>
    <row r="481" spans="1:8" ht="14.25" customHeight="1">
      <c r="A481" s="8" t="s">
        <v>643</v>
      </c>
      <c r="B481" s="129" t="s">
        <v>649</v>
      </c>
      <c r="C481" s="8" t="s">
        <v>642</v>
      </c>
      <c r="D481" s="8" t="s">
        <v>642</v>
      </c>
      <c r="E481" s="8" t="s">
        <v>643</v>
      </c>
      <c r="F481" s="8" t="s">
        <v>642</v>
      </c>
      <c r="G481" t="b">
        <f t="shared" si="25"/>
        <v>0</v>
      </c>
    </row>
    <row r="482" spans="1:8" ht="14.25" customHeight="1">
      <c r="A482" s="8" t="s">
        <v>642</v>
      </c>
      <c r="B482" s="129" t="s">
        <v>301</v>
      </c>
      <c r="C482" s="8" t="s">
        <v>642</v>
      </c>
      <c r="D482" s="8" t="s">
        <v>642</v>
      </c>
      <c r="E482" s="8" t="s">
        <v>642</v>
      </c>
      <c r="F482" s="8" t="s">
        <v>642</v>
      </c>
      <c r="G482" t="b">
        <f t="shared" si="25"/>
        <v>1</v>
      </c>
    </row>
    <row r="483" spans="1:8" ht="14.25" customHeight="1"/>
    <row r="484" spans="1:8" ht="14.25" customHeight="1"/>
    <row r="485" spans="1:8" ht="14.25" customHeight="1">
      <c r="A485" s="243" t="s">
        <v>650</v>
      </c>
      <c r="B485" s="243"/>
      <c r="C485" s="243"/>
      <c r="D485" s="243"/>
      <c r="E485" s="243"/>
      <c r="F485" s="243"/>
      <c r="G485" s="243"/>
      <c r="H485" s="243"/>
    </row>
    <row r="486" spans="1:8" ht="14.25" customHeight="1">
      <c r="A486" s="243"/>
      <c r="B486" s="243"/>
      <c r="C486" s="243"/>
      <c r="D486" s="243"/>
      <c r="E486" s="243"/>
      <c r="F486" s="243"/>
      <c r="G486" s="243"/>
      <c r="H486" s="243"/>
    </row>
    <row r="487" spans="1:8" ht="14.25" customHeight="1"/>
    <row r="488" spans="1:8" ht="14.25" customHeight="1">
      <c r="A488" s="104"/>
      <c r="B488" s="104" t="s">
        <v>494</v>
      </c>
      <c r="C488" s="104" t="s">
        <v>651</v>
      </c>
      <c r="D488" s="104"/>
      <c r="E488" s="104" t="s">
        <v>652</v>
      </c>
      <c r="F488" s="104" t="s">
        <v>653</v>
      </c>
      <c r="G488" s="104" t="s">
        <v>654</v>
      </c>
    </row>
    <row r="489" spans="1:8" ht="14.25" customHeight="1">
      <c r="A489" s="8"/>
      <c r="B489" s="8" t="s">
        <v>0</v>
      </c>
      <c r="C489" s="132">
        <v>250</v>
      </c>
      <c r="E489" s="8" t="s">
        <v>386</v>
      </c>
      <c r="F489" s="8" t="s">
        <v>655</v>
      </c>
      <c r="G489" s="8">
        <v>90</v>
      </c>
    </row>
    <row r="490" spans="1:8" ht="14.25" customHeight="1">
      <c r="A490" s="8"/>
      <c r="B490" s="8" t="s">
        <v>3</v>
      </c>
      <c r="C490" s="132">
        <v>110</v>
      </c>
      <c r="E490" s="8" t="s">
        <v>656</v>
      </c>
      <c r="F490" s="8" t="s">
        <v>657</v>
      </c>
      <c r="G490" s="8">
        <v>77</v>
      </c>
    </row>
    <row r="491" spans="1:8" ht="14.25" customHeight="1">
      <c r="A491" s="8"/>
      <c r="B491" s="8" t="s">
        <v>4</v>
      </c>
      <c r="C491" s="132">
        <v>300</v>
      </c>
      <c r="E491" s="8" t="s">
        <v>658</v>
      </c>
      <c r="F491" s="8" t="s">
        <v>655</v>
      </c>
      <c r="G491" s="8">
        <v>80</v>
      </c>
    </row>
    <row r="492" spans="1:8" ht="14.25" customHeight="1">
      <c r="A492" s="8"/>
      <c r="B492" s="8" t="s">
        <v>1</v>
      </c>
      <c r="C492" s="132">
        <v>50</v>
      </c>
      <c r="E492" s="8" t="s">
        <v>659</v>
      </c>
      <c r="F492" s="8" t="s">
        <v>655</v>
      </c>
      <c r="G492" s="8">
        <v>65</v>
      </c>
    </row>
    <row r="493" spans="1:8" ht="14.25" customHeight="1">
      <c r="A493" s="8"/>
      <c r="B493" s="8" t="s">
        <v>2</v>
      </c>
      <c r="C493" s="132">
        <v>45</v>
      </c>
      <c r="E493" s="8" t="s">
        <v>660</v>
      </c>
      <c r="F493" s="8" t="s">
        <v>657</v>
      </c>
      <c r="G493" s="8">
        <v>45</v>
      </c>
    </row>
    <row r="494" spans="1:8" ht="14.25" customHeight="1">
      <c r="A494" s="8"/>
      <c r="B494" s="8" t="s">
        <v>3</v>
      </c>
      <c r="C494" s="132">
        <v>23</v>
      </c>
      <c r="E494" s="8" t="s">
        <v>661</v>
      </c>
      <c r="F494" s="8" t="s">
        <v>657</v>
      </c>
      <c r="G494" s="8">
        <v>55</v>
      </c>
    </row>
    <row r="495" spans="1:8" ht="14.25" customHeight="1">
      <c r="B495" s="8" t="s">
        <v>5</v>
      </c>
      <c r="C495" s="132">
        <v>25</v>
      </c>
    </row>
    <row r="496" spans="1:8" ht="14.25" customHeight="1">
      <c r="A496" s="87"/>
      <c r="B496" s="8" t="s">
        <v>0</v>
      </c>
      <c r="C496" s="132">
        <v>90</v>
      </c>
      <c r="E496" s="87" t="s">
        <v>655</v>
      </c>
      <c r="F496" s="238"/>
      <c r="G496" s="191"/>
    </row>
    <row r="497" spans="1:7" ht="14.25" customHeight="1">
      <c r="A497" s="87"/>
      <c r="B497" s="8" t="s">
        <v>3</v>
      </c>
      <c r="C497" s="132">
        <v>450</v>
      </c>
      <c r="E497" s="87" t="s">
        <v>657</v>
      </c>
      <c r="F497" s="238"/>
      <c r="G497" s="191"/>
    </row>
    <row r="498" spans="1:7" ht="14.25" customHeight="1">
      <c r="B498" s="8" t="s">
        <v>2</v>
      </c>
      <c r="C498" s="132">
        <v>23</v>
      </c>
    </row>
    <row r="499" spans="1:7" ht="14.25" customHeight="1">
      <c r="B499" s="8" t="s">
        <v>0</v>
      </c>
      <c r="C499" s="132">
        <v>250</v>
      </c>
    </row>
    <row r="500" spans="1:7" ht="14.25" customHeight="1">
      <c r="B500" s="8" t="s">
        <v>1</v>
      </c>
      <c r="C500" s="132">
        <v>25</v>
      </c>
    </row>
    <row r="501" spans="1:7" ht="14.25" customHeight="1"/>
    <row r="502" spans="1:7" ht="14.25" customHeight="1"/>
    <row r="503" spans="1:7" ht="14.25" customHeight="1">
      <c r="B503" s="133" t="s">
        <v>662</v>
      </c>
      <c r="C503">
        <f>COUNTIF(B489:B500,"B")</f>
        <v>2</v>
      </c>
    </row>
    <row r="504" spans="1:7" ht="14.25" customHeight="1">
      <c r="B504" s="133" t="s">
        <v>663</v>
      </c>
    </row>
    <row r="505" spans="1:7" ht="14.25" customHeight="1"/>
    <row r="506" spans="1:7" ht="14.25" customHeight="1">
      <c r="A506" s="134"/>
      <c r="B506" s="134" t="s">
        <v>664</v>
      </c>
      <c r="C506" s="134" t="s">
        <v>665</v>
      </c>
      <c r="D506" s="134" t="s">
        <v>516</v>
      </c>
      <c r="E506" s="134"/>
      <c r="F506" s="134" t="s">
        <v>494</v>
      </c>
      <c r="G506" s="134" t="s">
        <v>651</v>
      </c>
    </row>
    <row r="507" spans="1:7" ht="14.25" customHeight="1">
      <c r="B507" s="8" t="s">
        <v>588</v>
      </c>
      <c r="F507" s="8" t="s">
        <v>0</v>
      </c>
      <c r="G507" s="8">
        <v>250</v>
      </c>
    </row>
    <row r="508" spans="1:7" ht="14.25" customHeight="1">
      <c r="B508" s="8" t="s">
        <v>139</v>
      </c>
      <c r="F508" s="8" t="s">
        <v>3</v>
      </c>
      <c r="G508" s="8">
        <v>110</v>
      </c>
    </row>
    <row r="509" spans="1:7" ht="14.25" customHeight="1">
      <c r="B509" s="8" t="s">
        <v>587</v>
      </c>
      <c r="F509" s="8" t="s">
        <v>4</v>
      </c>
      <c r="G509" s="8">
        <v>300</v>
      </c>
    </row>
    <row r="510" spans="1:7" ht="14.25" customHeight="1">
      <c r="B510" s="8" t="s">
        <v>587</v>
      </c>
      <c r="F510" s="8" t="s">
        <v>1</v>
      </c>
      <c r="G510" s="8">
        <v>50</v>
      </c>
    </row>
    <row r="511" spans="1:7" ht="14.25" customHeight="1">
      <c r="B511" s="8" t="s">
        <v>589</v>
      </c>
      <c r="F511" s="8" t="s">
        <v>2</v>
      </c>
      <c r="G511" s="8">
        <v>45</v>
      </c>
    </row>
    <row r="512" spans="1:7" ht="14.25" customHeight="1">
      <c r="B512" s="8" t="s">
        <v>139</v>
      </c>
      <c r="F512" s="8" t="s">
        <v>3</v>
      </c>
      <c r="G512" s="8">
        <v>23</v>
      </c>
    </row>
    <row r="513" spans="2:10" ht="14.25" customHeight="1">
      <c r="B513" s="8" t="s">
        <v>588</v>
      </c>
      <c r="F513" s="8" t="s">
        <v>5</v>
      </c>
      <c r="G513" s="8">
        <v>25</v>
      </c>
    </row>
    <row r="514" spans="2:10" ht="14.25" customHeight="1">
      <c r="B514" s="8" t="s">
        <v>587</v>
      </c>
      <c r="F514" s="8" t="s">
        <v>0</v>
      </c>
      <c r="G514" s="8">
        <v>90</v>
      </c>
    </row>
    <row r="515" spans="2:10" ht="14.25" customHeight="1">
      <c r="B515" s="8" t="s">
        <v>589</v>
      </c>
      <c r="F515" s="8" t="s">
        <v>3</v>
      </c>
      <c r="G515" s="8">
        <v>450</v>
      </c>
    </row>
    <row r="516" spans="2:10" ht="14.25" customHeight="1">
      <c r="B516" s="8" t="s">
        <v>588</v>
      </c>
      <c r="F516" s="8" t="s">
        <v>2</v>
      </c>
      <c r="G516" s="8">
        <v>23</v>
      </c>
    </row>
    <row r="517" spans="2:10" ht="14.25" customHeight="1">
      <c r="B517" s="8" t="s">
        <v>587</v>
      </c>
      <c r="F517" s="8" t="s">
        <v>0</v>
      </c>
      <c r="G517" s="8">
        <v>250</v>
      </c>
    </row>
    <row r="518" spans="2:10" ht="14.25" customHeight="1">
      <c r="B518" s="8" t="s">
        <v>589</v>
      </c>
      <c r="F518" s="8" t="s">
        <v>1</v>
      </c>
      <c r="G518" s="8">
        <v>25</v>
      </c>
    </row>
    <row r="519" spans="2:10" ht="14.25" customHeight="1">
      <c r="G519" s="8" t="s">
        <v>666</v>
      </c>
    </row>
    <row r="520" spans="2:10" ht="14.25" customHeight="1"/>
    <row r="521" spans="2:10" ht="14.25" customHeight="1">
      <c r="F521" s="135" t="s">
        <v>667</v>
      </c>
      <c r="G521">
        <f>COUNTIF(G507:G518,"&gt;250")</f>
        <v>2</v>
      </c>
    </row>
    <row r="522" spans="2:10" ht="14.25" customHeight="1">
      <c r="F522" s="135" t="s">
        <v>668</v>
      </c>
      <c r="G522">
        <f>COUNTIF(G507:G518,"&lt;100")</f>
        <v>7</v>
      </c>
    </row>
    <row r="523" spans="2:10" ht="14.25" customHeight="1"/>
    <row r="524" spans="2:10" ht="14.25" customHeight="1"/>
    <row r="525" spans="2:10" ht="14.25" customHeight="1">
      <c r="B525" s="239" t="s">
        <v>669</v>
      </c>
      <c r="C525" s="191"/>
      <c r="D525" s="191"/>
      <c r="E525" s="191"/>
      <c r="F525" s="191"/>
      <c r="G525" s="191"/>
      <c r="H525" s="191"/>
      <c r="I525" s="191"/>
      <c r="J525" s="191"/>
    </row>
    <row r="526" spans="2:10" ht="14.25" customHeight="1">
      <c r="B526" s="191"/>
      <c r="C526" s="191"/>
      <c r="D526" s="191"/>
      <c r="E526" s="191"/>
      <c r="F526" s="191"/>
      <c r="G526" s="191"/>
      <c r="H526" s="191"/>
      <c r="I526" s="191"/>
      <c r="J526" s="191"/>
    </row>
    <row r="527" spans="2:10" ht="14.25" customHeight="1"/>
    <row r="528" spans="2:10" ht="14.25" customHeight="1">
      <c r="B528" s="136" t="s">
        <v>670</v>
      </c>
      <c r="C528" s="136" t="s">
        <v>671</v>
      </c>
      <c r="D528" s="137" t="s">
        <v>672</v>
      </c>
      <c r="F528" s="136" t="s">
        <v>670</v>
      </c>
      <c r="G528" s="136" t="s">
        <v>671</v>
      </c>
      <c r="H528" s="138" t="s">
        <v>317</v>
      </c>
    </row>
    <row r="529" spans="2:8" ht="14.25" customHeight="1">
      <c r="B529" s="52" t="s">
        <v>673</v>
      </c>
      <c r="C529" s="52" t="s">
        <v>674</v>
      </c>
      <c r="D529" s="351" t="str">
        <f>IF(B529=C529,"matching","not matching")</f>
        <v>not matching</v>
      </c>
      <c r="F529" s="52">
        <v>343749</v>
      </c>
      <c r="G529" s="52">
        <v>160466</v>
      </c>
      <c r="H529">
        <f>VLOOKUP(G529,F528:G536,1,0)</f>
        <v>160466</v>
      </c>
    </row>
    <row r="530" spans="2:8" ht="14.25" customHeight="1">
      <c r="B530" s="52" t="s">
        <v>675</v>
      </c>
      <c r="C530" s="52" t="s">
        <v>675</v>
      </c>
      <c r="D530" s="351" t="str">
        <f t="shared" ref="D530:D533" si="26">IF(B530=C530,"matching","not matching")</f>
        <v>matching</v>
      </c>
      <c r="F530" s="52">
        <v>183257</v>
      </c>
      <c r="G530" s="52">
        <v>183258</v>
      </c>
      <c r="H530" t="e">
        <f>VLOOKUP(G530,F528:G536,1,0)</f>
        <v>#N/A</v>
      </c>
    </row>
    <row r="531" spans="2:8" ht="14.25" customHeight="1">
      <c r="B531" s="52" t="s">
        <v>676</v>
      </c>
      <c r="C531" s="52" t="s">
        <v>677</v>
      </c>
      <c r="D531" s="351" t="str">
        <f t="shared" si="26"/>
        <v>not matching</v>
      </c>
      <c r="F531" s="52">
        <v>160466</v>
      </c>
      <c r="G531" s="52">
        <v>249447</v>
      </c>
      <c r="H531">
        <f>VLOOKUP(G531,F528:G536,1,0)</f>
        <v>249447</v>
      </c>
    </row>
    <row r="532" spans="2:8" ht="14.25" customHeight="1">
      <c r="B532" s="52" t="s">
        <v>678</v>
      </c>
      <c r="C532" s="52" t="s">
        <v>679</v>
      </c>
      <c r="D532" s="351" t="str">
        <f t="shared" si="26"/>
        <v>matching</v>
      </c>
      <c r="F532" s="52">
        <v>249447</v>
      </c>
      <c r="G532" s="52">
        <v>343749</v>
      </c>
      <c r="H532">
        <f>VLOOKUP(G532,F528:G536,1,0)</f>
        <v>343749</v>
      </c>
    </row>
    <row r="533" spans="2:8" ht="14.25" customHeight="1">
      <c r="B533" s="52" t="s">
        <v>680</v>
      </c>
      <c r="C533" s="52" t="s">
        <v>681</v>
      </c>
      <c r="D533" s="351" t="str">
        <f t="shared" si="26"/>
        <v>not matching</v>
      </c>
      <c r="F533" s="52">
        <v>532765</v>
      </c>
      <c r="G533" s="52">
        <v>356160</v>
      </c>
      <c r="H533" t="e">
        <f>VLOOKUP(G533,F528:G536,1,0)</f>
        <v>#N/A</v>
      </c>
    </row>
    <row r="534" spans="2:8" ht="14.25" customHeight="1">
      <c r="F534" s="52">
        <v>356163</v>
      </c>
      <c r="G534" s="52">
        <v>379391</v>
      </c>
      <c r="H534">
        <f>VLOOKUP(G534,F528:G536,1,0)</f>
        <v>379391</v>
      </c>
    </row>
    <row r="535" spans="2:8" ht="14.25" customHeight="1">
      <c r="F535" s="52">
        <v>455292</v>
      </c>
      <c r="G535" s="52">
        <v>455292</v>
      </c>
      <c r="H535">
        <f>VLOOKUP(G535,F528:G536,1,0)</f>
        <v>455292</v>
      </c>
    </row>
    <row r="536" spans="2:8" ht="14.25" customHeight="1">
      <c r="F536" s="52">
        <v>379391</v>
      </c>
      <c r="G536" s="52">
        <v>532765</v>
      </c>
      <c r="H536">
        <f>VLOOKUP(G536,F528:G536,1,0)</f>
        <v>532765</v>
      </c>
    </row>
    <row r="537" spans="2:8" ht="14.25" customHeight="1"/>
    <row r="538" spans="2:8" ht="14.25" customHeight="1"/>
    <row r="539" spans="2:8" ht="14.25" customHeight="1"/>
    <row r="540" spans="2:8" ht="14.25" customHeight="1">
      <c r="B540" s="139" t="s">
        <v>682</v>
      </c>
      <c r="D540" s="139" t="s">
        <v>317</v>
      </c>
      <c r="F540" s="139" t="s">
        <v>683</v>
      </c>
    </row>
    <row r="541" spans="2:8" ht="14.25" customHeight="1">
      <c r="B541" s="52" t="s">
        <v>684</v>
      </c>
      <c r="D541" s="325" t="str">
        <f>VLOOKUP(B541,F541:F546,1,FALSE)</f>
        <v>Red</v>
      </c>
      <c r="F541" s="52" t="s">
        <v>684</v>
      </c>
    </row>
    <row r="542" spans="2:8" ht="14.25" customHeight="1">
      <c r="B542" s="52" t="s">
        <v>685</v>
      </c>
      <c r="D542" s="325" t="str">
        <f t="shared" ref="D542:D546" si="27">VLOOKUP(B542,F542:F547,1,FALSE)</f>
        <v>Yellow</v>
      </c>
      <c r="F542" s="52" t="s">
        <v>685</v>
      </c>
    </row>
    <row r="543" spans="2:8" ht="14.25" customHeight="1">
      <c r="B543" s="52" t="s">
        <v>686</v>
      </c>
      <c r="D543" s="325" t="str">
        <f t="shared" si="27"/>
        <v>Green</v>
      </c>
      <c r="F543" s="52" t="s">
        <v>687</v>
      </c>
    </row>
    <row r="544" spans="2:8" ht="14.25" customHeight="1">
      <c r="B544" s="52" t="s">
        <v>688</v>
      </c>
      <c r="D544" s="325" t="e">
        <f t="shared" si="27"/>
        <v>#N/A</v>
      </c>
      <c r="F544" s="52" t="s">
        <v>686</v>
      </c>
    </row>
    <row r="545" spans="1:11" ht="14.25" customHeight="1">
      <c r="B545" s="52" t="s">
        <v>542</v>
      </c>
      <c r="D545" s="325" t="str">
        <f t="shared" si="27"/>
        <v>Orange</v>
      </c>
      <c r="F545" s="52" t="s">
        <v>542</v>
      </c>
    </row>
    <row r="546" spans="1:11" ht="14.25" customHeight="1">
      <c r="B546" s="52" t="s">
        <v>689</v>
      </c>
      <c r="D546" s="325" t="e">
        <f t="shared" si="27"/>
        <v>#N/A</v>
      </c>
      <c r="F546" s="52" t="s">
        <v>690</v>
      </c>
    </row>
    <row r="547" spans="1:11" ht="14.25" customHeight="1"/>
    <row r="548" spans="1:11" ht="14.25" customHeight="1"/>
    <row r="549" spans="1:11" ht="14.25" customHeight="1"/>
    <row r="550" spans="1:11" ht="14.25" customHeight="1"/>
    <row r="551" spans="1:11" ht="14.25" customHeight="1"/>
    <row r="552" spans="1:11" ht="14.25" customHeight="1">
      <c r="A552" s="352" t="s">
        <v>691</v>
      </c>
      <c r="B552" s="352"/>
      <c r="C552" s="352"/>
      <c r="D552" s="352"/>
      <c r="E552" s="352"/>
      <c r="F552" s="352"/>
      <c r="G552" s="352"/>
      <c r="H552" s="352"/>
      <c r="I552" s="352"/>
      <c r="J552" s="352"/>
      <c r="K552" s="352"/>
    </row>
    <row r="553" spans="1:11" ht="14.25" customHeight="1">
      <c r="A553" s="352"/>
      <c r="B553" s="352"/>
      <c r="C553" s="352"/>
      <c r="D553" s="352"/>
      <c r="E553" s="352"/>
      <c r="F553" s="352"/>
      <c r="G553" s="352"/>
      <c r="H553" s="352"/>
      <c r="I553" s="352"/>
      <c r="J553" s="352"/>
      <c r="K553" s="352"/>
    </row>
    <row r="554" spans="1:11" ht="14.25" customHeight="1">
      <c r="A554" s="136" t="s">
        <v>410</v>
      </c>
      <c r="B554" s="136" t="s">
        <v>593</v>
      </c>
      <c r="C554" s="136" t="s">
        <v>381</v>
      </c>
      <c r="D554" s="136" t="s">
        <v>380</v>
      </c>
      <c r="E554" s="136" t="s">
        <v>410</v>
      </c>
    </row>
    <row r="555" spans="1:11" ht="14.25" customHeight="1">
      <c r="A555" s="52" t="s">
        <v>695</v>
      </c>
      <c r="B555" s="52" t="s">
        <v>692</v>
      </c>
      <c r="C555" s="52" t="s">
        <v>693</v>
      </c>
      <c r="D555" s="52" t="s">
        <v>694</v>
      </c>
      <c r="E555" s="52" t="str">
        <f>CONCATENATE(C555," ",D555)</f>
        <v>Vishal Mohan</v>
      </c>
    </row>
    <row r="556" spans="1:11" ht="14.25" customHeight="1">
      <c r="A556" s="52" t="s">
        <v>698</v>
      </c>
      <c r="B556" s="52" t="s">
        <v>696</v>
      </c>
      <c r="C556" s="52" t="s">
        <v>386</v>
      </c>
      <c r="D556" s="52" t="s">
        <v>697</v>
      </c>
      <c r="E556" s="52" t="str">
        <f t="shared" ref="E556:E560" si="28">CONCATENATE(C556," ",D556)</f>
        <v>John Mathew</v>
      </c>
    </row>
    <row r="557" spans="1:11" ht="14.25" customHeight="1">
      <c r="A557" s="52" t="s">
        <v>702</v>
      </c>
      <c r="B557" s="52" t="s">
        <v>699</v>
      </c>
      <c r="C557" s="52" t="s">
        <v>700</v>
      </c>
      <c r="D557" s="52" t="s">
        <v>701</v>
      </c>
      <c r="E557" s="52" t="str">
        <f t="shared" si="28"/>
        <v>Jamemah Powel</v>
      </c>
    </row>
    <row r="558" spans="1:11" ht="14.25" customHeight="1">
      <c r="A558" s="52" t="s">
        <v>706</v>
      </c>
      <c r="B558" s="52" t="s">
        <v>703</v>
      </c>
      <c r="C558" s="52" t="s">
        <v>704</v>
      </c>
      <c r="D558" s="52" t="s">
        <v>705</v>
      </c>
      <c r="E558" s="52" t="str">
        <f t="shared" si="28"/>
        <v>Arundhati Swaminathan</v>
      </c>
    </row>
    <row r="559" spans="1:11" ht="14.25" customHeight="1">
      <c r="A559" s="52" t="s">
        <v>709</v>
      </c>
      <c r="B559" s="52" t="s">
        <v>707</v>
      </c>
      <c r="C559" s="52" t="s">
        <v>635</v>
      </c>
      <c r="D559" s="52" t="s">
        <v>708</v>
      </c>
      <c r="E559" s="52" t="str">
        <f t="shared" si="28"/>
        <v>Peter Potter</v>
      </c>
    </row>
    <row r="560" spans="1:11" ht="14.25" customHeight="1">
      <c r="A560" s="52" t="s">
        <v>713</v>
      </c>
      <c r="B560" s="52" t="s">
        <v>710</v>
      </c>
      <c r="C560" s="52" t="s">
        <v>711</v>
      </c>
      <c r="D560" s="52" t="s">
        <v>712</v>
      </c>
      <c r="E560" s="52" t="str">
        <f t="shared" si="28"/>
        <v xml:space="preserve">Roger Willams </v>
      </c>
    </row>
    <row r="561" spans="1:9" ht="14.25" customHeight="1"/>
    <row r="562" spans="1:9" ht="14.25" customHeight="1">
      <c r="A562" s="136" t="s">
        <v>410</v>
      </c>
      <c r="B562" s="136" t="s">
        <v>593</v>
      </c>
      <c r="C562" s="136" t="s">
        <v>381</v>
      </c>
      <c r="D562" s="136" t="s">
        <v>380</v>
      </c>
      <c r="E562" s="136" t="s">
        <v>410</v>
      </c>
    </row>
    <row r="563" spans="1:9" ht="14.25" customHeight="1">
      <c r="A563" s="52" t="s">
        <v>695</v>
      </c>
      <c r="B563" s="52" t="s">
        <v>692</v>
      </c>
      <c r="C563" s="52" t="s">
        <v>693</v>
      </c>
      <c r="D563" s="52" t="s">
        <v>694</v>
      </c>
      <c r="E563" s="52" t="str">
        <f>C563&amp;" "&amp;D563</f>
        <v>Vishal Mohan</v>
      </c>
    </row>
    <row r="564" spans="1:9" ht="14.25" customHeight="1">
      <c r="A564" s="52" t="s">
        <v>698</v>
      </c>
      <c r="B564" s="52" t="s">
        <v>696</v>
      </c>
      <c r="C564" s="52" t="s">
        <v>386</v>
      </c>
      <c r="D564" s="52" t="s">
        <v>697</v>
      </c>
      <c r="E564" s="52" t="str">
        <f t="shared" ref="E564:E565" si="29">C564&amp;" "&amp;D564</f>
        <v>John Mathew</v>
      </c>
    </row>
    <row r="565" spans="1:9" ht="14.25" customHeight="1">
      <c r="A565" s="52" t="s">
        <v>702</v>
      </c>
      <c r="B565" s="52" t="s">
        <v>699</v>
      </c>
      <c r="C565" s="52" t="s">
        <v>700</v>
      </c>
      <c r="D565" s="52" t="s">
        <v>701</v>
      </c>
      <c r="E565" s="52" t="str">
        <f t="shared" si="29"/>
        <v>Jamemah Powel</v>
      </c>
    </row>
    <row r="566" spans="1:9" ht="14.25" customHeight="1"/>
    <row r="567" spans="1:9" ht="14.25" customHeight="1"/>
    <row r="568" spans="1:9" ht="14.25" customHeight="1"/>
    <row r="569" spans="1:9" ht="14.25" customHeight="1"/>
    <row r="570" spans="1:9" ht="14.25" customHeight="1"/>
    <row r="571" spans="1:9" ht="14.25" customHeight="1"/>
    <row r="572" spans="1:9" ht="14.25" customHeight="1"/>
    <row r="573" spans="1:9" ht="14.25" customHeight="1"/>
    <row r="574" spans="1:9" ht="14.25" customHeight="1">
      <c r="B574" s="240" t="s">
        <v>714</v>
      </c>
      <c r="C574" s="191"/>
      <c r="D574" s="191"/>
      <c r="E574" s="191"/>
      <c r="F574" s="191"/>
      <c r="G574" s="191"/>
      <c r="H574" s="191"/>
      <c r="I574" s="191"/>
    </row>
    <row r="575" spans="1:9" ht="14.25" customHeight="1">
      <c r="B575" s="191"/>
      <c r="C575" s="191"/>
      <c r="D575" s="191"/>
      <c r="E575" s="191"/>
      <c r="F575" s="191"/>
      <c r="G575" s="191"/>
      <c r="H575" s="191"/>
      <c r="I575" s="191"/>
    </row>
    <row r="576" spans="1:9" ht="14.25" customHeight="1"/>
    <row r="577" spans="1:11" ht="14.25" customHeight="1">
      <c r="B577" s="241" t="s">
        <v>715</v>
      </c>
      <c r="C577" s="191"/>
      <c r="D577" s="191"/>
      <c r="E577" s="191"/>
      <c r="F577" s="191"/>
      <c r="G577" s="191"/>
      <c r="H577" s="191"/>
      <c r="I577" s="191"/>
    </row>
    <row r="578" spans="1:11" ht="14.25" customHeight="1">
      <c r="A578" s="140"/>
      <c r="B578" s="140" t="s">
        <v>333</v>
      </c>
      <c r="C578" s="140" t="s">
        <v>593</v>
      </c>
      <c r="D578" s="140" t="s">
        <v>281</v>
      </c>
      <c r="E578" s="140" t="s">
        <v>716</v>
      </c>
      <c r="F578" s="140" t="s">
        <v>717</v>
      </c>
    </row>
    <row r="579" spans="1:11" ht="14.25" customHeight="1">
      <c r="A579" s="52"/>
      <c r="B579" s="141">
        <v>43405</v>
      </c>
      <c r="C579" s="52">
        <v>1101</v>
      </c>
      <c r="D579" s="52" t="s">
        <v>718</v>
      </c>
      <c r="E579" s="52" t="s">
        <v>719</v>
      </c>
      <c r="F579" s="52" t="s">
        <v>153</v>
      </c>
    </row>
    <row r="580" spans="1:11" ht="14.25" customHeight="1">
      <c r="A580" s="52"/>
      <c r="B580" s="141">
        <v>43405</v>
      </c>
      <c r="C580" s="52">
        <v>1102</v>
      </c>
      <c r="D580" s="52" t="s">
        <v>228</v>
      </c>
      <c r="E580" s="52" t="s">
        <v>720</v>
      </c>
      <c r="F580" s="52" t="s">
        <v>721</v>
      </c>
    </row>
    <row r="581" spans="1:11" ht="14.25" customHeight="1">
      <c r="A581" s="52"/>
      <c r="B581" s="141">
        <v>43407</v>
      </c>
      <c r="C581" s="52">
        <v>1103</v>
      </c>
      <c r="D581" s="52" t="s">
        <v>722</v>
      </c>
      <c r="E581" s="52" t="s">
        <v>723</v>
      </c>
      <c r="F581" s="52" t="s">
        <v>724</v>
      </c>
    </row>
    <row r="582" spans="1:11" ht="14.25" customHeight="1">
      <c r="A582" s="52"/>
      <c r="B582" s="141">
        <v>43407</v>
      </c>
      <c r="C582" s="52">
        <v>1104</v>
      </c>
      <c r="D582" s="52" t="s">
        <v>725</v>
      </c>
      <c r="E582" s="52" t="s">
        <v>726</v>
      </c>
      <c r="F582" s="52" t="s">
        <v>727</v>
      </c>
    </row>
    <row r="583" spans="1:11" ht="14.25" customHeight="1">
      <c r="A583" s="52"/>
      <c r="B583" s="141">
        <v>43407</v>
      </c>
      <c r="C583" s="52">
        <v>1105</v>
      </c>
      <c r="D583" s="52" t="s">
        <v>728</v>
      </c>
      <c r="E583" s="52" t="s">
        <v>729</v>
      </c>
      <c r="F583" s="52" t="s">
        <v>730</v>
      </c>
    </row>
    <row r="584" spans="1:11" ht="14.25" customHeight="1">
      <c r="A584" s="52"/>
      <c r="B584" s="141">
        <v>43410</v>
      </c>
      <c r="C584" s="52">
        <v>1105</v>
      </c>
      <c r="D584" s="52" t="s">
        <v>731</v>
      </c>
      <c r="E584" s="52" t="s">
        <v>729</v>
      </c>
      <c r="F584" s="52" t="s">
        <v>732</v>
      </c>
    </row>
    <row r="585" spans="1:11" ht="14.25" customHeight="1">
      <c r="A585" s="52"/>
      <c r="B585" s="141">
        <v>43410</v>
      </c>
      <c r="C585" s="52">
        <v>1106</v>
      </c>
      <c r="D585" s="52" t="s">
        <v>733</v>
      </c>
      <c r="E585" s="52" t="s">
        <v>734</v>
      </c>
      <c r="F585" s="52" t="s">
        <v>735</v>
      </c>
    </row>
    <row r="586" spans="1:11" ht="14.25" customHeight="1">
      <c r="A586" s="52"/>
      <c r="B586" s="141">
        <v>43412</v>
      </c>
      <c r="C586" s="52">
        <v>1107</v>
      </c>
      <c r="D586" s="52" t="s">
        <v>736</v>
      </c>
      <c r="E586" s="52" t="s">
        <v>737</v>
      </c>
      <c r="F586" s="52" t="s">
        <v>738</v>
      </c>
      <c r="G586" s="328" t="s">
        <v>1030</v>
      </c>
      <c r="H586" s="191"/>
      <c r="I586" s="191"/>
    </row>
    <row r="587" spans="1:11" ht="14.25" customHeight="1">
      <c r="A587" s="52"/>
      <c r="B587" s="141">
        <v>43412</v>
      </c>
      <c r="C587" s="52">
        <v>1108</v>
      </c>
      <c r="D587" s="52" t="s">
        <v>739</v>
      </c>
      <c r="E587" s="52" t="s">
        <v>740</v>
      </c>
      <c r="F587" s="52" t="s">
        <v>153</v>
      </c>
      <c r="G587" s="322">
        <f>COUNTA(D579:D599)</f>
        <v>21</v>
      </c>
    </row>
    <row r="588" spans="1:11" ht="14.25" customHeight="1">
      <c r="A588" s="52"/>
      <c r="B588" s="141">
        <v>43412</v>
      </c>
      <c r="C588" s="52">
        <v>1109</v>
      </c>
      <c r="D588" s="52" t="s">
        <v>741</v>
      </c>
      <c r="E588" s="52" t="s">
        <v>740</v>
      </c>
      <c r="F588" s="52" t="s">
        <v>742</v>
      </c>
    </row>
    <row r="589" spans="1:11" ht="14.25" customHeight="1">
      <c r="A589" s="52"/>
      <c r="B589" s="141">
        <v>43413</v>
      </c>
      <c r="C589" s="52">
        <v>1110</v>
      </c>
      <c r="D589" s="52" t="s">
        <v>743</v>
      </c>
      <c r="E589" s="52" t="s">
        <v>740</v>
      </c>
      <c r="F589" s="52" t="s">
        <v>742</v>
      </c>
      <c r="G589" s="328" t="s">
        <v>1031</v>
      </c>
      <c r="H589" s="191"/>
      <c r="I589" s="191"/>
    </row>
    <row r="590" spans="1:11" ht="14.25" customHeight="1">
      <c r="A590" s="52"/>
      <c r="B590" s="141">
        <v>43413</v>
      </c>
      <c r="C590" s="52">
        <v>1109</v>
      </c>
      <c r="D590" s="52" t="s">
        <v>739</v>
      </c>
      <c r="E590" s="52" t="s">
        <v>740</v>
      </c>
      <c r="F590" s="52" t="s">
        <v>742</v>
      </c>
      <c r="G590">
        <f>COUNTIF(E579:E599,"sales Executive")</f>
        <v>12</v>
      </c>
    </row>
    <row r="591" spans="1:11" ht="14.25" customHeight="1">
      <c r="A591" s="52"/>
      <c r="B591" s="141">
        <v>43414</v>
      </c>
      <c r="C591" s="52">
        <v>1112</v>
      </c>
      <c r="D591" s="52" t="s">
        <v>744</v>
      </c>
      <c r="E591" s="52" t="s">
        <v>740</v>
      </c>
      <c r="F591" s="52" t="s">
        <v>745</v>
      </c>
    </row>
    <row r="592" spans="1:11" ht="14.25" customHeight="1">
      <c r="A592" s="52"/>
      <c r="B592" s="141">
        <v>43414</v>
      </c>
      <c r="C592" s="52">
        <v>1113</v>
      </c>
      <c r="D592" s="52" t="s">
        <v>746</v>
      </c>
      <c r="E592" s="52" t="s">
        <v>740</v>
      </c>
      <c r="F592" s="52" t="s">
        <v>747</v>
      </c>
      <c r="G592" s="328" t="s">
        <v>1032</v>
      </c>
      <c r="H592" s="328"/>
      <c r="I592" s="328"/>
      <c r="J592" s="328"/>
      <c r="K592" s="328"/>
    </row>
    <row r="593" spans="1:11" ht="14.25" customHeight="1">
      <c r="A593" s="52"/>
      <c r="B593" s="141">
        <v>43414</v>
      </c>
      <c r="C593" s="52">
        <v>1114</v>
      </c>
      <c r="D593" s="52" t="s">
        <v>748</v>
      </c>
      <c r="E593" s="52" t="s">
        <v>740</v>
      </c>
      <c r="F593" s="52" t="s">
        <v>747</v>
      </c>
      <c r="G593" s="322">
        <f>COUNTIFS(F579:F599,"Amazon",E579:E599,"sales Executive")</f>
        <v>4</v>
      </c>
    </row>
    <row r="594" spans="1:11" ht="14.25" customHeight="1">
      <c r="A594" s="52"/>
      <c r="B594" s="141">
        <v>43414</v>
      </c>
      <c r="C594" s="52">
        <v>1115</v>
      </c>
      <c r="D594" s="52" t="s">
        <v>749</v>
      </c>
      <c r="E594" s="52" t="s">
        <v>740</v>
      </c>
      <c r="F594" s="52" t="s">
        <v>750</v>
      </c>
      <c r="G594" s="186">
        <f>COUNTIFS(F580:F600,"myntra",E580:E600,"sales Executive")</f>
        <v>4</v>
      </c>
    </row>
    <row r="595" spans="1:11" ht="14.25" customHeight="1">
      <c r="A595" s="52"/>
      <c r="B595" s="141">
        <v>43415</v>
      </c>
      <c r="C595" s="52">
        <v>1109</v>
      </c>
      <c r="D595" s="52" t="s">
        <v>739</v>
      </c>
      <c r="E595" s="52" t="s">
        <v>740</v>
      </c>
      <c r="F595" s="52" t="s">
        <v>742</v>
      </c>
    </row>
    <row r="596" spans="1:11" ht="14.25" customHeight="1">
      <c r="A596" s="52"/>
      <c r="B596" s="141">
        <v>43415</v>
      </c>
      <c r="C596" s="52">
        <v>1116</v>
      </c>
      <c r="D596" s="52" t="s">
        <v>751</v>
      </c>
      <c r="E596" s="52" t="s">
        <v>740</v>
      </c>
      <c r="F596" s="52" t="s">
        <v>750</v>
      </c>
      <c r="G596" s="328" t="s">
        <v>1033</v>
      </c>
      <c r="H596" s="191"/>
      <c r="I596" s="191"/>
      <c r="J596" s="191"/>
      <c r="K596" s="191"/>
    </row>
    <row r="597" spans="1:11" ht="14.25" customHeight="1">
      <c r="A597" s="52"/>
      <c r="B597" s="141">
        <v>43415</v>
      </c>
      <c r="C597" s="52">
        <v>1116</v>
      </c>
      <c r="D597" s="52" t="s">
        <v>751</v>
      </c>
      <c r="E597" s="52" t="s">
        <v>740</v>
      </c>
      <c r="F597" s="52" t="s">
        <v>750</v>
      </c>
      <c r="G597" s="330" t="s">
        <v>281</v>
      </c>
      <c r="H597" s="330" t="s">
        <v>1034</v>
      </c>
      <c r="I597" s="330" t="s">
        <v>1035</v>
      </c>
    </row>
    <row r="598" spans="1:11" ht="14.25" customHeight="1">
      <c r="A598" s="52"/>
      <c r="B598" s="141">
        <v>43415</v>
      </c>
      <c r="C598" s="52">
        <v>1116</v>
      </c>
      <c r="D598" s="52" t="s">
        <v>751</v>
      </c>
      <c r="E598" s="52" t="s">
        <v>740</v>
      </c>
      <c r="F598" s="52" t="s">
        <v>750</v>
      </c>
      <c r="G598" s="329" t="s">
        <v>228</v>
      </c>
      <c r="H598" s="329" t="e">
        <f>VLOOKUP(G598,B578:F599,4,0)</f>
        <v>#N/A</v>
      </c>
      <c r="I598" t="e">
        <f>VLOOKUP(G598,B579:F599,5,0)</f>
        <v>#N/A</v>
      </c>
    </row>
    <row r="599" spans="1:11" ht="14.25" customHeight="1">
      <c r="A599" s="52"/>
      <c r="B599" s="141">
        <v>43405</v>
      </c>
      <c r="C599" s="52">
        <v>1010</v>
      </c>
      <c r="D599" s="52" t="s">
        <v>752</v>
      </c>
      <c r="E599" s="52" t="s">
        <v>753</v>
      </c>
      <c r="F599" s="52" t="s">
        <v>754</v>
      </c>
      <c r="G599" s="329" t="s">
        <v>693</v>
      </c>
      <c r="H599" t="e">
        <f>VLOOKUP(G599,B578:F599,4,0)</f>
        <v>#N/A</v>
      </c>
      <c r="I599" s="329" t="s">
        <v>1036</v>
      </c>
    </row>
    <row r="600" spans="1:11" ht="14.25" customHeight="1">
      <c r="B600" s="141"/>
    </row>
    <row r="601" spans="1:11" ht="14.25" customHeight="1">
      <c r="G601" s="328" t="s">
        <v>1037</v>
      </c>
      <c r="H601" s="191"/>
      <c r="I601" s="191"/>
      <c r="J601" s="191"/>
    </row>
    <row r="602" spans="1:11" ht="14.25" customHeight="1">
      <c r="G602" s="329" t="s">
        <v>1038</v>
      </c>
      <c r="H602" t="e">
        <f>VLOOKUP(G602,B578:F599,2,0)</f>
        <v>#N/A</v>
      </c>
    </row>
    <row r="603" spans="1:11" ht="14.25" customHeight="1">
      <c r="G603" s="329" t="s">
        <v>1039</v>
      </c>
      <c r="H603" s="329" t="s">
        <v>1044</v>
      </c>
    </row>
    <row r="604" spans="1:11" ht="14.25" customHeight="1"/>
    <row r="605" spans="1:11" ht="14.25" customHeight="1"/>
    <row r="606" spans="1:11" ht="14.25" customHeight="1"/>
    <row r="607" spans="1:11" ht="14.25" customHeight="1"/>
    <row r="608" spans="1:11" ht="14.25" customHeight="1"/>
    <row r="609" spans="1:11" ht="14.25" customHeight="1"/>
    <row r="610" spans="1:11" ht="14.25" customHeight="1"/>
    <row r="611" spans="1:11" ht="14.25" customHeight="1">
      <c r="B611" s="242" t="s">
        <v>755</v>
      </c>
      <c r="C611" s="191"/>
      <c r="D611" s="191"/>
      <c r="E611" s="191"/>
      <c r="F611" s="191"/>
      <c r="G611" s="191"/>
      <c r="H611" s="191"/>
      <c r="I611" s="191"/>
      <c r="J611" s="191"/>
      <c r="K611" s="191"/>
    </row>
    <row r="612" spans="1:11" ht="14.25" customHeight="1">
      <c r="B612" s="191"/>
      <c r="C612" s="191"/>
      <c r="D612" s="191"/>
      <c r="E612" s="191"/>
      <c r="F612" s="191"/>
      <c r="G612" s="191"/>
      <c r="H612" s="191"/>
      <c r="I612" s="191"/>
      <c r="J612" s="191"/>
      <c r="K612" s="191"/>
    </row>
    <row r="613" spans="1:11" ht="14.25" customHeight="1"/>
    <row r="614" spans="1:11" ht="14.25" customHeight="1">
      <c r="A614" s="142" t="s">
        <v>282</v>
      </c>
      <c r="B614" s="142" t="s">
        <v>593</v>
      </c>
      <c r="C614" s="142" t="s">
        <v>381</v>
      </c>
      <c r="D614" s="142" t="s">
        <v>380</v>
      </c>
      <c r="E614" s="142" t="s">
        <v>282</v>
      </c>
      <c r="F614" s="142" t="s">
        <v>756</v>
      </c>
    </row>
    <row r="615" spans="1:11" ht="14.25" customHeight="1">
      <c r="A615" s="52" t="s">
        <v>441</v>
      </c>
      <c r="B615" s="52">
        <v>101</v>
      </c>
      <c r="C615" s="52" t="s">
        <v>757</v>
      </c>
      <c r="D615" s="52" t="s">
        <v>758</v>
      </c>
      <c r="E615" s="52" t="s">
        <v>441</v>
      </c>
      <c r="F615" s="52" t="s">
        <v>759</v>
      </c>
    </row>
    <row r="616" spans="1:11" ht="14.25" customHeight="1">
      <c r="A616" s="52" t="s">
        <v>421</v>
      </c>
      <c r="B616" s="52">
        <v>102</v>
      </c>
      <c r="C616" s="52" t="s">
        <v>760</v>
      </c>
      <c r="D616" s="52" t="s">
        <v>761</v>
      </c>
      <c r="E616" s="52" t="s">
        <v>421</v>
      </c>
      <c r="F616" s="52" t="s">
        <v>762</v>
      </c>
    </row>
    <row r="617" spans="1:11" ht="14.25" customHeight="1">
      <c r="A617" s="52" t="s">
        <v>441</v>
      </c>
      <c r="B617" s="52">
        <v>103</v>
      </c>
      <c r="C617" s="52" t="s">
        <v>375</v>
      </c>
      <c r="D617" s="52" t="s">
        <v>610</v>
      </c>
      <c r="E617" s="52" t="s">
        <v>441</v>
      </c>
      <c r="F617" s="52" t="s">
        <v>762</v>
      </c>
    </row>
    <row r="618" spans="1:11" ht="14.25" customHeight="1">
      <c r="A618" s="52" t="s">
        <v>421</v>
      </c>
      <c r="B618" s="52">
        <v>104</v>
      </c>
      <c r="C618" s="52" t="s">
        <v>366</v>
      </c>
      <c r="D618" s="52" t="s">
        <v>630</v>
      </c>
      <c r="E618" s="52" t="s">
        <v>421</v>
      </c>
      <c r="F618" s="52" t="s">
        <v>763</v>
      </c>
    </row>
    <row r="619" spans="1:11" ht="14.25" customHeight="1">
      <c r="A619" s="52" t="s">
        <v>421</v>
      </c>
      <c r="B619" s="52">
        <v>105</v>
      </c>
      <c r="C619" s="52" t="s">
        <v>375</v>
      </c>
      <c r="D619" s="52" t="s">
        <v>389</v>
      </c>
      <c r="E619" s="52" t="s">
        <v>421</v>
      </c>
      <c r="F619" s="52" t="s">
        <v>759</v>
      </c>
      <c r="G619" s="331" t="s">
        <v>1040</v>
      </c>
      <c r="H619" s="191"/>
    </row>
    <row r="620" spans="1:11" ht="14.25" customHeight="1">
      <c r="A620" s="52" t="s">
        <v>608</v>
      </c>
      <c r="B620" s="52">
        <v>106</v>
      </c>
      <c r="C620" s="52" t="s">
        <v>764</v>
      </c>
      <c r="D620" s="52" t="s">
        <v>765</v>
      </c>
      <c r="E620" s="52" t="s">
        <v>608</v>
      </c>
      <c r="F620" s="52" t="s">
        <v>763</v>
      </c>
    </row>
    <row r="621" spans="1:11" ht="14.25" customHeight="1">
      <c r="A621" s="52" t="s">
        <v>441</v>
      </c>
      <c r="B621" s="52">
        <v>107</v>
      </c>
      <c r="C621" s="52" t="s">
        <v>766</v>
      </c>
      <c r="D621" s="52" t="s">
        <v>767</v>
      </c>
      <c r="E621" s="52" t="s">
        <v>441</v>
      </c>
      <c r="F621" s="52" t="s">
        <v>762</v>
      </c>
    </row>
    <row r="622" spans="1:11" ht="14.25" customHeight="1">
      <c r="A622" s="52" t="s">
        <v>421</v>
      </c>
      <c r="B622" s="52">
        <v>108</v>
      </c>
      <c r="C622" s="52" t="s">
        <v>768</v>
      </c>
      <c r="D622" s="52" t="s">
        <v>769</v>
      </c>
      <c r="E622" s="52" t="s">
        <v>421</v>
      </c>
      <c r="F622" s="52" t="s">
        <v>759</v>
      </c>
    </row>
    <row r="623" spans="1:11" ht="14.25" customHeight="1">
      <c r="A623" s="52" t="s">
        <v>608</v>
      </c>
      <c r="B623" s="52">
        <v>109</v>
      </c>
      <c r="C623" s="52" t="s">
        <v>770</v>
      </c>
      <c r="D623" s="52" t="s">
        <v>771</v>
      </c>
      <c r="E623" s="52" t="s">
        <v>608</v>
      </c>
      <c r="F623" s="52" t="s">
        <v>762</v>
      </c>
    </row>
    <row r="624" spans="1:11" ht="14.25" customHeight="1">
      <c r="A624" s="52" t="s">
        <v>608</v>
      </c>
      <c r="B624" s="52">
        <v>110</v>
      </c>
      <c r="C624" s="52" t="s">
        <v>772</v>
      </c>
      <c r="D624" s="52" t="s">
        <v>773</v>
      </c>
      <c r="E624" s="52" t="s">
        <v>608</v>
      </c>
      <c r="F624" s="52" t="s">
        <v>763</v>
      </c>
    </row>
    <row r="625" spans="2:10" ht="14.25" customHeight="1"/>
    <row r="626" spans="2:10" ht="14.25" customHeight="1"/>
    <row r="627" spans="2:10" ht="14.25" customHeight="1"/>
    <row r="628" spans="2:10" ht="14.25" customHeight="1">
      <c r="B628" s="228" t="s">
        <v>774</v>
      </c>
      <c r="C628" s="191"/>
      <c r="D628" s="191"/>
      <c r="E628" s="191"/>
      <c r="F628" s="191"/>
      <c r="G628" s="191"/>
      <c r="H628" s="191"/>
      <c r="I628" s="191"/>
      <c r="J628" s="191"/>
    </row>
    <row r="629" spans="2:10" ht="14.25" customHeight="1">
      <c r="B629" s="191"/>
      <c r="C629" s="191"/>
      <c r="D629" s="191"/>
      <c r="E629" s="191"/>
      <c r="F629" s="191"/>
      <c r="G629" s="191"/>
      <c r="H629" s="191"/>
      <c r="I629" s="191"/>
      <c r="J629" s="191"/>
    </row>
    <row r="630" spans="2:10" ht="14.25" customHeight="1"/>
    <row r="631" spans="2:10" ht="14.25" customHeight="1">
      <c r="B631" s="143" t="s">
        <v>775</v>
      </c>
      <c r="C631" s="143" t="s">
        <v>349</v>
      </c>
      <c r="D631" s="143" t="s">
        <v>776</v>
      </c>
    </row>
    <row r="632" spans="2:10" ht="14.25" customHeight="1">
      <c r="B632" s="141">
        <v>43119</v>
      </c>
      <c r="C632" s="52" t="s">
        <v>777</v>
      </c>
      <c r="D632" s="144">
        <v>201440</v>
      </c>
    </row>
    <row r="633" spans="2:10" ht="14.25" customHeight="1">
      <c r="B633" s="141">
        <v>43116</v>
      </c>
      <c r="C633" s="52" t="s">
        <v>777</v>
      </c>
      <c r="D633" s="144">
        <v>352519</v>
      </c>
    </row>
    <row r="634" spans="2:10" ht="14.25" customHeight="1">
      <c r="B634" s="141">
        <v>43122</v>
      </c>
      <c r="C634" s="52" t="s">
        <v>777</v>
      </c>
      <c r="D634" s="144">
        <v>172406</v>
      </c>
      <c r="F634" s="145" t="s">
        <v>775</v>
      </c>
      <c r="G634" s="145" t="s">
        <v>778</v>
      </c>
    </row>
    <row r="635" spans="2:10" ht="14.25" customHeight="1">
      <c r="B635" s="141">
        <v>43112</v>
      </c>
      <c r="C635" s="52" t="s">
        <v>777</v>
      </c>
      <c r="D635" s="144">
        <v>240000</v>
      </c>
      <c r="F635" s="141">
        <v>43112</v>
      </c>
      <c r="G635" s="146">
        <v>240000</v>
      </c>
    </row>
    <row r="636" spans="2:10" ht="14.25" customHeight="1">
      <c r="B636" s="141">
        <v>43136</v>
      </c>
      <c r="C636" s="52" t="s">
        <v>779</v>
      </c>
      <c r="D636" s="144">
        <v>15205</v>
      </c>
      <c r="F636" s="141">
        <v>43116</v>
      </c>
      <c r="G636" s="146">
        <v>352519</v>
      </c>
    </row>
    <row r="637" spans="2:10" ht="14.25" customHeight="1">
      <c r="B637" s="141">
        <v>43133</v>
      </c>
      <c r="C637" s="52" t="s">
        <v>779</v>
      </c>
      <c r="D637" s="144">
        <v>24327</v>
      </c>
      <c r="F637" s="141">
        <v>43119</v>
      </c>
      <c r="G637" s="146">
        <v>201440</v>
      </c>
    </row>
    <row r="638" spans="2:10" ht="14.25" customHeight="1">
      <c r="B638" s="141">
        <v>43144</v>
      </c>
      <c r="C638" s="52" t="s">
        <v>779</v>
      </c>
      <c r="D638" s="144">
        <v>50549</v>
      </c>
      <c r="F638" s="141">
        <v>43122</v>
      </c>
      <c r="G638" s="146">
        <v>172406</v>
      </c>
    </row>
    <row r="639" spans="2:10" ht="14.25" customHeight="1">
      <c r="B639" s="141">
        <v>43146</v>
      </c>
      <c r="C639" s="52" t="s">
        <v>779</v>
      </c>
      <c r="D639" s="144">
        <v>15106</v>
      </c>
      <c r="F639" s="141">
        <v>43133</v>
      </c>
      <c r="G639" s="146">
        <v>24327</v>
      </c>
    </row>
    <row r="640" spans="2:10" ht="14.25" customHeight="1">
      <c r="B640" s="141">
        <v>43146</v>
      </c>
      <c r="C640" s="52" t="s">
        <v>779</v>
      </c>
      <c r="D640" s="144">
        <v>19901</v>
      </c>
      <c r="F640" s="141">
        <v>43136</v>
      </c>
      <c r="G640" s="146">
        <v>15205</v>
      </c>
    </row>
    <row r="641" spans="1:9" ht="14.25" customHeight="1">
      <c r="B641" s="141">
        <v>43140</v>
      </c>
      <c r="C641" s="52" t="s">
        <v>779</v>
      </c>
      <c r="D641" s="144">
        <v>15205</v>
      </c>
      <c r="F641" s="141">
        <v>43140</v>
      </c>
      <c r="G641" s="146">
        <v>15205</v>
      </c>
    </row>
    <row r="642" spans="1:9" ht="14.25" customHeight="1">
      <c r="B642" s="141">
        <v>43153</v>
      </c>
      <c r="C642" s="52" t="s">
        <v>779</v>
      </c>
      <c r="D642" s="144">
        <v>300000</v>
      </c>
      <c r="F642" s="141">
        <v>43144</v>
      </c>
      <c r="G642" s="146">
        <v>50549</v>
      </c>
    </row>
    <row r="643" spans="1:9" ht="14.25" customHeight="1">
      <c r="B643" s="141">
        <v>43157</v>
      </c>
      <c r="C643" s="52" t="s">
        <v>779</v>
      </c>
      <c r="D643" s="144">
        <v>150000</v>
      </c>
      <c r="F643" s="141">
        <v>43146</v>
      </c>
      <c r="G643" s="146">
        <v>35007</v>
      </c>
    </row>
    <row r="644" spans="1:9" ht="14.25" customHeight="1">
      <c r="B644" s="141">
        <v>43157</v>
      </c>
      <c r="C644" s="52" t="s">
        <v>779</v>
      </c>
      <c r="D644" s="144">
        <v>330553</v>
      </c>
      <c r="F644" s="141">
        <v>43153</v>
      </c>
      <c r="G644" s="146">
        <v>300000</v>
      </c>
    </row>
    <row r="645" spans="1:9" ht="14.25" customHeight="1">
      <c r="B645" s="141">
        <v>43158</v>
      </c>
      <c r="C645" s="52" t="s">
        <v>779</v>
      </c>
      <c r="D645" s="144">
        <v>163282</v>
      </c>
      <c r="F645" s="141">
        <v>43157</v>
      </c>
      <c r="G645" s="146">
        <v>643835</v>
      </c>
    </row>
    <row r="646" spans="1:9" ht="14.25" customHeight="1">
      <c r="B646" s="141">
        <v>43159</v>
      </c>
      <c r="C646" s="52" t="s">
        <v>779</v>
      </c>
      <c r="D646" s="144">
        <v>564030</v>
      </c>
      <c r="F646" s="141">
        <v>43158</v>
      </c>
      <c r="G646" s="146">
        <v>564030</v>
      </c>
    </row>
    <row r="647" spans="1:9" ht="14.25" customHeight="1">
      <c r="B647" s="141">
        <v>43159</v>
      </c>
      <c r="C647" s="52" t="s">
        <v>779</v>
      </c>
      <c r="D647" s="144">
        <v>15218</v>
      </c>
      <c r="F647" s="141">
        <v>43159</v>
      </c>
      <c r="G647" s="146">
        <v>720256</v>
      </c>
    </row>
    <row r="648" spans="1:9" ht="14.25" customHeight="1">
      <c r="B648" s="141">
        <v>43159</v>
      </c>
      <c r="C648" s="52" t="s">
        <v>779</v>
      </c>
      <c r="D648" s="144">
        <v>201440</v>
      </c>
      <c r="F648" s="147" t="s">
        <v>780</v>
      </c>
      <c r="G648" s="148">
        <f>SUM(G635:G647)</f>
        <v>3334779</v>
      </c>
    </row>
    <row r="649" spans="1:9" ht="14.25" customHeight="1"/>
    <row r="650" spans="1:9" ht="14.25" customHeight="1"/>
    <row r="651" spans="1:9" ht="14.25" customHeight="1"/>
    <row r="652" spans="1:9" ht="14.25" customHeight="1">
      <c r="B652" s="229" t="s">
        <v>781</v>
      </c>
      <c r="C652" s="191"/>
      <c r="D652" s="191"/>
      <c r="E652" s="191"/>
      <c r="F652" s="191"/>
      <c r="G652" s="191"/>
      <c r="H652" s="191"/>
      <c r="I652" s="191"/>
    </row>
    <row r="653" spans="1:9" ht="14.25" customHeight="1">
      <c r="B653" s="191"/>
      <c r="C653" s="191"/>
      <c r="D653" s="191"/>
      <c r="E653" s="191"/>
      <c r="F653" s="191"/>
      <c r="G653" s="191"/>
      <c r="H653" s="191"/>
      <c r="I653" s="191"/>
    </row>
    <row r="654" spans="1:9" ht="14.25" customHeight="1"/>
    <row r="655" spans="1:9" ht="14.25" customHeight="1">
      <c r="A655" s="52"/>
      <c r="B655" s="149" t="s">
        <v>782</v>
      </c>
      <c r="C655" s="52" t="s">
        <v>783</v>
      </c>
      <c r="D655" s="52" t="s">
        <v>779</v>
      </c>
      <c r="E655" s="52" t="s">
        <v>784</v>
      </c>
      <c r="F655" s="52" t="s">
        <v>785</v>
      </c>
      <c r="G655" s="52" t="s">
        <v>499</v>
      </c>
      <c r="H655" s="52" t="s">
        <v>786</v>
      </c>
    </row>
    <row r="656" spans="1:9" ht="14.25" customHeight="1">
      <c r="B656" s="149" t="s">
        <v>787</v>
      </c>
      <c r="C656" s="52">
        <v>240</v>
      </c>
      <c r="D656" s="52">
        <v>180</v>
      </c>
      <c r="E656" s="52">
        <v>310</v>
      </c>
      <c r="F656" s="52">
        <v>445</v>
      </c>
      <c r="G656" s="52">
        <v>650</v>
      </c>
      <c r="H656" s="52">
        <v>700</v>
      </c>
    </row>
    <row r="657" spans="1:7" ht="14.25" customHeight="1"/>
    <row r="658" spans="1:7" ht="14.25" customHeight="1">
      <c r="A658" s="149" t="s">
        <v>782</v>
      </c>
      <c r="B658" s="52" t="s">
        <v>785</v>
      </c>
    </row>
    <row r="659" spans="1:7" ht="14.25" customHeight="1">
      <c r="A659" s="149" t="s">
        <v>787</v>
      </c>
      <c r="B659" s="323">
        <f>HLOOKUP(B658,B655:H656,2,0)</f>
        <v>445</v>
      </c>
    </row>
    <row r="660" spans="1:7" ht="14.25" customHeight="1"/>
    <row r="661" spans="1:7" ht="14.25" customHeight="1"/>
    <row r="662" spans="1:7" ht="14.25" customHeight="1">
      <c r="A662" s="150" t="s">
        <v>281</v>
      </c>
      <c r="B662" s="147" t="s">
        <v>711</v>
      </c>
      <c r="C662" s="147" t="s">
        <v>789</v>
      </c>
      <c r="D662" s="147" t="s">
        <v>790</v>
      </c>
      <c r="E662" s="147" t="s">
        <v>791</v>
      </c>
      <c r="F662" s="147" t="s">
        <v>792</v>
      </c>
      <c r="G662" s="147" t="s">
        <v>793</v>
      </c>
    </row>
    <row r="663" spans="1:7" ht="14.25" customHeight="1">
      <c r="A663" s="150" t="s">
        <v>794</v>
      </c>
      <c r="B663" s="147">
        <v>36</v>
      </c>
      <c r="C663" s="147">
        <v>45</v>
      </c>
      <c r="D663" s="147">
        <v>52</v>
      </c>
      <c r="E663" s="147">
        <v>66</v>
      </c>
      <c r="F663" s="147">
        <v>75</v>
      </c>
      <c r="G663" s="147">
        <v>40</v>
      </c>
    </row>
    <row r="664" spans="1:7" ht="14.25" customHeight="1">
      <c r="A664" s="150" t="s">
        <v>270</v>
      </c>
      <c r="B664" s="147">
        <v>82</v>
      </c>
      <c r="C664" s="147">
        <v>71</v>
      </c>
      <c r="D664" s="147">
        <v>56</v>
      </c>
      <c r="E664" s="147">
        <v>32</v>
      </c>
      <c r="F664" s="147">
        <v>81</v>
      </c>
      <c r="G664" s="147">
        <v>66</v>
      </c>
    </row>
    <row r="665" spans="1:7" ht="14.25" customHeight="1">
      <c r="A665" s="150" t="s">
        <v>359</v>
      </c>
      <c r="B665" s="147">
        <v>32</v>
      </c>
      <c r="C665" s="147">
        <v>45</v>
      </c>
      <c r="D665" s="147">
        <v>52</v>
      </c>
      <c r="E665" s="147">
        <v>51</v>
      </c>
      <c r="F665" s="147">
        <v>71</v>
      </c>
      <c r="G665" s="147">
        <v>74</v>
      </c>
    </row>
    <row r="666" spans="1:7" ht="14.25" customHeight="1"/>
    <row r="667" spans="1:7" ht="14.25" customHeight="1">
      <c r="A667" s="338" t="s">
        <v>795</v>
      </c>
      <c r="B667" s="329" t="s">
        <v>1041</v>
      </c>
    </row>
    <row r="668" spans="1:7" ht="14.25" customHeight="1">
      <c r="B668" s="339">
        <f>HLOOKUP(B667,A662:G665,3,0)</f>
        <v>82</v>
      </c>
    </row>
    <row r="669" spans="1:7" ht="14.25" customHeight="1"/>
    <row r="670" spans="1:7" ht="14.25" customHeight="1">
      <c r="A670" s="150" t="s">
        <v>281</v>
      </c>
      <c r="B670" s="147" t="s">
        <v>711</v>
      </c>
      <c r="C670" s="147" t="s">
        <v>789</v>
      </c>
      <c r="D670" s="147" t="s">
        <v>790</v>
      </c>
      <c r="E670" s="147" t="s">
        <v>791</v>
      </c>
      <c r="F670" s="147" t="s">
        <v>792</v>
      </c>
      <c r="G670" s="147" t="s">
        <v>793</v>
      </c>
    </row>
    <row r="671" spans="1:7" ht="14.25" customHeight="1">
      <c r="A671" s="150" t="s">
        <v>794</v>
      </c>
      <c r="B671" s="147">
        <v>36</v>
      </c>
      <c r="C671" s="147">
        <v>45</v>
      </c>
      <c r="D671" s="147">
        <v>52</v>
      </c>
      <c r="E671" s="147">
        <v>66</v>
      </c>
      <c r="F671" s="147">
        <v>75</v>
      </c>
      <c r="G671" s="147">
        <v>40</v>
      </c>
    </row>
    <row r="672" spans="1:7" ht="14.25" customHeight="1">
      <c r="A672" s="150" t="s">
        <v>270</v>
      </c>
      <c r="B672" s="147">
        <v>82</v>
      </c>
      <c r="C672" s="147">
        <v>71</v>
      </c>
      <c r="D672" s="147">
        <v>56</v>
      </c>
      <c r="E672" s="147">
        <v>32</v>
      </c>
      <c r="F672" s="147">
        <v>81</v>
      </c>
      <c r="G672" s="147">
        <v>66</v>
      </c>
    </row>
    <row r="673" spans="1:7" ht="14.25" customHeight="1">
      <c r="A673" s="150" t="s">
        <v>359</v>
      </c>
      <c r="B673" s="147">
        <v>32</v>
      </c>
      <c r="C673" s="147">
        <v>45</v>
      </c>
      <c r="D673" s="147">
        <v>52</v>
      </c>
      <c r="E673" s="147">
        <v>51</v>
      </c>
      <c r="F673" s="147">
        <v>71</v>
      </c>
      <c r="G673" s="147">
        <v>74</v>
      </c>
    </row>
    <row r="674" spans="1:7" ht="14.25" customHeight="1"/>
    <row r="675" spans="1:7" ht="14.25" customHeight="1"/>
    <row r="676" spans="1:7" ht="14.25" customHeight="1">
      <c r="A676" s="137" t="s">
        <v>796</v>
      </c>
      <c r="B676" s="329" t="s">
        <v>790</v>
      </c>
    </row>
    <row r="677" spans="1:7" ht="14.25" customHeight="1">
      <c r="B677" s="339">
        <f>HLOOKUP(B676,A670:G673,4,0)</f>
        <v>52</v>
      </c>
    </row>
    <row r="678" spans="1:7" ht="14.25" customHeight="1"/>
    <row r="679" spans="1:7" ht="14.25" customHeight="1">
      <c r="A679" s="150" t="s">
        <v>797</v>
      </c>
      <c r="B679" s="147" t="s">
        <v>798</v>
      </c>
      <c r="C679" s="147" t="s">
        <v>799</v>
      </c>
      <c r="D679" s="147" t="s">
        <v>800</v>
      </c>
      <c r="E679" s="147" t="s">
        <v>801</v>
      </c>
      <c r="F679" s="147" t="s">
        <v>802</v>
      </c>
      <c r="G679" s="147"/>
    </row>
    <row r="680" spans="1:7" ht="14.25" customHeight="1">
      <c r="A680" s="150" t="s">
        <v>803</v>
      </c>
      <c r="B680" s="52">
        <v>66</v>
      </c>
      <c r="C680" s="52">
        <v>43</v>
      </c>
      <c r="D680" s="52">
        <v>36</v>
      </c>
      <c r="E680" s="52">
        <v>82</v>
      </c>
      <c r="F680" s="52">
        <v>89</v>
      </c>
      <c r="G680" s="147"/>
    </row>
    <row r="681" spans="1:7" ht="14.25" customHeight="1">
      <c r="A681" s="150" t="s">
        <v>804</v>
      </c>
      <c r="B681" s="52">
        <v>51</v>
      </c>
      <c r="C681" s="52">
        <v>83</v>
      </c>
      <c r="D681" s="52">
        <v>41</v>
      </c>
      <c r="E681" s="52">
        <v>125</v>
      </c>
      <c r="F681" s="52">
        <v>79</v>
      </c>
      <c r="G681" s="147"/>
    </row>
    <row r="682" spans="1:7" ht="14.25" customHeight="1">
      <c r="A682" s="150" t="s">
        <v>805</v>
      </c>
      <c r="B682" s="52">
        <v>35</v>
      </c>
      <c r="C682" s="52">
        <v>97</v>
      </c>
      <c r="D682" s="52">
        <v>92</v>
      </c>
      <c r="E682" s="52">
        <v>41</v>
      </c>
      <c r="F682" s="52">
        <v>39</v>
      </c>
      <c r="G682" s="147"/>
    </row>
    <row r="683" spans="1:7" ht="14.25" customHeight="1">
      <c r="A683" s="150" t="s">
        <v>806</v>
      </c>
      <c r="B683" s="52">
        <v>84</v>
      </c>
      <c r="C683" s="52">
        <v>76</v>
      </c>
      <c r="D683" s="52">
        <v>35</v>
      </c>
      <c r="E683" s="52">
        <v>48</v>
      </c>
      <c r="F683" s="52">
        <v>37</v>
      </c>
    </row>
    <row r="684" spans="1:7" ht="14.25" customHeight="1">
      <c r="A684" s="150" t="s">
        <v>807</v>
      </c>
      <c r="B684" s="52">
        <v>110</v>
      </c>
      <c r="C684" s="52">
        <v>77</v>
      </c>
      <c r="D684" s="52">
        <v>90</v>
      </c>
      <c r="E684" s="52">
        <v>37</v>
      </c>
      <c r="F684" s="52">
        <v>34</v>
      </c>
    </row>
    <row r="685" spans="1:7" ht="14.25" customHeight="1"/>
    <row r="686" spans="1:7" ht="14.25" customHeight="1">
      <c r="A686" s="151" t="s">
        <v>797</v>
      </c>
      <c r="B686" s="52" t="s">
        <v>801</v>
      </c>
    </row>
    <row r="687" spans="1:7" ht="14.25" customHeight="1">
      <c r="A687" s="152" t="s">
        <v>808</v>
      </c>
      <c r="B687" s="340">
        <f>HLOOKUP(B686,A679:F684,5,0)</f>
        <v>48</v>
      </c>
    </row>
    <row r="688" spans="1:7" ht="14.25" customHeight="1"/>
    <row r="689" spans="1:10" ht="14.25" customHeight="1">
      <c r="A689" s="151" t="s">
        <v>809</v>
      </c>
      <c r="B689" s="52">
        <v>21</v>
      </c>
      <c r="C689" s="52">
        <v>33</v>
      </c>
      <c r="D689" s="52">
        <v>39</v>
      </c>
      <c r="E689" s="52">
        <v>42</v>
      </c>
      <c r="F689" s="52">
        <v>50</v>
      </c>
    </row>
    <row r="690" spans="1:10" ht="14.25" customHeight="1">
      <c r="A690" s="151" t="s">
        <v>810</v>
      </c>
      <c r="B690" s="52" t="s">
        <v>811</v>
      </c>
      <c r="C690" s="52" t="s">
        <v>812</v>
      </c>
      <c r="D690" s="52" t="s">
        <v>813</v>
      </c>
      <c r="E690" s="52" t="s">
        <v>763</v>
      </c>
      <c r="F690" s="52" t="s">
        <v>814</v>
      </c>
    </row>
    <row r="691" spans="1:10" ht="14.25" customHeight="1"/>
    <row r="692" spans="1:10" ht="14.25" customHeight="1">
      <c r="A692" s="151" t="s">
        <v>809</v>
      </c>
      <c r="B692" s="52">
        <v>90</v>
      </c>
    </row>
    <row r="693" spans="1:10" ht="14.25" customHeight="1">
      <c r="A693" s="152" t="s">
        <v>810</v>
      </c>
      <c r="B693" s="340" t="e">
        <f>HLOOKUP(B692,A689:F690,2,0)</f>
        <v>#N/A</v>
      </c>
    </row>
    <row r="694" spans="1:10" ht="14.25" customHeight="1"/>
    <row r="695" spans="1:10" ht="14.25" customHeight="1">
      <c r="A695" s="151" t="s">
        <v>815</v>
      </c>
      <c r="B695" s="52" t="s">
        <v>816</v>
      </c>
      <c r="C695" s="52" t="s">
        <v>817</v>
      </c>
      <c r="D695" s="52" t="s">
        <v>818</v>
      </c>
      <c r="E695" s="52" t="s">
        <v>819</v>
      </c>
      <c r="F695" s="52" t="s">
        <v>364</v>
      </c>
      <c r="G695" s="52" t="s">
        <v>820</v>
      </c>
    </row>
    <row r="696" spans="1:10" ht="14.25" customHeight="1">
      <c r="A696" s="151" t="s">
        <v>516</v>
      </c>
      <c r="B696" s="52">
        <v>200</v>
      </c>
      <c r="C696" s="52">
        <v>125</v>
      </c>
      <c r="D696" s="52">
        <v>320</v>
      </c>
      <c r="E696" s="52">
        <v>250</v>
      </c>
      <c r="F696" s="52">
        <v>300</v>
      </c>
      <c r="G696" s="52">
        <v>421</v>
      </c>
    </row>
    <row r="697" spans="1:10" ht="14.25" customHeight="1"/>
    <row r="698" spans="1:10" ht="14.25" customHeight="1">
      <c r="B698" s="151" t="s">
        <v>815</v>
      </c>
      <c r="C698" s="329" t="s">
        <v>1042</v>
      </c>
    </row>
    <row r="699" spans="1:10" ht="14.25" customHeight="1">
      <c r="B699" s="152" t="s">
        <v>516</v>
      </c>
      <c r="C699" s="340">
        <f>HLOOKUP(C698,A695:G696,2,0)</f>
        <v>421</v>
      </c>
    </row>
    <row r="700" spans="1:10" ht="14.25" customHeight="1"/>
    <row r="701" spans="1:10" ht="14.25" customHeight="1"/>
    <row r="702" spans="1:10" ht="14.25" customHeight="1"/>
    <row r="703" spans="1:10" ht="14.25" customHeight="1"/>
    <row r="704" spans="1:10" ht="14.25" customHeight="1">
      <c r="B704" s="230" t="s">
        <v>821</v>
      </c>
      <c r="C704" s="191"/>
      <c r="D704" s="191"/>
      <c r="E704" s="191"/>
      <c r="F704" s="191"/>
      <c r="G704" s="191"/>
      <c r="H704" s="191"/>
      <c r="I704" s="191"/>
      <c r="J704" s="191"/>
    </row>
    <row r="705" spans="1:10" ht="14.25" customHeight="1">
      <c r="B705" s="191"/>
      <c r="C705" s="191"/>
      <c r="D705" s="191"/>
      <c r="E705" s="191"/>
      <c r="F705" s="191"/>
      <c r="G705" s="191"/>
      <c r="H705" s="191"/>
      <c r="I705" s="191"/>
      <c r="J705" s="191"/>
    </row>
    <row r="706" spans="1:10" ht="15.75" customHeight="1"/>
    <row r="707" spans="1:10" ht="15.75" customHeight="1">
      <c r="B707" s="142" t="s">
        <v>303</v>
      </c>
      <c r="C707" s="142" t="s">
        <v>822</v>
      </c>
      <c r="D707" s="142" t="s">
        <v>823</v>
      </c>
    </row>
    <row r="708" spans="1:10" ht="15.75" customHeight="1">
      <c r="B708" s="52" t="s">
        <v>824</v>
      </c>
      <c r="C708" s="52">
        <v>92</v>
      </c>
      <c r="D708" s="323" t="str">
        <f>IF(C708&gt;89,"A+",IF(C708&gt;85,"A",IF(C708&gt;80,"B+",IF(C708&gt;75,"B",IF(C708&gt;70,"C+",IF(C708&gt;65,"C",IF(C708&gt;60,"D+",IF(C708&gt;55,"D",IF(C708&gt;50,"F")))))))))</f>
        <v>A+</v>
      </c>
    </row>
    <row r="709" spans="1:10" ht="15.75" customHeight="1">
      <c r="B709" s="52" t="s">
        <v>825</v>
      </c>
      <c r="C709" s="52">
        <v>88</v>
      </c>
      <c r="D709" s="323" t="str">
        <f t="shared" ref="D709:D716" si="30">IF(C709&gt;89,"A+",IF(C709&gt;85,"A",IF(C709&gt;80,"B+",IF(C709&gt;75,"B",IF(C709&gt;70,"C+",IF(C709&gt;65,"C",IF(C709&gt;60,"D+",IF(C709&gt;55,"D",IF(C709&gt;50,"F")))))))))</f>
        <v>A</v>
      </c>
    </row>
    <row r="710" spans="1:10" ht="15.75" customHeight="1">
      <c r="B710" s="52" t="s">
        <v>826</v>
      </c>
      <c r="C710" s="52">
        <v>94</v>
      </c>
      <c r="D710" s="323" t="str">
        <f t="shared" si="30"/>
        <v>A+</v>
      </c>
    </row>
    <row r="711" spans="1:10" ht="15.75" customHeight="1">
      <c r="B711" s="52" t="s">
        <v>827</v>
      </c>
      <c r="C711" s="52">
        <v>84</v>
      </c>
      <c r="D711" s="323" t="str">
        <f t="shared" si="30"/>
        <v>B+</v>
      </c>
    </row>
    <row r="712" spans="1:10" ht="15.75" customHeight="1">
      <c r="B712" s="52" t="s">
        <v>828</v>
      </c>
      <c r="C712" s="52">
        <v>95</v>
      </c>
      <c r="D712" s="323" t="str">
        <f t="shared" si="30"/>
        <v>A+</v>
      </c>
    </row>
    <row r="713" spans="1:10" ht="15.75" customHeight="1">
      <c r="B713" s="52" t="s">
        <v>829</v>
      </c>
      <c r="C713" s="52">
        <v>78</v>
      </c>
      <c r="D713" s="323" t="str">
        <f t="shared" si="30"/>
        <v>B</v>
      </c>
    </row>
    <row r="714" spans="1:10" ht="15.75" customHeight="1">
      <c r="B714" s="52" t="s">
        <v>830</v>
      </c>
      <c r="C714" s="52">
        <v>59</v>
      </c>
      <c r="D714" s="323" t="str">
        <f t="shared" si="30"/>
        <v>D</v>
      </c>
    </row>
    <row r="715" spans="1:10" ht="15.75" customHeight="1">
      <c r="B715" s="52" t="s">
        <v>831</v>
      </c>
      <c r="C715" s="52">
        <v>45</v>
      </c>
      <c r="D715" s="323" t="b">
        <f t="shared" si="30"/>
        <v>0</v>
      </c>
    </row>
    <row r="716" spans="1:10" ht="15.75" customHeight="1">
      <c r="B716" s="52" t="s">
        <v>832</v>
      </c>
      <c r="C716" s="52">
        <v>90</v>
      </c>
      <c r="D716" s="323" t="str">
        <f t="shared" si="30"/>
        <v>A+</v>
      </c>
    </row>
    <row r="717" spans="1:10" ht="15.75" customHeight="1"/>
    <row r="718" spans="1:10" ht="15.75" customHeight="1"/>
    <row r="719" spans="1:10" ht="15.75" customHeight="1"/>
    <row r="720" spans="1:10" ht="15.75" customHeight="1">
      <c r="A720" s="332" t="s">
        <v>833</v>
      </c>
      <c r="B720" s="332"/>
      <c r="C720" s="332"/>
      <c r="D720" s="332"/>
      <c r="E720" s="332"/>
      <c r="F720" s="332"/>
      <c r="G720" s="332"/>
      <c r="H720" s="332"/>
      <c r="I720" s="332"/>
    </row>
    <row r="721" spans="1:9" ht="15.75" customHeight="1">
      <c r="A721" s="332"/>
      <c r="B721" s="332"/>
      <c r="C721" s="332"/>
      <c r="D721" s="332"/>
      <c r="E721" s="332"/>
      <c r="F721" s="332"/>
      <c r="G721" s="332"/>
      <c r="H721" s="332"/>
      <c r="I721" s="332"/>
    </row>
    <row r="722" spans="1:9" ht="15.75" customHeight="1"/>
    <row r="723" spans="1:9" ht="15.75" customHeight="1">
      <c r="A723" s="231" t="s">
        <v>834</v>
      </c>
      <c r="B723" s="191"/>
      <c r="D723" s="231" t="s">
        <v>835</v>
      </c>
      <c r="E723" s="191"/>
      <c r="G723" s="231" t="s">
        <v>836</v>
      </c>
      <c r="H723" s="191"/>
    </row>
    <row r="724" spans="1:9" ht="15.75" customHeight="1">
      <c r="A724" s="143" t="s">
        <v>593</v>
      </c>
      <c r="B724" s="143" t="s">
        <v>591</v>
      </c>
      <c r="D724" s="143" t="s">
        <v>593</v>
      </c>
      <c r="E724" s="143" t="s">
        <v>837</v>
      </c>
      <c r="G724" s="143" t="s">
        <v>838</v>
      </c>
      <c r="H724" s="143" t="s">
        <v>592</v>
      </c>
    </row>
    <row r="725" spans="1:9" ht="15.75" customHeight="1">
      <c r="A725" s="52" t="s">
        <v>596</v>
      </c>
      <c r="B725" s="52" t="s">
        <v>595</v>
      </c>
      <c r="D725" s="52" t="s">
        <v>596</v>
      </c>
      <c r="E725" s="52" t="s">
        <v>516</v>
      </c>
      <c r="G725" s="52" t="s">
        <v>596</v>
      </c>
      <c r="H725" s="52">
        <v>92671</v>
      </c>
    </row>
    <row r="726" spans="1:9" ht="15.75" customHeight="1">
      <c r="A726" s="52" t="s">
        <v>599</v>
      </c>
      <c r="B726" s="52" t="s">
        <v>597</v>
      </c>
      <c r="D726" s="52" t="s">
        <v>599</v>
      </c>
      <c r="E726" s="52" t="s">
        <v>598</v>
      </c>
      <c r="G726" s="52" t="s">
        <v>599</v>
      </c>
      <c r="H726" s="52">
        <v>84120</v>
      </c>
    </row>
    <row r="727" spans="1:9" ht="15.75" customHeight="1">
      <c r="A727" s="52" t="s">
        <v>601</v>
      </c>
      <c r="B727" s="52" t="s">
        <v>600</v>
      </c>
      <c r="D727" s="52" t="s">
        <v>601</v>
      </c>
      <c r="E727" s="52" t="s">
        <v>421</v>
      </c>
      <c r="G727" s="52" t="s">
        <v>601</v>
      </c>
      <c r="H727" s="52">
        <v>50793</v>
      </c>
    </row>
    <row r="728" spans="1:9" ht="15.75" customHeight="1">
      <c r="A728" s="52" t="s">
        <v>604</v>
      </c>
      <c r="B728" s="52" t="s">
        <v>602</v>
      </c>
      <c r="D728" s="52" t="s">
        <v>623</v>
      </c>
      <c r="E728" s="52" t="s">
        <v>421</v>
      </c>
      <c r="G728" s="52" t="s">
        <v>604</v>
      </c>
      <c r="H728" s="52">
        <v>77833</v>
      </c>
    </row>
    <row r="729" spans="1:9" ht="15.75" customHeight="1">
      <c r="A729" s="52" t="s">
        <v>606</v>
      </c>
      <c r="B729" s="52" t="s">
        <v>605</v>
      </c>
      <c r="D729" s="52" t="s">
        <v>625</v>
      </c>
      <c r="E729" s="52" t="s">
        <v>516</v>
      </c>
      <c r="G729" s="52" t="s">
        <v>606</v>
      </c>
      <c r="H729" s="52">
        <v>58914</v>
      </c>
    </row>
    <row r="730" spans="1:9" ht="15.75" customHeight="1">
      <c r="A730" s="52" t="s">
        <v>609</v>
      </c>
      <c r="B730" s="52" t="s">
        <v>607</v>
      </c>
      <c r="D730" s="52" t="s">
        <v>627</v>
      </c>
      <c r="E730" s="52" t="s">
        <v>608</v>
      </c>
      <c r="G730" s="52" t="s">
        <v>609</v>
      </c>
      <c r="H730" s="52">
        <v>51096</v>
      </c>
    </row>
    <row r="731" spans="1:9" ht="15.75" customHeight="1">
      <c r="A731" s="52" t="s">
        <v>611</v>
      </c>
      <c r="B731" s="52" t="s">
        <v>610</v>
      </c>
      <c r="D731" s="52" t="s">
        <v>629</v>
      </c>
      <c r="E731" s="52" t="s">
        <v>598</v>
      </c>
      <c r="G731" s="52" t="s">
        <v>627</v>
      </c>
      <c r="H731" s="52">
        <v>88965</v>
      </c>
    </row>
    <row r="732" spans="1:9" ht="15.75" customHeight="1">
      <c r="A732" s="52" t="s">
        <v>613</v>
      </c>
      <c r="B732" s="52" t="s">
        <v>612</v>
      </c>
      <c r="D732" s="52" t="s">
        <v>631</v>
      </c>
      <c r="E732" s="52" t="s">
        <v>516</v>
      </c>
      <c r="G732" s="52" t="s">
        <v>629</v>
      </c>
      <c r="H732" s="52">
        <v>63288</v>
      </c>
    </row>
    <row r="733" spans="1:9" ht="15.75" customHeight="1">
      <c r="A733" s="52" t="s">
        <v>615</v>
      </c>
      <c r="B733" s="52" t="s">
        <v>614</v>
      </c>
      <c r="D733" s="52" t="s">
        <v>636</v>
      </c>
      <c r="E733" s="52" t="s">
        <v>516</v>
      </c>
      <c r="G733" s="52" t="s">
        <v>631</v>
      </c>
      <c r="H733" s="52">
        <v>45742</v>
      </c>
    </row>
    <row r="734" spans="1:9" ht="15.75" customHeight="1">
      <c r="A734" s="52" t="s">
        <v>617</v>
      </c>
      <c r="B734" s="52" t="s">
        <v>616</v>
      </c>
      <c r="D734" s="52" t="s">
        <v>604</v>
      </c>
      <c r="E734" s="52" t="s">
        <v>603</v>
      </c>
      <c r="G734" s="52" t="s">
        <v>632</v>
      </c>
      <c r="H734" s="52">
        <v>88354</v>
      </c>
    </row>
    <row r="735" spans="1:9" ht="15.75" customHeight="1">
      <c r="A735" s="52" t="s">
        <v>619</v>
      </c>
      <c r="B735" s="52" t="s">
        <v>618</v>
      </c>
      <c r="D735" s="52" t="s">
        <v>606</v>
      </c>
      <c r="E735" s="52" t="s">
        <v>441</v>
      </c>
      <c r="G735" s="52" t="s">
        <v>634</v>
      </c>
      <c r="H735" s="52">
        <v>76641</v>
      </c>
    </row>
    <row r="736" spans="1:9" ht="15.75" customHeight="1">
      <c r="A736" s="52" t="s">
        <v>621</v>
      </c>
      <c r="B736" s="52" t="s">
        <v>620</v>
      </c>
      <c r="D736" s="52" t="s">
        <v>609</v>
      </c>
      <c r="E736" s="52" t="s">
        <v>608</v>
      </c>
      <c r="G736" s="52" t="s">
        <v>636</v>
      </c>
      <c r="H736" s="52">
        <v>61678</v>
      </c>
    </row>
    <row r="737" spans="1:8" ht="15.75" customHeight="1">
      <c r="A737" s="52" t="s">
        <v>623</v>
      </c>
      <c r="B737" s="52" t="s">
        <v>839</v>
      </c>
      <c r="D737" s="52" t="s">
        <v>632</v>
      </c>
      <c r="E737" s="52" t="s">
        <v>421</v>
      </c>
      <c r="G737" s="52" t="s">
        <v>611</v>
      </c>
      <c r="H737" s="52">
        <v>83735</v>
      </c>
    </row>
    <row r="738" spans="1:8" ht="15.75" customHeight="1">
      <c r="A738" s="52" t="s">
        <v>625</v>
      </c>
      <c r="B738" s="52" t="s">
        <v>624</v>
      </c>
      <c r="D738" s="52" t="s">
        <v>634</v>
      </c>
      <c r="E738" s="52" t="s">
        <v>421</v>
      </c>
      <c r="G738" s="52" t="s">
        <v>613</v>
      </c>
      <c r="H738" s="52">
        <v>74418</v>
      </c>
    </row>
    <row r="739" spans="1:8" ht="15.75" customHeight="1">
      <c r="A739" s="52" t="s">
        <v>627</v>
      </c>
      <c r="B739" s="52" t="s">
        <v>626</v>
      </c>
      <c r="D739" s="52" t="s">
        <v>611</v>
      </c>
      <c r="E739" s="52" t="s">
        <v>421</v>
      </c>
      <c r="G739" s="52" t="s">
        <v>615</v>
      </c>
      <c r="H739" s="52">
        <v>51366</v>
      </c>
    </row>
    <row r="740" spans="1:8" ht="15.75" customHeight="1">
      <c r="A740" s="52" t="s">
        <v>629</v>
      </c>
      <c r="B740" s="52" t="s">
        <v>628</v>
      </c>
      <c r="D740" s="52" t="s">
        <v>613</v>
      </c>
      <c r="E740" s="52" t="s">
        <v>608</v>
      </c>
      <c r="G740" s="52" t="s">
        <v>617</v>
      </c>
      <c r="H740" s="52">
        <v>54600</v>
      </c>
    </row>
    <row r="741" spans="1:8" ht="15.75" customHeight="1">
      <c r="A741" s="52" t="s">
        <v>631</v>
      </c>
      <c r="B741" s="52" t="s">
        <v>630</v>
      </c>
      <c r="D741" s="52" t="s">
        <v>615</v>
      </c>
      <c r="E741" s="52" t="s">
        <v>516</v>
      </c>
      <c r="G741" s="52" t="s">
        <v>619</v>
      </c>
      <c r="H741" s="52">
        <v>93509</v>
      </c>
    </row>
    <row r="742" spans="1:8" ht="15.75" customHeight="1">
      <c r="A742" s="52" t="s">
        <v>632</v>
      </c>
      <c r="B742" s="52" t="s">
        <v>366</v>
      </c>
      <c r="D742" s="52" t="s">
        <v>617</v>
      </c>
      <c r="E742" s="52" t="s">
        <v>441</v>
      </c>
      <c r="G742" s="52" t="s">
        <v>621</v>
      </c>
      <c r="H742" s="52">
        <v>80105</v>
      </c>
    </row>
    <row r="743" spans="1:8" ht="15.75" customHeight="1">
      <c r="A743" s="52" t="s">
        <v>634</v>
      </c>
      <c r="B743" s="52" t="s">
        <v>633</v>
      </c>
      <c r="D743" s="52" t="s">
        <v>619</v>
      </c>
      <c r="E743" s="52" t="s">
        <v>598</v>
      </c>
      <c r="G743" s="52" t="s">
        <v>623</v>
      </c>
      <c r="H743" s="52">
        <v>60802</v>
      </c>
    </row>
    <row r="744" spans="1:8" ht="15.75" customHeight="1">
      <c r="A744" s="52" t="s">
        <v>636</v>
      </c>
      <c r="B744" s="52" t="s">
        <v>635</v>
      </c>
      <c r="D744" s="52" t="s">
        <v>621</v>
      </c>
      <c r="E744" s="52" t="s">
        <v>441</v>
      </c>
      <c r="G744" s="52" t="s">
        <v>625</v>
      </c>
      <c r="H744" s="52">
        <v>76260</v>
      </c>
    </row>
    <row r="745" spans="1:8" ht="15.75" customHeight="1"/>
    <row r="746" spans="1:8" ht="15.75" customHeight="1"/>
    <row r="747" spans="1:8" ht="15.75" customHeight="1">
      <c r="A747" s="232" t="s">
        <v>317</v>
      </c>
      <c r="B747" s="191"/>
      <c r="C747" s="191"/>
      <c r="D747" s="191"/>
    </row>
    <row r="748" spans="1:8" ht="15.75" customHeight="1">
      <c r="A748" s="143" t="s">
        <v>593</v>
      </c>
      <c r="B748" s="143" t="s">
        <v>591</v>
      </c>
      <c r="C748" s="143" t="s">
        <v>282</v>
      </c>
      <c r="D748" s="143" t="s">
        <v>592</v>
      </c>
    </row>
    <row r="749" spans="1:8" ht="15.75" customHeight="1">
      <c r="A749" s="52" t="s">
        <v>596</v>
      </c>
      <c r="B749" s="52" t="s">
        <v>595</v>
      </c>
      <c r="C749" s="322" t="str">
        <f>VLOOKUP(A749,D725:E744,2,0)</f>
        <v>Sales</v>
      </c>
      <c r="D749" s="341">
        <f>VLOOKUP(A749,G725:H744,2,0)</f>
        <v>92671</v>
      </c>
    </row>
    <row r="750" spans="1:8" ht="15.75" customHeight="1">
      <c r="A750" s="52" t="s">
        <v>599</v>
      </c>
      <c r="B750" s="52" t="s">
        <v>597</v>
      </c>
      <c r="C750" s="322" t="str">
        <f>VLOOKUP(A750,D725:E744,2,0)</f>
        <v>Operations</v>
      </c>
      <c r="D750" s="341">
        <f>VLOOKUP(A750,G725:H744,2,0)</f>
        <v>84120</v>
      </c>
    </row>
    <row r="751" spans="1:8" ht="15.75" customHeight="1">
      <c r="A751" s="52" t="s">
        <v>601</v>
      </c>
      <c r="B751" s="52" t="s">
        <v>600</v>
      </c>
      <c r="C751" s="322" t="str">
        <f>VLOOKUP(A751,D725:E744,2,0)</f>
        <v>Marketing</v>
      </c>
      <c r="D751" s="341">
        <f>VLOOKUP(A751,G725:H744,2,0)</f>
        <v>50793</v>
      </c>
    </row>
    <row r="752" spans="1:8" ht="15.75" customHeight="1">
      <c r="A752" s="52" t="s">
        <v>604</v>
      </c>
      <c r="B752" s="52" t="s">
        <v>602</v>
      </c>
      <c r="C752" s="322" t="str">
        <f>VLOOKUP(A752,D725:E744,2,0)</f>
        <v>HR</v>
      </c>
      <c r="D752" s="341">
        <f>VLOOKUP(A752,G725:H744,2,0)</f>
        <v>77833</v>
      </c>
    </row>
    <row r="753" spans="1:4" ht="15.75" customHeight="1">
      <c r="A753" s="52" t="s">
        <v>606</v>
      </c>
      <c r="B753" s="52" t="s">
        <v>605</v>
      </c>
      <c r="C753" s="322" t="str">
        <f>VLOOKUP(A753,D725:E744,2,0)</f>
        <v>Finance</v>
      </c>
      <c r="D753" s="341">
        <f>VLOOKUP(A753,G725:H744,2,0)</f>
        <v>58914</v>
      </c>
    </row>
    <row r="754" spans="1:4" ht="15.75" customHeight="1">
      <c r="A754" s="52" t="s">
        <v>609</v>
      </c>
      <c r="B754" s="52" t="s">
        <v>607</v>
      </c>
      <c r="C754" s="322" t="str">
        <f>VLOOKUP(A754,D725:E744,2,0)</f>
        <v>IT</v>
      </c>
      <c r="D754" s="341">
        <f>VLOOKUP(A754,G725:H744,2,0)</f>
        <v>51096</v>
      </c>
    </row>
    <row r="755" spans="1:4" ht="15.75" customHeight="1">
      <c r="A755" s="52" t="s">
        <v>611</v>
      </c>
      <c r="B755" s="52" t="s">
        <v>610</v>
      </c>
      <c r="C755" s="322" t="str">
        <f>VLOOKUP(A755,D725:E744,2,0)</f>
        <v>Marketing</v>
      </c>
      <c r="D755" s="341">
        <f>VLOOKUP(A755,G725:H744,2,0)</f>
        <v>83735</v>
      </c>
    </row>
    <row r="756" spans="1:4" ht="15.75" customHeight="1">
      <c r="A756" s="52" t="s">
        <v>613</v>
      </c>
      <c r="B756" s="52" t="s">
        <v>612</v>
      </c>
      <c r="C756" s="322" t="str">
        <f>VLOOKUP(A756,D725:E744,2,0)</f>
        <v>IT</v>
      </c>
      <c r="D756" s="341">
        <f>VLOOKUP(A756,G725:H744,2,0)</f>
        <v>74418</v>
      </c>
    </row>
    <row r="757" spans="1:4" ht="15.75" customHeight="1">
      <c r="A757" s="52" t="s">
        <v>615</v>
      </c>
      <c r="B757" s="52" t="s">
        <v>614</v>
      </c>
      <c r="C757" s="322" t="str">
        <f>VLOOKUP(A757,D725:E744,2,0)</f>
        <v>Sales</v>
      </c>
      <c r="D757" s="341">
        <f t="shared" ref="D757:D762" si="31">VLOOKUP(A757,G732:H751,2,0)</f>
        <v>51366</v>
      </c>
    </row>
    <row r="758" spans="1:4" ht="15.75" customHeight="1">
      <c r="A758" s="52" t="s">
        <v>617</v>
      </c>
      <c r="B758" s="52" t="s">
        <v>616</v>
      </c>
      <c r="C758" s="322" t="str">
        <f>VLOOKUP(A758,D725:E744,2,0)</f>
        <v>Finance</v>
      </c>
      <c r="D758" s="341">
        <f t="shared" si="31"/>
        <v>54600</v>
      </c>
    </row>
    <row r="759" spans="1:4" ht="15.75" customHeight="1">
      <c r="A759" s="52" t="s">
        <v>619</v>
      </c>
      <c r="B759" s="52" t="s">
        <v>618</v>
      </c>
      <c r="C759" s="322" t="str">
        <f>VLOOKUP(A759,D725:E744,2,0)</f>
        <v>Operations</v>
      </c>
      <c r="D759" s="341">
        <f t="shared" si="31"/>
        <v>93509</v>
      </c>
    </row>
    <row r="760" spans="1:4" ht="15.75" customHeight="1">
      <c r="A760" s="52" t="s">
        <v>621</v>
      </c>
      <c r="B760" s="52" t="s">
        <v>620</v>
      </c>
      <c r="C760" s="322" t="str">
        <f>VLOOKUP(A760,D725:E744,2,0)</f>
        <v>Finance</v>
      </c>
      <c r="D760" s="341">
        <f t="shared" si="31"/>
        <v>80105</v>
      </c>
    </row>
    <row r="761" spans="1:4" ht="15.75" customHeight="1">
      <c r="A761" s="52" t="s">
        <v>623</v>
      </c>
      <c r="B761" s="52" t="s">
        <v>839</v>
      </c>
      <c r="C761" s="322" t="str">
        <f>VLOOKUP(A761,D725:E744,2,0)</f>
        <v>Marketing</v>
      </c>
      <c r="D761" s="341">
        <f t="shared" si="31"/>
        <v>60802</v>
      </c>
    </row>
    <row r="762" spans="1:4" ht="15.75" customHeight="1">
      <c r="A762" s="52" t="s">
        <v>625</v>
      </c>
      <c r="B762" s="52" t="s">
        <v>624</v>
      </c>
      <c r="C762" s="322" t="str">
        <f>VLOOKUP(A762,D725:E744,2,0)</f>
        <v>Sales</v>
      </c>
      <c r="D762" s="341">
        <f t="shared" si="31"/>
        <v>76260</v>
      </c>
    </row>
    <row r="763" spans="1:4" ht="15.75" customHeight="1">
      <c r="A763" s="52" t="s">
        <v>627</v>
      </c>
      <c r="B763" s="52" t="s">
        <v>626</v>
      </c>
      <c r="C763" s="322" t="str">
        <f>VLOOKUP(A763,D725:E744,2,0)</f>
        <v>IT</v>
      </c>
      <c r="D763" s="341">
        <f>VLOOKUP(A763,G725:H744,2,0)</f>
        <v>88965</v>
      </c>
    </row>
    <row r="764" spans="1:4" ht="15.75" customHeight="1">
      <c r="A764" s="52" t="s">
        <v>629</v>
      </c>
      <c r="B764" s="52" t="s">
        <v>628</v>
      </c>
      <c r="C764" s="322" t="str">
        <f>VLOOKUP(A764,D725:E744,2,0)</f>
        <v>Operations</v>
      </c>
      <c r="D764" s="341">
        <f>VLOOKUP(A764,G725:H744,2,0)</f>
        <v>63288</v>
      </c>
    </row>
    <row r="765" spans="1:4" ht="15.75" customHeight="1">
      <c r="A765" s="52" t="s">
        <v>631</v>
      </c>
      <c r="B765" s="52" t="s">
        <v>630</v>
      </c>
      <c r="C765" s="322" t="str">
        <f>VLOOKUP(A765,D725:E744,2,0)</f>
        <v>Sales</v>
      </c>
      <c r="D765" s="341">
        <f>VLOOKUP(A765,G725:H744,2,0)</f>
        <v>45742</v>
      </c>
    </row>
    <row r="766" spans="1:4" ht="15.75" customHeight="1">
      <c r="A766" s="52" t="s">
        <v>632</v>
      </c>
      <c r="B766" s="52" t="s">
        <v>366</v>
      </c>
      <c r="C766" s="322" t="str">
        <f>VLOOKUP(A766,D725:E744,2,0)</f>
        <v>Marketing</v>
      </c>
      <c r="D766" s="341">
        <f>VLOOKUP(A766,G725:H744,2,0)</f>
        <v>88354</v>
      </c>
    </row>
    <row r="767" spans="1:4" ht="15.75" customHeight="1">
      <c r="A767" s="52" t="s">
        <v>634</v>
      </c>
      <c r="B767" s="52" t="s">
        <v>633</v>
      </c>
      <c r="C767" s="322" t="str">
        <f>VLOOKUP(A767,D725:E744,2,0)</f>
        <v>Marketing</v>
      </c>
      <c r="D767" s="341">
        <f>VLOOKUP(A767,G725:H744,2,0)</f>
        <v>76641</v>
      </c>
    </row>
    <row r="768" spans="1:4" ht="15.75" customHeight="1">
      <c r="A768" s="52" t="s">
        <v>636</v>
      </c>
      <c r="B768" s="52" t="s">
        <v>635</v>
      </c>
      <c r="C768" s="322" t="str">
        <f>VLOOKUP(A768,D725:E744,2,0)</f>
        <v>Sales</v>
      </c>
      <c r="D768" s="341">
        <f>VLOOKUP(A768,G725:H744,2,0)</f>
        <v>61678</v>
      </c>
    </row>
    <row r="769" spans="2:10" ht="15.75" customHeight="1"/>
    <row r="770" spans="2:10" ht="15.75" customHeight="1"/>
    <row r="771" spans="2:10" ht="15.75" customHeight="1"/>
    <row r="772" spans="2:10" ht="15.75" customHeight="1"/>
    <row r="773" spans="2:10" ht="15.75" customHeight="1">
      <c r="B773" s="233" t="s">
        <v>840</v>
      </c>
      <c r="C773" s="191"/>
      <c r="D773" s="191"/>
      <c r="E773" s="191"/>
      <c r="F773" s="191"/>
      <c r="G773" s="191"/>
      <c r="H773" s="191"/>
      <c r="I773" s="191"/>
      <c r="J773" s="191"/>
    </row>
    <row r="774" spans="2:10" ht="15.75" customHeight="1">
      <c r="B774" s="191"/>
      <c r="C774" s="191"/>
      <c r="D774" s="191"/>
      <c r="E774" s="191"/>
      <c r="F774" s="191"/>
      <c r="G774" s="191"/>
      <c r="H774" s="191"/>
      <c r="I774" s="191"/>
      <c r="J774" s="191"/>
    </row>
    <row r="775" spans="2:10" ht="15.75" customHeight="1"/>
    <row r="776" spans="2:10" ht="15.75" customHeight="1">
      <c r="B776" s="136" t="s">
        <v>841</v>
      </c>
      <c r="C776" s="136" t="s">
        <v>842</v>
      </c>
      <c r="D776" s="136" t="s">
        <v>843</v>
      </c>
    </row>
    <row r="777" spans="2:10" ht="15.75" customHeight="1">
      <c r="B777" s="52" t="s">
        <v>844</v>
      </c>
      <c r="C777" s="52" t="s">
        <v>845</v>
      </c>
      <c r="D777" s="52">
        <v>4615</v>
      </c>
    </row>
    <row r="778" spans="2:10" ht="15.75" customHeight="1">
      <c r="B778" s="52" t="s">
        <v>846</v>
      </c>
      <c r="C778" s="52" t="s">
        <v>847</v>
      </c>
      <c r="D778" s="52">
        <v>2345</v>
      </c>
    </row>
    <row r="779" spans="2:10" ht="15.75" customHeight="1">
      <c r="B779" s="52" t="s">
        <v>844</v>
      </c>
      <c r="C779" s="52" t="s">
        <v>848</v>
      </c>
      <c r="D779" s="52">
        <v>11282</v>
      </c>
    </row>
    <row r="780" spans="2:10" ht="15.75" customHeight="1">
      <c r="B780" s="52" t="s">
        <v>846</v>
      </c>
      <c r="C780" s="52" t="s">
        <v>849</v>
      </c>
      <c r="D780" s="52">
        <v>4159</v>
      </c>
    </row>
    <row r="781" spans="2:10" ht="15.75" customHeight="1">
      <c r="B781" s="52" t="s">
        <v>850</v>
      </c>
      <c r="C781" s="52" t="s">
        <v>851</v>
      </c>
      <c r="D781" s="52">
        <v>7802</v>
      </c>
    </row>
    <row r="782" spans="2:10" ht="15.75" customHeight="1">
      <c r="B782" s="52" t="s">
        <v>844</v>
      </c>
      <c r="C782" s="52" t="s">
        <v>852</v>
      </c>
      <c r="D782" s="52">
        <v>8486</v>
      </c>
    </row>
    <row r="783" spans="2:10" ht="15.75" customHeight="1">
      <c r="B783" s="52" t="s">
        <v>846</v>
      </c>
      <c r="C783" s="52" t="s">
        <v>853</v>
      </c>
      <c r="D783" s="52">
        <v>3384</v>
      </c>
    </row>
    <row r="784" spans="2:10" ht="15.75" customHeight="1">
      <c r="B784" s="52" t="s">
        <v>850</v>
      </c>
      <c r="C784" s="52" t="s">
        <v>854</v>
      </c>
      <c r="D784" s="52">
        <v>3422</v>
      </c>
    </row>
    <row r="785" spans="2:8" ht="15.75" customHeight="1"/>
    <row r="786" spans="2:8" ht="15.75" customHeight="1">
      <c r="B786" s="223" t="s">
        <v>855</v>
      </c>
      <c r="C786" s="191"/>
      <c r="D786" s="345">
        <f>SUMIF(B777:B784,"Ben",D777:D784)</f>
        <v>24383</v>
      </c>
      <c r="F786" s="223" t="s">
        <v>856</v>
      </c>
      <c r="G786" s="191"/>
      <c r="H786" s="52">
        <f>SUMIF(B777:B784,"jenny",D777:D784)</f>
        <v>0</v>
      </c>
    </row>
    <row r="787" spans="2:8" ht="15.75" customHeight="1"/>
    <row r="788" spans="2:8" ht="15.75" customHeight="1">
      <c r="B788" s="262" t="s">
        <v>857</v>
      </c>
      <c r="C788" s="191"/>
      <c r="D788" s="348">
        <f>SUMIF(B777:B784,"Ben",D777:D784)+SUMIF(B777:B784,"Jenny",D777:D784)</f>
        <v>24383</v>
      </c>
      <c r="F788" s="223" t="s">
        <v>858</v>
      </c>
      <c r="G788" s="191"/>
      <c r="H788" s="52" t="s">
        <v>788</v>
      </c>
    </row>
    <row r="789" spans="2:8" ht="15.75" customHeight="1"/>
    <row r="790" spans="2:8" ht="15.75" customHeight="1"/>
    <row r="791" spans="2:8" ht="15.75" customHeight="1">
      <c r="B791" s="136" t="s">
        <v>841</v>
      </c>
      <c r="C791" s="136" t="s">
        <v>842</v>
      </c>
      <c r="D791" s="136" t="s">
        <v>843</v>
      </c>
    </row>
    <row r="792" spans="2:8" ht="15.75" customHeight="1">
      <c r="B792" s="52" t="s">
        <v>844</v>
      </c>
      <c r="C792" s="52" t="s">
        <v>845</v>
      </c>
      <c r="D792" s="52">
        <v>4615</v>
      </c>
    </row>
    <row r="793" spans="2:8" ht="15.75" customHeight="1">
      <c r="B793" s="52" t="s">
        <v>846</v>
      </c>
      <c r="C793" s="52" t="s">
        <v>847</v>
      </c>
      <c r="D793" s="52">
        <v>2345</v>
      </c>
    </row>
    <row r="794" spans="2:8" ht="15.75" customHeight="1">
      <c r="B794" s="52" t="s">
        <v>844</v>
      </c>
      <c r="C794" s="52" t="s">
        <v>848</v>
      </c>
      <c r="D794" s="52">
        <v>11282</v>
      </c>
    </row>
    <row r="795" spans="2:8" ht="15.75" customHeight="1">
      <c r="B795" s="52" t="s">
        <v>846</v>
      </c>
      <c r="C795" s="52" t="s">
        <v>849</v>
      </c>
      <c r="D795" s="52">
        <v>4159</v>
      </c>
    </row>
    <row r="796" spans="2:8" ht="15.75" customHeight="1">
      <c r="B796" s="52" t="s">
        <v>850</v>
      </c>
      <c r="C796" s="52" t="s">
        <v>851</v>
      </c>
      <c r="D796" s="52">
        <v>7802</v>
      </c>
    </row>
    <row r="797" spans="2:8" ht="15.75" customHeight="1">
      <c r="B797" s="52" t="s">
        <v>844</v>
      </c>
      <c r="C797" s="52" t="s">
        <v>852</v>
      </c>
      <c r="D797" s="52">
        <v>8486</v>
      </c>
    </row>
    <row r="798" spans="2:8" ht="15.75" customHeight="1">
      <c r="B798" s="52" t="s">
        <v>846</v>
      </c>
      <c r="C798" s="52" t="s">
        <v>853</v>
      </c>
      <c r="D798" s="52">
        <v>3384</v>
      </c>
    </row>
    <row r="799" spans="2:8" ht="15.75" customHeight="1">
      <c r="B799" s="52" t="s">
        <v>850</v>
      </c>
      <c r="C799" s="52" t="s">
        <v>854</v>
      </c>
      <c r="D799" s="52">
        <v>3422</v>
      </c>
    </row>
    <row r="800" spans="2:8" ht="15.75" customHeight="1"/>
    <row r="801" spans="1:13" ht="15.75" customHeight="1">
      <c r="B801" s="252" t="s">
        <v>859</v>
      </c>
      <c r="C801" s="191"/>
      <c r="D801" s="191"/>
      <c r="F801" s="253" t="s">
        <v>860</v>
      </c>
      <c r="G801" s="191"/>
      <c r="H801" s="191"/>
    </row>
    <row r="802" spans="1:13" ht="15.75" customHeight="1">
      <c r="B802" s="191"/>
      <c r="C802" s="191"/>
      <c r="D802" s="191"/>
      <c r="F802" s="191"/>
      <c r="G802" s="191"/>
      <c r="H802" s="191"/>
    </row>
    <row r="803" spans="1:13" ht="15.75" customHeight="1">
      <c r="B803">
        <f>SUMIF(B792:B799,"Ben",D792:D799)+SUMIF(B792:B799,"jeff",D792:D799)</f>
        <v>34271</v>
      </c>
      <c r="C803">
        <f>SUMIF(B792:B799,"jenny",D792:D799)</f>
        <v>0</v>
      </c>
    </row>
    <row r="804" spans="1:13" ht="15.75" customHeight="1"/>
    <row r="805" spans="1:13" ht="15.75" customHeight="1"/>
    <row r="806" spans="1:13" ht="15.75" customHeight="1"/>
    <row r="807" spans="1:13" ht="15.75" customHeight="1">
      <c r="A807" s="333" t="s">
        <v>861</v>
      </c>
      <c r="B807" s="333"/>
      <c r="C807" s="333"/>
      <c r="D807" s="333"/>
      <c r="E807" s="333"/>
      <c r="F807" s="333"/>
      <c r="G807" s="333"/>
      <c r="H807" s="333"/>
      <c r="I807" s="333"/>
      <c r="K807" s="153" t="s">
        <v>837</v>
      </c>
      <c r="L807" s="153" t="s">
        <v>862</v>
      </c>
      <c r="M807" s="153" t="s">
        <v>863</v>
      </c>
    </row>
    <row r="808" spans="1:13" ht="15.75" customHeight="1">
      <c r="A808" s="333"/>
      <c r="B808" s="333"/>
      <c r="C808" s="333"/>
      <c r="D808" s="333"/>
      <c r="E808" s="333"/>
      <c r="F808" s="333"/>
      <c r="G808" s="333"/>
      <c r="H808" s="333"/>
      <c r="I808" s="333"/>
      <c r="K808" s="52" t="s">
        <v>516</v>
      </c>
      <c r="L808" s="52">
        <v>100</v>
      </c>
      <c r="M808" s="52">
        <v>900</v>
      </c>
    </row>
    <row r="809" spans="1:13" ht="15.75" customHeight="1">
      <c r="A809" s="154" t="s">
        <v>864</v>
      </c>
      <c r="B809" s="154" t="s">
        <v>865</v>
      </c>
      <c r="C809" s="154" t="s">
        <v>837</v>
      </c>
      <c r="D809" s="154" t="s">
        <v>586</v>
      </c>
      <c r="E809" s="154" t="s">
        <v>592</v>
      </c>
      <c r="F809" s="154" t="s">
        <v>862</v>
      </c>
      <c r="G809" s="154" t="s">
        <v>863</v>
      </c>
      <c r="H809" s="154" t="s">
        <v>866</v>
      </c>
      <c r="K809" s="52" t="s">
        <v>867</v>
      </c>
      <c r="L809" s="52">
        <v>200</v>
      </c>
      <c r="M809" s="52">
        <v>800</v>
      </c>
    </row>
    <row r="810" spans="1:13" ht="15.75" customHeight="1">
      <c r="A810" s="52">
        <v>1</v>
      </c>
      <c r="B810" s="52" t="s">
        <v>868</v>
      </c>
      <c r="C810" s="52" t="s">
        <v>516</v>
      </c>
      <c r="D810" s="52" t="s">
        <v>869</v>
      </c>
      <c r="E810" s="52">
        <v>15625</v>
      </c>
      <c r="K810" s="52" t="s">
        <v>870</v>
      </c>
      <c r="L810" s="52">
        <v>300</v>
      </c>
      <c r="M810" s="52">
        <v>700</v>
      </c>
    </row>
    <row r="811" spans="1:13" ht="15.75" customHeight="1">
      <c r="A811" s="52">
        <v>2</v>
      </c>
      <c r="B811" s="52" t="s">
        <v>871</v>
      </c>
      <c r="C811" s="52" t="s">
        <v>516</v>
      </c>
      <c r="D811" s="52" t="s">
        <v>872</v>
      </c>
      <c r="E811" s="52">
        <v>12500</v>
      </c>
      <c r="K811" s="52" t="s">
        <v>441</v>
      </c>
      <c r="L811" s="52">
        <v>400</v>
      </c>
      <c r="M811" s="52">
        <v>600</v>
      </c>
    </row>
    <row r="812" spans="1:13" ht="15.75" customHeight="1">
      <c r="A812" s="52">
        <v>3</v>
      </c>
      <c r="B812" s="52" t="s">
        <v>873</v>
      </c>
      <c r="C812" s="52" t="s">
        <v>867</v>
      </c>
      <c r="D812" s="52" t="s">
        <v>869</v>
      </c>
      <c r="E812" s="52">
        <v>8750</v>
      </c>
      <c r="K812" s="52" t="s">
        <v>874</v>
      </c>
      <c r="L812" s="52">
        <v>500</v>
      </c>
      <c r="M812" s="52">
        <v>500</v>
      </c>
    </row>
    <row r="813" spans="1:13" ht="15.75" customHeight="1">
      <c r="A813" s="52">
        <v>4</v>
      </c>
      <c r="B813" s="52" t="s">
        <v>875</v>
      </c>
      <c r="C813" s="52" t="s">
        <v>870</v>
      </c>
      <c r="D813" s="52" t="s">
        <v>869</v>
      </c>
      <c r="E813" s="52">
        <v>15000</v>
      </c>
      <c r="K813" s="52" t="s">
        <v>876</v>
      </c>
      <c r="L813" s="52">
        <v>600</v>
      </c>
      <c r="M813" s="52">
        <v>400</v>
      </c>
    </row>
    <row r="814" spans="1:13" ht="15.75" customHeight="1">
      <c r="A814" s="52">
        <v>5</v>
      </c>
      <c r="B814" s="52" t="s">
        <v>877</v>
      </c>
      <c r="C814" s="52" t="s">
        <v>870</v>
      </c>
      <c r="D814" s="52" t="s">
        <v>869</v>
      </c>
      <c r="E814" s="52">
        <v>8875</v>
      </c>
      <c r="K814" s="52" t="s">
        <v>878</v>
      </c>
      <c r="L814" s="52">
        <v>700</v>
      </c>
      <c r="M814" s="52">
        <v>300</v>
      </c>
    </row>
    <row r="815" spans="1:13" ht="15.75" customHeight="1">
      <c r="A815" s="52">
        <v>6</v>
      </c>
      <c r="B815" s="52" t="s">
        <v>879</v>
      </c>
      <c r="C815" s="52" t="s">
        <v>870</v>
      </c>
      <c r="D815" s="52" t="s">
        <v>869</v>
      </c>
      <c r="E815" s="52">
        <v>8875</v>
      </c>
      <c r="K815" s="52" t="s">
        <v>880</v>
      </c>
      <c r="L815" s="52">
        <v>800</v>
      </c>
      <c r="M815" s="52">
        <v>200</v>
      </c>
    </row>
    <row r="816" spans="1:13" ht="15.75" customHeight="1">
      <c r="A816" s="52">
        <v>7</v>
      </c>
      <c r="B816" s="52" t="s">
        <v>881</v>
      </c>
      <c r="C816" s="52" t="s">
        <v>516</v>
      </c>
      <c r="D816" s="52" t="s">
        <v>869</v>
      </c>
      <c r="E816" s="52">
        <v>10625</v>
      </c>
    </row>
    <row r="817" spans="1:11" ht="15.75" customHeight="1">
      <c r="A817" s="52">
        <v>8</v>
      </c>
      <c r="B817" s="52" t="s">
        <v>882</v>
      </c>
      <c r="C817" s="52" t="s">
        <v>867</v>
      </c>
      <c r="D817" s="52" t="s">
        <v>872</v>
      </c>
      <c r="E817" s="52">
        <v>11250</v>
      </c>
    </row>
    <row r="818" spans="1:11" ht="15.75" customHeight="1">
      <c r="A818" s="52">
        <v>9</v>
      </c>
      <c r="B818" s="52" t="s">
        <v>883</v>
      </c>
      <c r="C818" s="52" t="s">
        <v>441</v>
      </c>
      <c r="D818" s="52" t="s">
        <v>884</v>
      </c>
      <c r="E818" s="52">
        <v>10625</v>
      </c>
      <c r="J818" s="155" t="s">
        <v>586</v>
      </c>
      <c r="K818" s="155" t="s">
        <v>866</v>
      </c>
    </row>
    <row r="819" spans="1:11" ht="15.75" customHeight="1">
      <c r="A819" s="52">
        <v>10</v>
      </c>
      <c r="B819" s="52" t="s">
        <v>885</v>
      </c>
      <c r="C819" s="52" t="s">
        <v>874</v>
      </c>
      <c r="D819" s="52" t="s">
        <v>869</v>
      </c>
      <c r="E819" s="52">
        <v>15000</v>
      </c>
      <c r="J819" s="52" t="s">
        <v>587</v>
      </c>
      <c r="K819" s="52">
        <v>100</v>
      </c>
    </row>
    <row r="820" spans="1:11" ht="15.75" customHeight="1">
      <c r="A820" s="52">
        <v>11</v>
      </c>
      <c r="B820" s="52" t="s">
        <v>886</v>
      </c>
      <c r="C820" s="52" t="s">
        <v>441</v>
      </c>
      <c r="D820" s="52" t="s">
        <v>872</v>
      </c>
      <c r="E820" s="52">
        <v>13750</v>
      </c>
      <c r="J820" s="52" t="s">
        <v>872</v>
      </c>
      <c r="K820" s="52">
        <v>200</v>
      </c>
    </row>
    <row r="821" spans="1:11" ht="15.75" customHeight="1">
      <c r="A821" s="52">
        <v>12</v>
      </c>
      <c r="B821" s="52" t="s">
        <v>887</v>
      </c>
      <c r="C821" s="52" t="s">
        <v>876</v>
      </c>
      <c r="D821" s="52" t="s">
        <v>888</v>
      </c>
      <c r="E821" s="52">
        <v>35000</v>
      </c>
      <c r="J821" s="52" t="s">
        <v>884</v>
      </c>
      <c r="K821" s="52">
        <v>300</v>
      </c>
    </row>
    <row r="822" spans="1:11" ht="15.75" customHeight="1">
      <c r="A822" s="52">
        <v>13</v>
      </c>
      <c r="B822" s="52" t="s">
        <v>889</v>
      </c>
      <c r="C822" s="52" t="s">
        <v>878</v>
      </c>
      <c r="D822" s="52" t="s">
        <v>869</v>
      </c>
      <c r="E822" s="52">
        <v>10625</v>
      </c>
      <c r="J822" s="52" t="s">
        <v>588</v>
      </c>
      <c r="K822" s="52">
        <v>400</v>
      </c>
    </row>
    <row r="823" spans="1:11" ht="15.75" customHeight="1">
      <c r="A823" s="52">
        <v>14</v>
      </c>
      <c r="B823" s="52" t="s">
        <v>890</v>
      </c>
      <c r="C823" s="52" t="s">
        <v>878</v>
      </c>
      <c r="D823" s="52" t="s">
        <v>869</v>
      </c>
      <c r="E823" s="52">
        <v>10625</v>
      </c>
    </row>
    <row r="824" spans="1:11" ht="15.75" customHeight="1">
      <c r="A824" s="52">
        <v>15</v>
      </c>
      <c r="B824" s="52" t="s">
        <v>891</v>
      </c>
      <c r="C824" s="52" t="s">
        <v>874</v>
      </c>
      <c r="D824" s="52" t="s">
        <v>872</v>
      </c>
      <c r="E824" s="52">
        <v>11250</v>
      </c>
    </row>
    <row r="825" spans="1:11" ht="15.75" customHeight="1">
      <c r="A825" s="52">
        <v>16</v>
      </c>
      <c r="B825" s="52" t="s">
        <v>892</v>
      </c>
      <c r="C825" s="52" t="s">
        <v>874</v>
      </c>
      <c r="D825" s="52" t="s">
        <v>884</v>
      </c>
      <c r="E825" s="52">
        <v>11250</v>
      </c>
    </row>
    <row r="826" spans="1:11" ht="15.75" customHeight="1">
      <c r="A826" s="52">
        <v>17</v>
      </c>
      <c r="B826" s="52" t="s">
        <v>893</v>
      </c>
      <c r="C826" s="52" t="s">
        <v>867</v>
      </c>
      <c r="D826" s="52" t="s">
        <v>869</v>
      </c>
      <c r="E826" s="52">
        <v>7500</v>
      </c>
    </row>
    <row r="827" spans="1:11" ht="15.75" customHeight="1"/>
    <row r="828" spans="1:11" ht="15.75" customHeight="1"/>
    <row r="829" spans="1:11" ht="15.75" customHeight="1"/>
    <row r="830" spans="1:11" ht="15.75" customHeight="1"/>
    <row r="831" spans="1:11" ht="15.75" customHeight="1"/>
    <row r="832" spans="1:11" ht="15.75" customHeight="1"/>
    <row r="833" spans="1:11" ht="15.75" customHeight="1"/>
    <row r="834" spans="1:11" ht="15.75" customHeight="1"/>
    <row r="835" spans="1:11" ht="15.75" customHeight="1">
      <c r="A835" s="334" t="s">
        <v>894</v>
      </c>
      <c r="B835" s="334"/>
      <c r="C835" s="334"/>
      <c r="D835" s="334"/>
      <c r="E835" s="334"/>
      <c r="F835" s="334"/>
      <c r="G835" s="334"/>
      <c r="H835" s="334"/>
      <c r="I835" s="334"/>
      <c r="J835" s="334"/>
      <c r="K835" s="334"/>
    </row>
    <row r="836" spans="1:11" ht="15.75" customHeight="1">
      <c r="A836" s="334"/>
      <c r="B836" s="334"/>
      <c r="C836" s="334"/>
      <c r="D836" s="334"/>
      <c r="E836" s="334"/>
      <c r="F836" s="334"/>
      <c r="G836" s="334"/>
      <c r="H836" s="334"/>
      <c r="I836" s="334"/>
      <c r="J836" s="334"/>
      <c r="K836" s="334"/>
    </row>
    <row r="837" spans="1:11" ht="15.75" customHeight="1">
      <c r="A837" s="156" t="s">
        <v>895</v>
      </c>
      <c r="B837" s="156" t="s">
        <v>381</v>
      </c>
      <c r="C837" s="156" t="s">
        <v>837</v>
      </c>
      <c r="D837" s="156" t="s">
        <v>592</v>
      </c>
      <c r="E837" s="156" t="s">
        <v>896</v>
      </c>
      <c r="F837" s="156" t="s">
        <v>267</v>
      </c>
      <c r="H837" s="157" t="s">
        <v>897</v>
      </c>
      <c r="I837" s="157" t="s">
        <v>862</v>
      </c>
      <c r="J837" s="157" t="s">
        <v>267</v>
      </c>
    </row>
    <row r="838" spans="1:11" ht="15.75" customHeight="1">
      <c r="A838" s="52">
        <v>1</v>
      </c>
      <c r="B838" s="52" t="s">
        <v>868</v>
      </c>
      <c r="C838" s="52" t="s">
        <v>516</v>
      </c>
      <c r="D838" s="146">
        <v>15625</v>
      </c>
      <c r="H838" s="52">
        <v>1</v>
      </c>
      <c r="I838" s="158">
        <v>0.05</v>
      </c>
      <c r="J838" s="52" t="s">
        <v>0</v>
      </c>
    </row>
    <row r="839" spans="1:11" ht="15.75" customHeight="1">
      <c r="A839" s="52">
        <v>2</v>
      </c>
      <c r="B839" s="52" t="s">
        <v>871</v>
      </c>
      <c r="C839" s="52" t="s">
        <v>516</v>
      </c>
      <c r="D839" s="146">
        <v>12500</v>
      </c>
      <c r="H839" s="52">
        <v>5001</v>
      </c>
      <c r="I839" s="158">
        <v>0.1</v>
      </c>
      <c r="J839" s="52" t="s">
        <v>1</v>
      </c>
    </row>
    <row r="840" spans="1:11" ht="15.75" customHeight="1">
      <c r="A840" s="52">
        <v>3</v>
      </c>
      <c r="B840" s="52" t="s">
        <v>873</v>
      </c>
      <c r="C840" s="52" t="s">
        <v>867</v>
      </c>
      <c r="D840" s="146">
        <v>8750</v>
      </c>
      <c r="H840" s="52">
        <v>10001</v>
      </c>
      <c r="I840" s="158">
        <v>0.15</v>
      </c>
      <c r="J840" s="52" t="s">
        <v>2</v>
      </c>
    </row>
    <row r="841" spans="1:11" ht="15.75" customHeight="1">
      <c r="A841" s="52">
        <v>4</v>
      </c>
      <c r="B841" s="52" t="s">
        <v>875</v>
      </c>
      <c r="C841" s="52" t="s">
        <v>870</v>
      </c>
      <c r="D841" s="146">
        <v>15000</v>
      </c>
      <c r="H841" s="52">
        <v>15001</v>
      </c>
      <c r="I841" s="158">
        <v>0.2</v>
      </c>
      <c r="J841" s="52" t="s">
        <v>3</v>
      </c>
    </row>
    <row r="842" spans="1:11" ht="15.75" customHeight="1">
      <c r="A842" s="52">
        <v>5</v>
      </c>
      <c r="B842" s="52" t="s">
        <v>898</v>
      </c>
      <c r="C842" s="52" t="s">
        <v>870</v>
      </c>
      <c r="D842" s="146">
        <v>8875</v>
      </c>
      <c r="H842" s="52">
        <v>20001</v>
      </c>
      <c r="I842" s="158">
        <v>0.25</v>
      </c>
      <c r="J842" s="52" t="s">
        <v>4</v>
      </c>
    </row>
    <row r="843" spans="1:11" ht="15.75" customHeight="1">
      <c r="A843" s="52">
        <v>6</v>
      </c>
      <c r="B843" s="52" t="s">
        <v>879</v>
      </c>
      <c r="C843" s="52" t="s">
        <v>870</v>
      </c>
      <c r="D843" s="146">
        <v>8875</v>
      </c>
      <c r="H843" s="52">
        <v>25001</v>
      </c>
      <c r="I843" s="158">
        <v>0.3</v>
      </c>
      <c r="J843" s="52" t="s">
        <v>5</v>
      </c>
    </row>
    <row r="844" spans="1:11" ht="15.75" customHeight="1">
      <c r="A844" s="52">
        <v>7</v>
      </c>
      <c r="B844" s="52" t="s">
        <v>881</v>
      </c>
      <c r="C844" s="52" t="s">
        <v>516</v>
      </c>
      <c r="D844" s="146">
        <v>10625</v>
      </c>
      <c r="H844" s="52">
        <v>30001</v>
      </c>
      <c r="I844" s="158">
        <v>0.35</v>
      </c>
      <c r="J844" s="52" t="s">
        <v>899</v>
      </c>
    </row>
    <row r="845" spans="1:11" ht="15.75" customHeight="1">
      <c r="A845" s="52">
        <v>8</v>
      </c>
      <c r="B845" s="52" t="s">
        <v>882</v>
      </c>
      <c r="C845" s="52" t="s">
        <v>867</v>
      </c>
      <c r="D845" s="146">
        <v>11250</v>
      </c>
      <c r="H845" s="52">
        <v>35001</v>
      </c>
      <c r="I845" s="158">
        <v>0.4</v>
      </c>
      <c r="J845" s="52" t="s">
        <v>900</v>
      </c>
    </row>
    <row r="846" spans="1:11" ht="15.75" customHeight="1">
      <c r="A846" s="52">
        <v>9</v>
      </c>
      <c r="B846" s="52" t="s">
        <v>883</v>
      </c>
      <c r="C846" s="52" t="s">
        <v>441</v>
      </c>
      <c r="D846" s="146">
        <v>10625</v>
      </c>
    </row>
    <row r="847" spans="1:11" ht="15.75" customHeight="1">
      <c r="A847" s="52">
        <v>10</v>
      </c>
      <c r="B847" s="52" t="s">
        <v>885</v>
      </c>
      <c r="C847" s="52" t="s">
        <v>874</v>
      </c>
      <c r="D847" s="146">
        <v>15000</v>
      </c>
    </row>
    <row r="848" spans="1:11" ht="15.75" customHeight="1">
      <c r="A848" s="52">
        <v>11</v>
      </c>
      <c r="B848" s="52" t="s">
        <v>886</v>
      </c>
      <c r="C848" s="52" t="s">
        <v>441</v>
      </c>
      <c r="D848" s="146">
        <v>13750</v>
      </c>
    </row>
    <row r="849" spans="1:4" ht="15.75" customHeight="1">
      <c r="A849" s="52">
        <v>12</v>
      </c>
      <c r="B849" s="52" t="s">
        <v>901</v>
      </c>
      <c r="C849" s="52" t="s">
        <v>876</v>
      </c>
      <c r="D849" s="146">
        <v>35000</v>
      </c>
    </row>
    <row r="850" spans="1:4" ht="15.75" customHeight="1">
      <c r="A850" s="52">
        <v>13</v>
      </c>
      <c r="B850" s="52" t="s">
        <v>889</v>
      </c>
      <c r="C850" s="52" t="s">
        <v>878</v>
      </c>
      <c r="D850" s="146">
        <v>10625</v>
      </c>
    </row>
    <row r="851" spans="1:4" ht="15.75" customHeight="1">
      <c r="A851" s="52">
        <v>14</v>
      </c>
      <c r="B851" s="52" t="s">
        <v>890</v>
      </c>
      <c r="C851" s="52" t="s">
        <v>878</v>
      </c>
      <c r="D851" s="146">
        <v>10625</v>
      </c>
    </row>
    <row r="852" spans="1:4" ht="15.75" customHeight="1">
      <c r="A852" s="52">
        <v>15</v>
      </c>
      <c r="B852" s="52" t="s">
        <v>891</v>
      </c>
      <c r="C852" s="52" t="s">
        <v>874</v>
      </c>
      <c r="D852" s="146">
        <v>11250</v>
      </c>
    </row>
    <row r="853" spans="1:4" ht="15.75" customHeight="1">
      <c r="A853" s="52">
        <v>16</v>
      </c>
      <c r="B853" s="52" t="s">
        <v>892</v>
      </c>
      <c r="C853" s="52" t="s">
        <v>874</v>
      </c>
      <c r="D853" s="146">
        <v>11250</v>
      </c>
    </row>
    <row r="854" spans="1:4" ht="15.75" customHeight="1">
      <c r="A854" s="52">
        <v>17</v>
      </c>
      <c r="B854" s="52" t="s">
        <v>893</v>
      </c>
      <c r="C854" s="52" t="s">
        <v>867</v>
      </c>
      <c r="D854" s="146">
        <v>7500</v>
      </c>
    </row>
    <row r="855" spans="1:4" ht="15.75" customHeight="1">
      <c r="A855" s="52">
        <v>18</v>
      </c>
      <c r="B855" s="52" t="s">
        <v>902</v>
      </c>
      <c r="C855" s="52" t="s">
        <v>867</v>
      </c>
      <c r="D855" s="146">
        <v>4250</v>
      </c>
    </row>
    <row r="856" spans="1:4" ht="15.75" customHeight="1">
      <c r="A856" s="52">
        <v>19</v>
      </c>
      <c r="B856" s="52" t="s">
        <v>903</v>
      </c>
      <c r="C856" s="52" t="s">
        <v>867</v>
      </c>
      <c r="D856" s="146">
        <v>5625</v>
      </c>
    </row>
    <row r="857" spans="1:4" ht="15.75" customHeight="1">
      <c r="A857" s="52">
        <v>20</v>
      </c>
      <c r="B857" s="52" t="s">
        <v>904</v>
      </c>
      <c r="C857" s="52" t="s">
        <v>867</v>
      </c>
      <c r="D857" s="146">
        <v>5625</v>
      </c>
    </row>
    <row r="858" spans="1:4" ht="15.75" customHeight="1">
      <c r="A858" s="52">
        <v>21</v>
      </c>
      <c r="B858" s="52" t="s">
        <v>905</v>
      </c>
      <c r="C858" s="52" t="s">
        <v>867</v>
      </c>
      <c r="D858" s="146">
        <v>5625</v>
      </c>
    </row>
    <row r="859" spans="1:4" ht="15.75" customHeight="1">
      <c r="A859" s="52">
        <v>22</v>
      </c>
      <c r="B859" s="52" t="s">
        <v>906</v>
      </c>
      <c r="C859" s="52" t="s">
        <v>516</v>
      </c>
      <c r="D859" s="146">
        <v>10625</v>
      </c>
    </row>
    <row r="860" spans="1:4" ht="15.75" customHeight="1">
      <c r="A860" s="52">
        <v>23</v>
      </c>
      <c r="B860" s="52" t="s">
        <v>907</v>
      </c>
      <c r="C860" s="52" t="s">
        <v>870</v>
      </c>
      <c r="D860" s="146">
        <v>5625</v>
      </c>
    </row>
    <row r="861" spans="1:4" ht="15.75" customHeight="1">
      <c r="A861" s="52">
        <v>24</v>
      </c>
      <c r="B861" s="52" t="s">
        <v>908</v>
      </c>
      <c r="C861" s="52" t="s">
        <v>516</v>
      </c>
      <c r="D861" s="146">
        <v>13750</v>
      </c>
    </row>
    <row r="862" spans="1:4" ht="15.75" customHeight="1">
      <c r="A862" s="52">
        <v>25</v>
      </c>
      <c r="B862" s="52" t="s">
        <v>909</v>
      </c>
      <c r="C862" s="52" t="s">
        <v>516</v>
      </c>
      <c r="D862" s="146">
        <v>9375</v>
      </c>
    </row>
    <row r="863" spans="1:4" ht="15.75" customHeight="1">
      <c r="A863" s="52">
        <v>26</v>
      </c>
      <c r="B863" s="52" t="s">
        <v>910</v>
      </c>
      <c r="C863" s="52" t="s">
        <v>870</v>
      </c>
      <c r="D863" s="146">
        <v>7500</v>
      </c>
    </row>
    <row r="864" spans="1:4" ht="15.75" customHeight="1">
      <c r="A864" s="52">
        <v>27</v>
      </c>
      <c r="B864" s="52" t="s">
        <v>911</v>
      </c>
      <c r="C864" s="52" t="s">
        <v>874</v>
      </c>
      <c r="D864" s="146">
        <v>6875</v>
      </c>
    </row>
    <row r="865" spans="1:4" ht="15.75" customHeight="1">
      <c r="A865" s="52">
        <v>28</v>
      </c>
      <c r="B865" s="52" t="s">
        <v>912</v>
      </c>
      <c r="C865" s="52" t="s">
        <v>878</v>
      </c>
      <c r="D865" s="146">
        <v>10125</v>
      </c>
    </row>
    <row r="866" spans="1:4" ht="15.75" customHeight="1">
      <c r="A866" s="52">
        <v>29</v>
      </c>
      <c r="B866" s="52" t="s">
        <v>913</v>
      </c>
      <c r="C866" s="52" t="s">
        <v>870</v>
      </c>
      <c r="D866" s="146">
        <v>11250</v>
      </c>
    </row>
    <row r="867" spans="1:4" ht="15.75" customHeight="1">
      <c r="A867" s="52">
        <v>30</v>
      </c>
      <c r="B867" s="52" t="s">
        <v>914</v>
      </c>
      <c r="C867" s="52" t="s">
        <v>880</v>
      </c>
      <c r="D867" s="146">
        <v>11250</v>
      </c>
    </row>
    <row r="868" spans="1:4" ht="15.75" customHeight="1">
      <c r="A868" s="52">
        <v>31</v>
      </c>
      <c r="B868" s="52" t="s">
        <v>915</v>
      </c>
      <c r="C868" s="52" t="s">
        <v>880</v>
      </c>
      <c r="D868" s="146">
        <v>5000</v>
      </c>
    </row>
    <row r="869" spans="1:4" ht="15.75" customHeight="1">
      <c r="A869" s="52">
        <v>32</v>
      </c>
      <c r="B869" s="52" t="s">
        <v>916</v>
      </c>
      <c r="C869" s="52" t="s">
        <v>880</v>
      </c>
      <c r="D869" s="146">
        <v>6250</v>
      </c>
    </row>
    <row r="870" spans="1:4" ht="15.75" customHeight="1">
      <c r="A870" s="52">
        <v>33</v>
      </c>
      <c r="B870" s="52" t="s">
        <v>917</v>
      </c>
      <c r="C870" s="52" t="s">
        <v>867</v>
      </c>
      <c r="D870" s="146">
        <v>6625</v>
      </c>
    </row>
    <row r="871" spans="1:4" ht="15.75" customHeight="1">
      <c r="A871" s="52">
        <v>34</v>
      </c>
      <c r="B871" s="52" t="s">
        <v>906</v>
      </c>
      <c r="C871" s="52" t="s">
        <v>878</v>
      </c>
      <c r="D871" s="146">
        <v>8375</v>
      </c>
    </row>
    <row r="872" spans="1:4" ht="15.75" customHeight="1">
      <c r="A872" s="52">
        <v>35</v>
      </c>
      <c r="B872" s="52" t="s">
        <v>885</v>
      </c>
      <c r="C872" s="52" t="s">
        <v>441</v>
      </c>
      <c r="D872" s="146">
        <v>17500</v>
      </c>
    </row>
    <row r="873" spans="1:4" ht="15.75" customHeight="1">
      <c r="A873" s="52">
        <v>36</v>
      </c>
      <c r="B873" s="52" t="s">
        <v>918</v>
      </c>
      <c r="C873" s="52" t="s">
        <v>441</v>
      </c>
      <c r="D873" s="146">
        <v>17500</v>
      </c>
    </row>
    <row r="874" spans="1:4" ht="15.75" customHeight="1">
      <c r="A874" s="52">
        <v>37</v>
      </c>
      <c r="B874" s="52" t="s">
        <v>919</v>
      </c>
      <c r="C874" s="52" t="s">
        <v>441</v>
      </c>
      <c r="D874" s="146">
        <v>17500</v>
      </c>
    </row>
    <row r="875" spans="1:4" ht="15.75" customHeight="1">
      <c r="A875" s="52">
        <v>38</v>
      </c>
      <c r="B875" s="52" t="s">
        <v>658</v>
      </c>
      <c r="C875" s="52" t="s">
        <v>516</v>
      </c>
      <c r="D875" s="146">
        <v>7500</v>
      </c>
    </row>
    <row r="876" spans="1:4" ht="15.75" customHeight="1">
      <c r="A876" s="52">
        <v>39</v>
      </c>
      <c r="B876" s="52" t="s">
        <v>920</v>
      </c>
      <c r="C876" s="52" t="s">
        <v>874</v>
      </c>
      <c r="D876" s="146">
        <v>5625</v>
      </c>
    </row>
    <row r="877" spans="1:4" ht="15.75" customHeight="1">
      <c r="A877" s="52">
        <v>40</v>
      </c>
      <c r="B877" s="52" t="s">
        <v>906</v>
      </c>
      <c r="C877" s="52" t="s">
        <v>870</v>
      </c>
      <c r="D877" s="146">
        <v>9500</v>
      </c>
    </row>
    <row r="878" spans="1:4" ht="15.75" customHeight="1"/>
    <row r="879" spans="1:4" ht="15.75" customHeight="1"/>
    <row r="880" spans="1:4" ht="15.75" customHeight="1"/>
    <row r="881" spans="1:10" ht="15.75" customHeight="1"/>
    <row r="882" spans="1:10" ht="15.75" customHeight="1"/>
    <row r="883" spans="1:10" ht="15.75" customHeight="1">
      <c r="A883" s="335" t="s">
        <v>921</v>
      </c>
      <c r="B883" s="335"/>
      <c r="C883" s="335"/>
      <c r="D883" s="335"/>
      <c r="E883" s="335"/>
      <c r="F883" s="335"/>
      <c r="G883" s="335"/>
      <c r="H883" s="335"/>
      <c r="I883" s="335"/>
      <c r="J883" s="335"/>
    </row>
    <row r="884" spans="1:10" ht="15.75" customHeight="1">
      <c r="A884" s="335"/>
      <c r="B884" s="335"/>
      <c r="C884" s="335"/>
      <c r="D884" s="335"/>
      <c r="E884" s="335"/>
      <c r="F884" s="335"/>
      <c r="G884" s="335"/>
      <c r="H884" s="335"/>
      <c r="I884" s="335"/>
      <c r="J884" s="335"/>
    </row>
    <row r="885" spans="1:10" ht="15.75" customHeight="1">
      <c r="A885" s="52" t="s">
        <v>922</v>
      </c>
      <c r="B885" s="52" t="s">
        <v>923</v>
      </c>
      <c r="C885" s="52" t="s">
        <v>924</v>
      </c>
      <c r="D885" s="52" t="s">
        <v>925</v>
      </c>
    </row>
    <row r="886" spans="1:10" ht="15.75" customHeight="1">
      <c r="A886" s="159">
        <v>21916</v>
      </c>
      <c r="B886" s="159">
        <v>25698</v>
      </c>
      <c r="C886" s="52" t="s">
        <v>926</v>
      </c>
      <c r="D886" s="342">
        <f>DATEDIF(A886,B886,"d")</f>
        <v>3782</v>
      </c>
      <c r="F886" s="52" t="s">
        <v>927</v>
      </c>
      <c r="G886" s="159">
        <v>21916</v>
      </c>
    </row>
    <row r="887" spans="1:10" ht="15.75" customHeight="1">
      <c r="A887" s="159">
        <v>21916</v>
      </c>
      <c r="B887" s="159">
        <v>25698</v>
      </c>
      <c r="C887" s="52" t="s">
        <v>782</v>
      </c>
      <c r="D887" s="342">
        <f>DATEDIF(A887,B887,"m")</f>
        <v>124</v>
      </c>
    </row>
    <row r="888" spans="1:10" ht="15.75" customHeight="1">
      <c r="A888" s="159">
        <v>21916</v>
      </c>
      <c r="B888" s="159">
        <v>25698</v>
      </c>
      <c r="C888" s="52" t="s">
        <v>928</v>
      </c>
      <c r="D888" s="342">
        <f>DATEDIF(A888,B888,"y")</f>
        <v>10</v>
      </c>
      <c r="F888" s="52" t="s">
        <v>929</v>
      </c>
      <c r="G888" s="343">
        <f ca="1">DATEDIF(G886,TODAY(),"y")</f>
        <v>64</v>
      </c>
    </row>
    <row r="889" spans="1:10" ht="15.75" customHeight="1">
      <c r="A889" s="159">
        <v>21916</v>
      </c>
      <c r="B889" s="159">
        <v>25698</v>
      </c>
      <c r="C889" s="52" t="s">
        <v>930</v>
      </c>
      <c r="D889" s="342">
        <f>DATEDIF(A889,B889,"yd")</f>
        <v>130</v>
      </c>
      <c r="F889" s="52" t="s">
        <v>931</v>
      </c>
      <c r="G889" s="343">
        <f ca="1">DATEDIF(G886,TODAY(),"ym")</f>
        <v>10</v>
      </c>
    </row>
    <row r="890" spans="1:10" ht="15.75" customHeight="1">
      <c r="A890" s="159">
        <v>21916</v>
      </c>
      <c r="B890" s="159">
        <v>25698</v>
      </c>
      <c r="C890" s="52" t="s">
        <v>932</v>
      </c>
      <c r="D890" s="342">
        <f>DATEDIF(A890,B890,"ym")</f>
        <v>4</v>
      </c>
      <c r="F890" s="52" t="s">
        <v>933</v>
      </c>
      <c r="G890" s="343">
        <f ca="1">DATEDIF(G886,TODAY(),"md")</f>
        <v>9</v>
      </c>
    </row>
    <row r="891" spans="1:10" ht="15.75" customHeight="1">
      <c r="A891" s="159">
        <v>21916</v>
      </c>
      <c r="B891" s="159">
        <v>25698</v>
      </c>
      <c r="C891" s="52" t="s">
        <v>934</v>
      </c>
      <c r="D891" s="342">
        <f>DATEDIF(A891,B891,"md")</f>
        <v>9</v>
      </c>
    </row>
    <row r="892" spans="1:10" ht="15.75" customHeight="1">
      <c r="B892" s="159"/>
    </row>
    <row r="893" spans="1:10" ht="15.75" customHeight="1"/>
    <row r="894" spans="1:10" ht="15.75" customHeight="1"/>
    <row r="895" spans="1:10" ht="15.75" customHeight="1"/>
    <row r="896" spans="1:10" ht="15.75" customHeight="1"/>
    <row r="897" spans="1:10" ht="15.75" customHeight="1"/>
    <row r="898" spans="1:10" ht="15.75" customHeight="1">
      <c r="B898" s="254" t="s">
        <v>935</v>
      </c>
      <c r="C898" s="191"/>
      <c r="D898" s="191"/>
      <c r="E898" s="191"/>
      <c r="F898" s="191"/>
      <c r="G898" s="191"/>
      <c r="H898" s="191"/>
      <c r="I898" s="191"/>
      <c r="J898" s="191"/>
    </row>
    <row r="899" spans="1:10" ht="15.75" customHeight="1">
      <c r="B899" s="191"/>
      <c r="C899" s="191"/>
      <c r="D899" s="191"/>
      <c r="E899" s="191"/>
      <c r="F899" s="191"/>
      <c r="G899" s="191"/>
      <c r="H899" s="191"/>
      <c r="I899" s="191"/>
      <c r="J899" s="191"/>
    </row>
    <row r="900" spans="1:10" ht="15.75" customHeight="1">
      <c r="B900" s="160" t="s">
        <v>936</v>
      </c>
      <c r="C900" s="160" t="s">
        <v>937</v>
      </c>
      <c r="D900" s="160" t="s">
        <v>938</v>
      </c>
    </row>
    <row r="901" spans="1:10" ht="15.75" customHeight="1">
      <c r="B901" s="161" t="s">
        <v>939</v>
      </c>
      <c r="C901" s="52" t="s">
        <v>940</v>
      </c>
      <c r="D901" s="323">
        <f t="shared" ref="D901:D904" si="32">FIND(C901,B901)</f>
        <v>2</v>
      </c>
    </row>
    <row r="902" spans="1:10" ht="15.75" customHeight="1">
      <c r="B902" s="161" t="s">
        <v>939</v>
      </c>
      <c r="C902" s="52" t="s">
        <v>900</v>
      </c>
      <c r="D902" s="323">
        <f t="shared" si="32"/>
        <v>1</v>
      </c>
    </row>
    <row r="903" spans="1:10" ht="15.75" customHeight="1">
      <c r="B903" s="161" t="s">
        <v>939</v>
      </c>
      <c r="C903" s="52" t="s">
        <v>941</v>
      </c>
      <c r="D903" s="323">
        <f t="shared" si="32"/>
        <v>5</v>
      </c>
    </row>
    <row r="904" spans="1:10" ht="15.75" customHeight="1">
      <c r="B904" s="161" t="s">
        <v>942</v>
      </c>
      <c r="C904" s="52" t="s">
        <v>943</v>
      </c>
      <c r="D904" s="323">
        <f t="shared" si="32"/>
        <v>3</v>
      </c>
    </row>
    <row r="905" spans="1:10" ht="15.75" customHeight="1">
      <c r="B905" s="161" t="s">
        <v>942</v>
      </c>
      <c r="C905" s="52" t="s">
        <v>943</v>
      </c>
      <c r="D905" s="323">
        <f>FIND(C905,B905,6)</f>
        <v>11</v>
      </c>
    </row>
    <row r="906" spans="1:10" ht="15.75" customHeight="1">
      <c r="B906" s="161" t="s">
        <v>942</v>
      </c>
      <c r="C906" s="52" t="s">
        <v>944</v>
      </c>
      <c r="D906" s="323" t="e">
        <f>FIND(C906,B906)</f>
        <v>#VALUE!</v>
      </c>
    </row>
    <row r="907" spans="1:10" ht="15.75" customHeight="1"/>
    <row r="908" spans="1:10" ht="15.75" customHeight="1"/>
    <row r="909" spans="1:10" ht="15.75" customHeight="1">
      <c r="A909" s="52"/>
      <c r="B909" s="52" t="s">
        <v>945</v>
      </c>
      <c r="D909" s="52" t="s">
        <v>946</v>
      </c>
      <c r="E909" s="323">
        <f>LARGE(B910:B914,1)</f>
        <v>800</v>
      </c>
    </row>
    <row r="910" spans="1:10" ht="15.75" customHeight="1">
      <c r="A910" s="52"/>
      <c r="B910" s="162">
        <v>120</v>
      </c>
      <c r="D910" s="52" t="s">
        <v>947</v>
      </c>
      <c r="E910" s="323">
        <f>LARGE(B910:B914,2)</f>
        <v>250</v>
      </c>
    </row>
    <row r="911" spans="1:10" ht="15.75" customHeight="1">
      <c r="A911" s="52"/>
      <c r="B911" s="162">
        <v>800</v>
      </c>
      <c r="D911" s="52" t="s">
        <v>948</v>
      </c>
      <c r="E911" s="323">
        <f>LARGE(B911:B915,3)</f>
        <v>120</v>
      </c>
    </row>
    <row r="912" spans="1:10" ht="15.75" customHeight="1">
      <c r="A912" s="52"/>
      <c r="B912" s="162">
        <v>100</v>
      </c>
      <c r="D912" s="52" t="s">
        <v>949</v>
      </c>
      <c r="E912" s="323">
        <f>LARGE(B910:B914,4)</f>
        <v>120</v>
      </c>
    </row>
    <row r="913" spans="1:7" ht="15.75" customHeight="1">
      <c r="A913" s="52"/>
      <c r="B913" s="162">
        <v>120</v>
      </c>
      <c r="D913" s="52" t="s">
        <v>950</v>
      </c>
      <c r="E913" s="323">
        <f>LARGE(B910:B914,5)</f>
        <v>100</v>
      </c>
    </row>
    <row r="914" spans="1:7" ht="15.75" customHeight="1">
      <c r="B914" s="162">
        <v>250</v>
      </c>
    </row>
    <row r="915" spans="1:7" ht="15.75" customHeight="1"/>
    <row r="916" spans="1:7" ht="15.75" customHeight="1"/>
    <row r="917" spans="1:7" ht="15.75" customHeight="1"/>
    <row r="918" spans="1:7" ht="15.75" customHeight="1">
      <c r="A918" s="52"/>
      <c r="B918" s="52" t="s">
        <v>516</v>
      </c>
      <c r="C918" s="52" t="s">
        <v>495</v>
      </c>
      <c r="D918" s="52" t="s">
        <v>951</v>
      </c>
      <c r="E918" s="52" t="s">
        <v>497</v>
      </c>
    </row>
    <row r="919" spans="1:7" ht="15.75" customHeight="1">
      <c r="A919" s="163"/>
      <c r="B919" s="52" t="s">
        <v>587</v>
      </c>
      <c r="C919" s="163">
        <v>5000</v>
      </c>
      <c r="D919" s="163">
        <v>6000</v>
      </c>
      <c r="E919" s="163">
        <v>4500</v>
      </c>
    </row>
    <row r="920" spans="1:7" ht="15.75" customHeight="1">
      <c r="A920" s="163"/>
      <c r="B920" s="52" t="s">
        <v>588</v>
      </c>
      <c r="C920" s="163">
        <v>5800</v>
      </c>
      <c r="D920" s="163">
        <v>7000</v>
      </c>
      <c r="E920" s="163">
        <v>3000</v>
      </c>
    </row>
    <row r="921" spans="1:7" ht="15.75" customHeight="1">
      <c r="A921" s="163"/>
      <c r="B921" s="52" t="s">
        <v>139</v>
      </c>
      <c r="C921" s="163">
        <v>3500</v>
      </c>
      <c r="D921" s="163">
        <v>2000</v>
      </c>
      <c r="E921" s="163">
        <v>10000</v>
      </c>
    </row>
    <row r="922" spans="1:7" ht="15.75" customHeight="1">
      <c r="A922" s="163"/>
      <c r="B922" s="52" t="s">
        <v>589</v>
      </c>
      <c r="C922" s="163">
        <v>12000</v>
      </c>
      <c r="D922" s="163">
        <v>4000</v>
      </c>
      <c r="E922" s="163">
        <v>6000</v>
      </c>
    </row>
    <row r="923" spans="1:7" ht="15.75" customHeight="1"/>
    <row r="924" spans="1:7" ht="15.75" customHeight="1"/>
    <row r="925" spans="1:7" ht="15.75" customHeight="1">
      <c r="C925" s="52" t="s">
        <v>946</v>
      </c>
      <c r="D925" s="349">
        <f>LARGE(C919:F922,1)</f>
        <v>12000</v>
      </c>
      <c r="F925" s="52" t="s">
        <v>952</v>
      </c>
      <c r="G925" s="350">
        <f>MAX(C919:E922)</f>
        <v>12000</v>
      </c>
    </row>
    <row r="926" spans="1:7" ht="15.75" customHeight="1">
      <c r="C926" s="52" t="s">
        <v>947</v>
      </c>
      <c r="D926" s="349">
        <f>LARGE(C919:E922,2)</f>
        <v>10000</v>
      </c>
      <c r="F926" s="52" t="s">
        <v>953</v>
      </c>
      <c r="G926" s="350">
        <f>MIN(C919:E922)</f>
        <v>2000</v>
      </c>
    </row>
    <row r="927" spans="1:7" ht="15.75" customHeight="1">
      <c r="C927" s="52" t="s">
        <v>948</v>
      </c>
      <c r="D927" s="349">
        <f>LARGE(C919:E922,3)</f>
        <v>7000</v>
      </c>
    </row>
    <row r="928" spans="1:7" ht="15.75" customHeight="1"/>
    <row r="929" spans="2:11" ht="15.75" customHeight="1"/>
    <row r="930" spans="2:11" ht="15.75" customHeight="1"/>
    <row r="931" spans="2:11" ht="15.75" customHeight="1"/>
    <row r="932" spans="2:11" ht="15.75" customHeight="1"/>
    <row r="933" spans="2:11" ht="15.75" customHeight="1"/>
    <row r="934" spans="2:11" ht="15.75" customHeight="1">
      <c r="B934" s="255" t="s">
        <v>954</v>
      </c>
      <c r="C934" s="191"/>
      <c r="D934" s="191"/>
      <c r="E934" s="191"/>
      <c r="F934" s="191"/>
      <c r="G934" s="191"/>
      <c r="H934" s="191"/>
      <c r="I934" s="191"/>
      <c r="J934" s="191"/>
      <c r="K934" s="191"/>
    </row>
    <row r="935" spans="2:11" ht="15.75" customHeight="1">
      <c r="B935" s="191"/>
      <c r="C935" s="191"/>
      <c r="D935" s="191"/>
      <c r="E935" s="191"/>
      <c r="F935" s="191"/>
      <c r="G935" s="191"/>
      <c r="H935" s="191"/>
      <c r="I935" s="191"/>
      <c r="J935" s="191"/>
      <c r="K935" s="191"/>
    </row>
    <row r="936" spans="2:11" ht="15.75" customHeight="1">
      <c r="B936" s="52" t="s">
        <v>936</v>
      </c>
      <c r="C936" s="52" t="s">
        <v>955</v>
      </c>
      <c r="D936" s="52" t="s">
        <v>956</v>
      </c>
    </row>
    <row r="937" spans="2:11" ht="15.75" customHeight="1">
      <c r="B937" s="52" t="s">
        <v>957</v>
      </c>
      <c r="C937" s="52">
        <v>1</v>
      </c>
      <c r="D937" s="324" t="str">
        <f t="shared" ref="D937:D941" si="33">LEFT(B937,C937)</f>
        <v>A</v>
      </c>
    </row>
    <row r="938" spans="2:11" ht="15.75" customHeight="1">
      <c r="B938" s="52" t="s">
        <v>957</v>
      </c>
      <c r="C938" s="52">
        <v>2</v>
      </c>
      <c r="D938" s="324" t="str">
        <f t="shared" si="33"/>
        <v>Al</v>
      </c>
      <c r="E938" s="224" t="s">
        <v>958</v>
      </c>
      <c r="F938" s="191"/>
    </row>
    <row r="939" spans="2:11" ht="15.75" customHeight="1">
      <c r="B939" s="52" t="s">
        <v>957</v>
      </c>
      <c r="C939" s="52">
        <v>3</v>
      </c>
      <c r="D939" s="324" t="str">
        <f t="shared" si="33"/>
        <v>Ala</v>
      </c>
    </row>
    <row r="940" spans="2:11" ht="15.75" customHeight="1">
      <c r="B940" s="52" t="s">
        <v>959</v>
      </c>
      <c r="C940" s="52">
        <v>6</v>
      </c>
      <c r="D940" s="324" t="str">
        <f t="shared" si="33"/>
        <v>Cardif</v>
      </c>
    </row>
    <row r="941" spans="2:11" ht="15.75" customHeight="1">
      <c r="B941" s="52" t="s">
        <v>960</v>
      </c>
      <c r="C941" s="52">
        <v>4</v>
      </c>
      <c r="D941" s="324" t="str">
        <f t="shared" si="33"/>
        <v>ABC1</v>
      </c>
    </row>
    <row r="942" spans="2:11" ht="15.75" customHeight="1"/>
    <row r="943" spans="2:11" ht="15.75" customHeight="1"/>
    <row r="944" spans="2:11" ht="15.75" customHeight="1">
      <c r="B944" s="52" t="s">
        <v>410</v>
      </c>
      <c r="C944" s="52" t="s">
        <v>381</v>
      </c>
    </row>
    <row r="945" spans="2:6" ht="15.75" customHeight="1">
      <c r="B945" s="52" t="s">
        <v>961</v>
      </c>
      <c r="C945" s="324" t="str">
        <f>LEFT(B945,FIND(" ",B945)-1)</f>
        <v>Alan</v>
      </c>
      <c r="E945" s="224" t="s">
        <v>962</v>
      </c>
      <c r="F945" s="191"/>
    </row>
    <row r="946" spans="2:6" ht="15.75" customHeight="1">
      <c r="B946" s="52" t="s">
        <v>963</v>
      </c>
      <c r="C946" s="324" t="str">
        <f t="shared" ref="C946:C947" si="34">LEFT(B946,FIND(" ",B946)-1)</f>
        <v>Bob</v>
      </c>
    </row>
    <row r="947" spans="2:6" ht="15.75" customHeight="1">
      <c r="B947" s="52" t="s">
        <v>964</v>
      </c>
      <c r="C947" s="324" t="str">
        <f t="shared" si="34"/>
        <v>Carol</v>
      </c>
    </row>
    <row r="948" spans="2:6" ht="15.75" customHeight="1"/>
    <row r="949" spans="2:6" ht="15.75" customHeight="1"/>
    <row r="950" spans="2:6" ht="15.75" customHeight="1"/>
    <row r="951" spans="2:6" ht="15.75" customHeight="1"/>
    <row r="952" spans="2:6" ht="15.75" customHeight="1"/>
    <row r="953" spans="2:6" ht="15.75" customHeight="1"/>
    <row r="954" spans="2:6" ht="15.75" customHeight="1">
      <c r="B954" s="52" t="s">
        <v>936</v>
      </c>
      <c r="C954" s="52" t="s">
        <v>965</v>
      </c>
    </row>
    <row r="955" spans="2:6" ht="15.75" customHeight="1">
      <c r="B955" s="52" t="s">
        <v>957</v>
      </c>
      <c r="C955" s="324">
        <f>LEN(B955)</f>
        <v>10</v>
      </c>
      <c r="E955" s="224" t="s">
        <v>966</v>
      </c>
      <c r="F955" s="191"/>
    </row>
    <row r="956" spans="2:6" ht="15.75" customHeight="1">
      <c r="B956" s="52" t="s">
        <v>963</v>
      </c>
      <c r="C956" s="324">
        <f t="shared" ref="C956:C959" si="35">LEN(B956)</f>
        <v>9</v>
      </c>
    </row>
    <row r="957" spans="2:6" ht="15.75" customHeight="1">
      <c r="B957" s="52" t="s">
        <v>967</v>
      </c>
      <c r="C957" s="324">
        <f t="shared" si="35"/>
        <v>15</v>
      </c>
    </row>
    <row r="958" spans="2:6" ht="15.75" customHeight="1">
      <c r="B958" s="52" t="s">
        <v>959</v>
      </c>
      <c r="C958" s="324">
        <f t="shared" si="35"/>
        <v>7</v>
      </c>
    </row>
    <row r="959" spans="2:6" ht="15.75" customHeight="1">
      <c r="B959" s="52" t="s">
        <v>960</v>
      </c>
      <c r="C959" s="324">
        <f t="shared" si="35"/>
        <v>6</v>
      </c>
    </row>
    <row r="960" spans="2:6" ht="15.75" customHeight="1"/>
    <row r="961" spans="2:6" ht="15.75" customHeight="1"/>
    <row r="962" spans="2:6" ht="15.75" customHeight="1">
      <c r="B962" s="52" t="s">
        <v>968</v>
      </c>
      <c r="C962" s="52" t="s">
        <v>969</v>
      </c>
    </row>
    <row r="963" spans="2:6" ht="15.75" customHeight="1">
      <c r="B963" s="52" t="s">
        <v>970</v>
      </c>
      <c r="C963" s="344" t="str">
        <f t="shared" ref="C963:C967" si="36">LOWER(B963)</f>
        <v>alan jones</v>
      </c>
    </row>
    <row r="964" spans="2:6" ht="15.75" customHeight="1">
      <c r="B964" s="52" t="s">
        <v>971</v>
      </c>
      <c r="C964" s="344" t="str">
        <f t="shared" si="36"/>
        <v>bob smith</v>
      </c>
      <c r="E964" s="224" t="s">
        <v>972</v>
      </c>
      <c r="F964" s="191"/>
    </row>
    <row r="965" spans="2:6" ht="15.75" customHeight="1">
      <c r="B965" s="52" t="s">
        <v>973</v>
      </c>
      <c r="C965" s="344" t="str">
        <f t="shared" si="36"/>
        <v>carol williams</v>
      </c>
    </row>
    <row r="966" spans="2:6" ht="15.75" customHeight="1">
      <c r="B966" s="52" t="s">
        <v>974</v>
      </c>
      <c r="C966" s="344" t="str">
        <f t="shared" si="36"/>
        <v>cardiff</v>
      </c>
    </row>
    <row r="967" spans="2:6" ht="15.75" customHeight="1">
      <c r="B967" s="52" t="s">
        <v>975</v>
      </c>
      <c r="C967" s="344" t="str">
        <f t="shared" si="36"/>
        <v>ab123</v>
      </c>
    </row>
    <row r="968" spans="2:6" ht="15.75" customHeight="1"/>
    <row r="969" spans="2:6" ht="15.75" customHeight="1"/>
    <row r="970" spans="2:6" ht="15.75" customHeight="1"/>
    <row r="971" spans="2:6" ht="15.75" customHeight="1"/>
    <row r="972" spans="2:6" ht="15.75" customHeight="1">
      <c r="B972" s="52" t="s">
        <v>412</v>
      </c>
      <c r="C972" s="52" t="s">
        <v>976</v>
      </c>
      <c r="D972" s="52" t="s">
        <v>977</v>
      </c>
    </row>
    <row r="973" spans="2:6" ht="15.75" customHeight="1">
      <c r="B973" s="159">
        <v>35855</v>
      </c>
      <c r="C973" s="159">
        <v>35861</v>
      </c>
      <c r="D973" s="345">
        <f t="shared" ref="D973:D974" si="37">NETWORKDAYS(B973,C973)</f>
        <v>5</v>
      </c>
      <c r="E973" s="224" t="s">
        <v>978</v>
      </c>
      <c r="F973" s="191"/>
    </row>
    <row r="974" spans="2:6" ht="15.75" customHeight="1">
      <c r="B974" s="164">
        <v>35820</v>
      </c>
      <c r="C974" s="164">
        <v>36006</v>
      </c>
      <c r="D974" s="345">
        <f t="shared" si="37"/>
        <v>134</v>
      </c>
    </row>
    <row r="975" spans="2:6" ht="15.75" customHeight="1"/>
    <row r="976" spans="2:6" ht="15.75" customHeight="1"/>
    <row r="977" spans="2:8" ht="15.75" customHeight="1"/>
    <row r="978" spans="2:8" ht="15.75" customHeight="1"/>
    <row r="979" spans="2:8" ht="15.75" customHeight="1"/>
    <row r="980" spans="2:8" ht="15.75" customHeight="1">
      <c r="B980" s="225" t="s">
        <v>979</v>
      </c>
      <c r="C980" s="191"/>
      <c r="D980" s="191"/>
      <c r="E980" s="191"/>
      <c r="F980" s="191"/>
      <c r="G980" s="191"/>
      <c r="H980" s="191"/>
    </row>
    <row r="981" spans="2:8" ht="15.75" customHeight="1">
      <c r="B981" s="191"/>
      <c r="C981" s="191"/>
      <c r="D981" s="191"/>
      <c r="E981" s="191"/>
      <c r="F981" s="191"/>
      <c r="G981" s="191"/>
      <c r="H981" s="191"/>
    </row>
    <row r="982" spans="2:8" ht="15.75" customHeight="1"/>
    <row r="983" spans="2:8" ht="15.75" customHeight="1">
      <c r="B983" s="52" t="s">
        <v>36</v>
      </c>
      <c r="C983" s="52" t="s">
        <v>980</v>
      </c>
      <c r="D983" s="52" t="s">
        <v>312</v>
      </c>
    </row>
    <row r="984" spans="2:8" ht="15.75" customHeight="1">
      <c r="B984" s="52">
        <v>3</v>
      </c>
      <c r="C984" s="52">
        <v>2</v>
      </c>
      <c r="D984" s="345">
        <f t="shared" ref="D984:D987" si="38">POWER(B984,C984)</f>
        <v>9</v>
      </c>
    </row>
    <row r="985" spans="2:8" ht="15.75" customHeight="1">
      <c r="B985" s="52">
        <v>3</v>
      </c>
      <c r="C985" s="52">
        <v>4</v>
      </c>
      <c r="D985" s="345">
        <f t="shared" si="38"/>
        <v>81</v>
      </c>
      <c r="E985" s="226" t="s">
        <v>981</v>
      </c>
      <c r="F985" s="191"/>
    </row>
    <row r="986" spans="2:8" ht="15.75" customHeight="1">
      <c r="B986" s="52">
        <v>5</v>
      </c>
      <c r="C986" s="52">
        <v>2</v>
      </c>
      <c r="D986" s="345">
        <f t="shared" si="38"/>
        <v>25</v>
      </c>
    </row>
    <row r="987" spans="2:8" ht="15.75" customHeight="1">
      <c r="B987" s="52">
        <v>5</v>
      </c>
      <c r="C987" s="52">
        <v>4</v>
      </c>
      <c r="D987" s="345">
        <f t="shared" si="38"/>
        <v>625</v>
      </c>
    </row>
    <row r="988" spans="2:8" ht="15.75" customHeight="1"/>
    <row r="989" spans="2:8" ht="15.75" customHeight="1"/>
    <row r="990" spans="2:8" ht="15.75" customHeight="1">
      <c r="B990" s="227" t="s">
        <v>982</v>
      </c>
      <c r="C990" s="191"/>
      <c r="D990" s="147" t="s">
        <v>983</v>
      </c>
    </row>
    <row r="991" spans="2:8" ht="15.75" customHeight="1">
      <c r="B991" s="52">
        <v>2</v>
      </c>
      <c r="C991" s="52">
        <v>3</v>
      </c>
      <c r="D991" s="345">
        <f t="shared" ref="D991:D993" si="39">PRODUCT(B991,C991)</f>
        <v>6</v>
      </c>
    </row>
    <row r="992" spans="2:8" ht="15.75" customHeight="1">
      <c r="B992" s="52">
        <v>5</v>
      </c>
      <c r="C992" s="52">
        <v>10</v>
      </c>
      <c r="D992" s="345">
        <f t="shared" si="39"/>
        <v>50</v>
      </c>
      <c r="E992" s="226" t="s">
        <v>984</v>
      </c>
      <c r="F992" s="191"/>
    </row>
    <row r="993" spans="2:6" ht="15.75" customHeight="1">
      <c r="B993" s="52">
        <v>3</v>
      </c>
      <c r="C993" s="52">
        <v>7</v>
      </c>
      <c r="D993" s="345">
        <f t="shared" si="39"/>
        <v>21</v>
      </c>
    </row>
    <row r="994" spans="2:6" ht="15.75" customHeight="1">
      <c r="D994" s="345">
        <f>PRODUCT(D991:D993)</f>
        <v>6300</v>
      </c>
    </row>
    <row r="995" spans="2:6" ht="15.75" customHeight="1"/>
    <row r="996" spans="2:6" ht="15.75" customHeight="1">
      <c r="B996" s="52" t="s">
        <v>985</v>
      </c>
      <c r="C996" s="52" t="s">
        <v>986</v>
      </c>
    </row>
    <row r="997" spans="2:6" ht="15.75" customHeight="1">
      <c r="B997" s="52" t="s">
        <v>987</v>
      </c>
      <c r="C997" s="324" t="str">
        <f>PROPER(B997)</f>
        <v>Alan Jones</v>
      </c>
    </row>
    <row r="998" spans="2:6" ht="15.75" customHeight="1">
      <c r="B998" s="52" t="s">
        <v>988</v>
      </c>
      <c r="C998" s="324" t="str">
        <f t="shared" ref="C998:C1001" si="40">PROPER(B998)</f>
        <v>Bob Smith</v>
      </c>
    </row>
    <row r="999" spans="2:6" ht="15.75" customHeight="1">
      <c r="B999" s="52" t="s">
        <v>989</v>
      </c>
      <c r="C999" s="324" t="str">
        <f t="shared" si="40"/>
        <v>Carol Williams</v>
      </c>
      <c r="E999" s="224" t="s">
        <v>990</v>
      </c>
      <c r="F999" s="191"/>
    </row>
    <row r="1000" spans="2:6" ht="15.75" customHeight="1">
      <c r="B1000" s="52" t="s">
        <v>991</v>
      </c>
      <c r="C1000" s="324" t="str">
        <f t="shared" si="40"/>
        <v>Cardiff</v>
      </c>
    </row>
    <row r="1001" spans="2:6" ht="15.75" customHeight="1">
      <c r="B1001" s="52" t="s">
        <v>960</v>
      </c>
      <c r="C1001" s="324" t="str">
        <f t="shared" si="40"/>
        <v>Abc123</v>
      </c>
    </row>
    <row r="1002" spans="2:6" ht="15.75" customHeight="1"/>
    <row r="1003" spans="2:6" ht="15.75" customHeight="1"/>
    <row r="1004" spans="2:6" ht="15.75" customHeight="1">
      <c r="B1004" s="224" t="s">
        <v>992</v>
      </c>
      <c r="C1004" s="191"/>
    </row>
    <row r="1005" spans="2:6" ht="15.75" customHeight="1">
      <c r="B1005" s="147" t="s">
        <v>993</v>
      </c>
      <c r="C1005" s="147" t="s">
        <v>994</v>
      </c>
      <c r="D1005" s="147" t="s">
        <v>995</v>
      </c>
    </row>
    <row r="1006" spans="2:6" ht="15.75" customHeight="1">
      <c r="B1006" s="52" t="s">
        <v>0</v>
      </c>
      <c r="C1006" s="52">
        <v>3</v>
      </c>
      <c r="D1006" s="346" t="str">
        <f t="shared" ref="D1006:D1009" si="41">REPT(B1006,C1006)</f>
        <v>AAA</v>
      </c>
    </row>
    <row r="1007" spans="2:6" ht="15.75" customHeight="1">
      <c r="B1007" s="52" t="s">
        <v>996</v>
      </c>
      <c r="C1007" s="52">
        <v>3</v>
      </c>
      <c r="D1007" s="346" t="str">
        <f t="shared" si="41"/>
        <v>ABABAB</v>
      </c>
    </row>
    <row r="1008" spans="2:6" ht="15.75" customHeight="1">
      <c r="B1008" s="52" t="s">
        <v>997</v>
      </c>
      <c r="C1008" s="52">
        <v>10</v>
      </c>
      <c r="D1008" s="346" t="str">
        <f t="shared" si="41"/>
        <v>----------</v>
      </c>
    </row>
    <row r="1009" spans="1:12" ht="15.75" customHeight="1">
      <c r="B1009" s="52" t="s">
        <v>998</v>
      </c>
      <c r="C1009" s="52">
        <v>10</v>
      </c>
      <c r="D1009" s="346" t="str">
        <f t="shared" si="41"/>
        <v>||||||||||</v>
      </c>
    </row>
    <row r="1010" spans="1:12" ht="15.75" customHeight="1"/>
    <row r="1011" spans="1:12" ht="15.75" customHeight="1"/>
    <row r="1012" spans="1:12" ht="15.75" customHeight="1"/>
    <row r="1013" spans="1:12" ht="15.75" customHeight="1"/>
    <row r="1014" spans="1:12" ht="15.75" customHeight="1">
      <c r="A1014" s="336" t="s">
        <v>999</v>
      </c>
      <c r="B1014" s="336"/>
      <c r="C1014" s="336"/>
      <c r="D1014" s="336"/>
      <c r="E1014" s="336"/>
      <c r="F1014" s="336"/>
      <c r="G1014" s="336"/>
      <c r="H1014" s="336"/>
      <c r="I1014" s="336"/>
      <c r="J1014" s="336"/>
      <c r="K1014" s="336"/>
      <c r="L1014" s="336"/>
    </row>
    <row r="1015" spans="1:12" ht="15.75" customHeight="1">
      <c r="A1015" s="336"/>
      <c r="B1015" s="336"/>
      <c r="C1015" s="336"/>
      <c r="D1015" s="336"/>
      <c r="E1015" s="336"/>
      <c r="F1015" s="336"/>
      <c r="G1015" s="336"/>
      <c r="H1015" s="336"/>
      <c r="I1015" s="336"/>
      <c r="J1015" s="336"/>
      <c r="K1015" s="336"/>
      <c r="L1015" s="336"/>
    </row>
    <row r="1016" spans="1:12" ht="15.75" customHeight="1">
      <c r="A1016" s="165" t="s">
        <v>308</v>
      </c>
      <c r="B1016" s="165" t="s">
        <v>107</v>
      </c>
      <c r="C1016" s="165" t="s">
        <v>108</v>
      </c>
      <c r="D1016" s="165" t="s">
        <v>109</v>
      </c>
      <c r="E1016" s="165" t="s">
        <v>309</v>
      </c>
      <c r="F1016" s="165" t="s">
        <v>112</v>
      </c>
      <c r="G1016" s="165" t="s">
        <v>310</v>
      </c>
      <c r="H1016" s="165" t="s">
        <v>153</v>
      </c>
      <c r="I1016" s="165" t="s">
        <v>311</v>
      </c>
      <c r="J1016" s="165" t="s">
        <v>312</v>
      </c>
      <c r="K1016" s="165" t="s">
        <v>1000</v>
      </c>
    </row>
    <row r="1017" spans="1:12" ht="15.75" customHeight="1">
      <c r="A1017" s="71" t="s">
        <v>313</v>
      </c>
      <c r="B1017" s="83">
        <v>2000</v>
      </c>
      <c r="C1017" s="84">
        <v>1500</v>
      </c>
      <c r="D1017" s="85">
        <v>300</v>
      </c>
      <c r="E1017" s="86">
        <v>1400</v>
      </c>
      <c r="F1017" s="85">
        <v>1000</v>
      </c>
      <c r="G1017" s="68">
        <v>1400</v>
      </c>
      <c r="H1017" s="87">
        <f t="shared" ref="H1017:H1027" si="42">SUM(B1017:G1017)</f>
        <v>7600</v>
      </c>
      <c r="I1017" s="88">
        <v>10000</v>
      </c>
      <c r="J1017" s="17" t="str">
        <f t="shared" ref="J1017:J1027" si="43">IF(H1017&gt;I1017,"ACHIVED",IF(H1017&lt;I1017,"NOT ACHIVED"))</f>
        <v>NOT ACHIVED</v>
      </c>
    </row>
    <row r="1018" spans="1:12" ht="15.75" customHeight="1">
      <c r="A1018" s="71" t="s">
        <v>299</v>
      </c>
      <c r="B1018" s="83">
        <v>5000</v>
      </c>
      <c r="C1018" s="84">
        <v>1200</v>
      </c>
      <c r="D1018" s="85">
        <v>500</v>
      </c>
      <c r="E1018" s="86">
        <v>1200</v>
      </c>
      <c r="F1018" s="85">
        <v>1200</v>
      </c>
      <c r="G1018" s="68">
        <v>2800</v>
      </c>
      <c r="H1018" s="87">
        <f t="shared" si="42"/>
        <v>11900</v>
      </c>
      <c r="I1018" s="88">
        <v>12000</v>
      </c>
      <c r="J1018" s="17" t="str">
        <f t="shared" si="43"/>
        <v>NOT ACHIVED</v>
      </c>
    </row>
    <row r="1019" spans="1:12" ht="15.75" customHeight="1">
      <c r="A1019" s="71" t="s">
        <v>297</v>
      </c>
      <c r="B1019" s="83">
        <v>3000</v>
      </c>
      <c r="C1019" s="84">
        <v>800</v>
      </c>
      <c r="D1019" s="85">
        <v>1200</v>
      </c>
      <c r="E1019" s="86">
        <v>3000</v>
      </c>
      <c r="F1019" s="85">
        <v>1500</v>
      </c>
      <c r="G1019" s="68">
        <v>3500</v>
      </c>
      <c r="H1019" s="87">
        <f t="shared" si="42"/>
        <v>13000</v>
      </c>
      <c r="I1019" s="88">
        <v>18000</v>
      </c>
      <c r="J1019" s="17" t="str">
        <f t="shared" si="43"/>
        <v>NOT ACHIVED</v>
      </c>
    </row>
    <row r="1020" spans="1:12" ht="15.75" customHeight="1">
      <c r="A1020" s="71" t="s">
        <v>237</v>
      </c>
      <c r="B1020" s="83">
        <v>1000</v>
      </c>
      <c r="C1020" s="84">
        <v>900</v>
      </c>
      <c r="D1020" s="85">
        <v>1800</v>
      </c>
      <c r="E1020" s="86">
        <v>5000</v>
      </c>
      <c r="F1020" s="85">
        <v>1400</v>
      </c>
      <c r="G1020" s="68">
        <v>1200</v>
      </c>
      <c r="H1020" s="87">
        <f t="shared" si="42"/>
        <v>11300</v>
      </c>
      <c r="I1020" s="88">
        <v>10000</v>
      </c>
      <c r="J1020" s="68" t="str">
        <f t="shared" si="43"/>
        <v>ACHIVED</v>
      </c>
    </row>
    <row r="1021" spans="1:12" ht="15.75" customHeight="1">
      <c r="A1021" s="71" t="s">
        <v>230</v>
      </c>
      <c r="B1021" s="83">
        <v>500</v>
      </c>
      <c r="C1021" s="84">
        <v>1000</v>
      </c>
      <c r="D1021" s="85">
        <v>2300</v>
      </c>
      <c r="E1021" s="86">
        <v>8000</v>
      </c>
      <c r="F1021" s="85">
        <v>1700</v>
      </c>
      <c r="G1021" s="68">
        <v>1400</v>
      </c>
      <c r="H1021" s="87">
        <f t="shared" si="42"/>
        <v>14900</v>
      </c>
      <c r="I1021" s="88">
        <v>12000</v>
      </c>
      <c r="J1021" s="68" t="str">
        <f t="shared" si="43"/>
        <v>ACHIVED</v>
      </c>
    </row>
    <row r="1022" spans="1:12" ht="15.75" customHeight="1">
      <c r="A1022" s="71" t="s">
        <v>228</v>
      </c>
      <c r="B1022" s="83">
        <v>800</v>
      </c>
      <c r="C1022" s="84">
        <v>500</v>
      </c>
      <c r="D1022" s="85">
        <v>2400</v>
      </c>
      <c r="E1022" s="86">
        <v>1900</v>
      </c>
      <c r="F1022" s="85">
        <v>1800</v>
      </c>
      <c r="G1022" s="68">
        <v>1800</v>
      </c>
      <c r="H1022" s="87">
        <f t="shared" si="42"/>
        <v>9200</v>
      </c>
      <c r="I1022" s="88">
        <v>10000</v>
      </c>
      <c r="J1022" s="17" t="str">
        <f t="shared" si="43"/>
        <v>NOT ACHIVED</v>
      </c>
    </row>
    <row r="1023" spans="1:12" ht="15.75" customHeight="1">
      <c r="A1023" s="71" t="s">
        <v>321</v>
      </c>
      <c r="B1023" s="83">
        <v>1200</v>
      </c>
      <c r="C1023" s="84">
        <v>1400</v>
      </c>
      <c r="D1023" s="85">
        <v>1500</v>
      </c>
      <c r="E1023" s="86">
        <v>700</v>
      </c>
      <c r="F1023" s="85">
        <v>2500</v>
      </c>
      <c r="G1023" s="68">
        <v>7000</v>
      </c>
      <c r="H1023" s="87">
        <f t="shared" si="42"/>
        <v>14300</v>
      </c>
      <c r="I1023" s="88">
        <v>12000</v>
      </c>
      <c r="J1023" s="68" t="str">
        <f t="shared" si="43"/>
        <v>ACHIVED</v>
      </c>
    </row>
    <row r="1024" spans="1:12" ht="15.75" customHeight="1">
      <c r="A1024" s="71" t="s">
        <v>323</v>
      </c>
      <c r="B1024" s="83">
        <v>1500</v>
      </c>
      <c r="C1024" s="84">
        <v>1800</v>
      </c>
      <c r="D1024" s="85">
        <v>1800</v>
      </c>
      <c r="E1024" s="86">
        <v>1800</v>
      </c>
      <c r="F1024" s="85">
        <v>300</v>
      </c>
      <c r="G1024" s="68">
        <v>1500</v>
      </c>
      <c r="H1024" s="87">
        <f t="shared" si="42"/>
        <v>8700</v>
      </c>
      <c r="I1024" s="88">
        <v>10000</v>
      </c>
      <c r="J1024" s="17" t="str">
        <f t="shared" si="43"/>
        <v>NOT ACHIVED</v>
      </c>
    </row>
    <row r="1025" spans="1:10" ht="15.75" customHeight="1">
      <c r="A1025" s="71" t="s">
        <v>324</v>
      </c>
      <c r="B1025" s="83">
        <v>1800</v>
      </c>
      <c r="C1025" s="84">
        <v>2500</v>
      </c>
      <c r="D1025" s="85">
        <v>1700</v>
      </c>
      <c r="E1025" s="86">
        <v>1500</v>
      </c>
      <c r="F1025" s="85">
        <v>2800</v>
      </c>
      <c r="G1025" s="68">
        <v>1800</v>
      </c>
      <c r="H1025" s="87">
        <f t="shared" si="42"/>
        <v>12100</v>
      </c>
      <c r="I1025" s="88">
        <v>12000</v>
      </c>
      <c r="J1025" s="68" t="str">
        <f t="shared" si="43"/>
        <v>ACHIVED</v>
      </c>
    </row>
    <row r="1026" spans="1:10" ht="15.75" customHeight="1">
      <c r="A1026" s="71" t="s">
        <v>326</v>
      </c>
      <c r="B1026" s="83">
        <v>200</v>
      </c>
      <c r="C1026" s="84">
        <v>3000</v>
      </c>
      <c r="D1026" s="85">
        <v>1900</v>
      </c>
      <c r="E1026" s="86">
        <v>1200</v>
      </c>
      <c r="F1026" s="85">
        <v>1500</v>
      </c>
      <c r="G1026" s="68">
        <v>3000</v>
      </c>
      <c r="H1026" s="87">
        <f t="shared" si="42"/>
        <v>10800</v>
      </c>
      <c r="I1026" s="88">
        <v>10000</v>
      </c>
      <c r="J1026" s="68" t="str">
        <f t="shared" si="43"/>
        <v>ACHIVED</v>
      </c>
    </row>
    <row r="1027" spans="1:10" ht="15.75" customHeight="1">
      <c r="A1027" s="71" t="s">
        <v>327</v>
      </c>
      <c r="B1027" s="83">
        <v>1600</v>
      </c>
      <c r="C1027" s="84">
        <v>1200</v>
      </c>
      <c r="D1027" s="85">
        <v>2000</v>
      </c>
      <c r="E1027" s="86">
        <v>800</v>
      </c>
      <c r="F1027" s="85">
        <v>1700</v>
      </c>
      <c r="G1027" s="68">
        <v>800</v>
      </c>
      <c r="H1027" s="87">
        <f t="shared" si="42"/>
        <v>8100</v>
      </c>
      <c r="I1027" s="88">
        <v>10000</v>
      </c>
      <c r="J1027" s="17" t="str">
        <f t="shared" si="43"/>
        <v>NOT ACHIVED</v>
      </c>
    </row>
    <row r="1028" spans="1:10" ht="15.75" customHeight="1"/>
    <row r="1029" spans="1:10" ht="15.75" customHeight="1">
      <c r="B1029" s="244" t="s">
        <v>1001</v>
      </c>
      <c r="C1029" s="191"/>
      <c r="D1029" s="191"/>
      <c r="E1029" s="191"/>
    </row>
    <row r="1030" spans="1:10" ht="15.75" customHeight="1">
      <c r="B1030" s="324">
        <f>COUNTA(A1017:A1027)</f>
        <v>11</v>
      </c>
    </row>
    <row r="1031" spans="1:10" ht="15.75" customHeight="1">
      <c r="B1031" s="52" t="s">
        <v>1002</v>
      </c>
      <c r="C1031" s="52" t="s">
        <v>311</v>
      </c>
      <c r="D1031" s="52" t="s">
        <v>312</v>
      </c>
    </row>
    <row r="1032" spans="1:10" ht="15.75" customHeight="1">
      <c r="B1032" s="52" t="s">
        <v>321</v>
      </c>
      <c r="C1032" s="322">
        <f>VLOOKUP(B1032,A1016:K1027,9,0)</f>
        <v>12000</v>
      </c>
      <c r="D1032" s="322" t="str">
        <f>VLOOKUP(B1032,A1016:K1027,10,0)</f>
        <v>ACHIVED</v>
      </c>
    </row>
    <row r="1033" spans="1:10" ht="15.75" customHeight="1"/>
    <row r="1034" spans="1:10" ht="15.75" customHeight="1">
      <c r="B1034" s="244" t="s">
        <v>1003</v>
      </c>
      <c r="C1034" s="191"/>
      <c r="D1034" s="191"/>
      <c r="E1034" s="191"/>
    </row>
    <row r="1035" spans="1:10" ht="15.75" customHeight="1">
      <c r="B1035" s="329" t="s">
        <v>281</v>
      </c>
      <c r="C1035" s="329" t="s">
        <v>316</v>
      </c>
      <c r="D1035" s="329" t="s">
        <v>317</v>
      </c>
    </row>
    <row r="1036" spans="1:10" ht="15.75" customHeight="1">
      <c r="B1036" s="329" t="s">
        <v>1045</v>
      </c>
      <c r="C1036">
        <f>VLOOKUP(B1036,A1016:K1027,9,0)</f>
        <v>18000</v>
      </c>
      <c r="D1036" t="str">
        <f>VLOOKUP(B1036,A1016:K1027,10,0)</f>
        <v>NOT ACHIVED</v>
      </c>
    </row>
    <row r="1037" spans="1:10" ht="15.75" customHeight="1">
      <c r="B1037" s="329" t="s">
        <v>906</v>
      </c>
      <c r="C1037">
        <f>VLOOKUP(B1037,A1016:K1027,9,0)</f>
        <v>10000</v>
      </c>
      <c r="D1037" t="str">
        <f>VLOOKUP(B1037,A1016:K1027,10,0)</f>
        <v>ACHIVED</v>
      </c>
    </row>
    <row r="1038" spans="1:10" ht="15.75" customHeight="1">
      <c r="B1038" s="329" t="s">
        <v>1046</v>
      </c>
      <c r="C1038">
        <f>VLOOKUP(B1038,A101:K1027,9,0)</f>
        <v>10000</v>
      </c>
      <c r="D1038" t="str">
        <f>VLOOKUP(B1038,A1016:K1027,10,0)</f>
        <v>NOT ACHIVED</v>
      </c>
    </row>
    <row r="1039" spans="1:10" ht="15.75" customHeight="1">
      <c r="B1039" s="52" t="s">
        <v>1004</v>
      </c>
    </row>
    <row r="1040" spans="1:10" ht="15.75" customHeight="1">
      <c r="B1040">
        <f>COUNTIF(J1017:J1027,"Achived")</f>
        <v>5</v>
      </c>
    </row>
    <row r="1041" spans="1:12" ht="15.75" customHeight="1"/>
    <row r="1042" spans="1:12" ht="15.75" customHeight="1">
      <c r="B1042" s="52" t="s">
        <v>1005</v>
      </c>
    </row>
    <row r="1043" spans="1:12" ht="15.75" customHeight="1"/>
    <row r="1044" spans="1:12" ht="15.75" customHeight="1"/>
    <row r="1045" spans="1:12" ht="15.75" customHeight="1"/>
    <row r="1046" spans="1:12" ht="15.75" customHeight="1">
      <c r="B1046" s="52" t="s">
        <v>1006</v>
      </c>
    </row>
    <row r="1047" spans="1:12" ht="15.75" customHeight="1"/>
    <row r="1048" spans="1:12" ht="15.75" customHeight="1"/>
    <row r="1049" spans="1:12" ht="15.75" customHeight="1">
      <c r="B1049" s="52" t="s">
        <v>1007</v>
      </c>
    </row>
    <row r="1050" spans="1:12" ht="15.75" customHeight="1"/>
    <row r="1051" spans="1:12" ht="15.75" customHeight="1"/>
    <row r="1052" spans="1:12" ht="15.75" customHeight="1"/>
    <row r="1053" spans="1:12" ht="15.75" customHeight="1">
      <c r="B1053" s="52" t="s">
        <v>1008</v>
      </c>
    </row>
    <row r="1054" spans="1:12" ht="15.75" customHeight="1">
      <c r="A1054" t="s">
        <v>1047</v>
      </c>
      <c r="B1054" t="s">
        <v>1048</v>
      </c>
      <c r="C1054" t="s">
        <v>1049</v>
      </c>
      <c r="D1054" t="s">
        <v>1050</v>
      </c>
      <c r="E1054" t="s">
        <v>1051</v>
      </c>
      <c r="F1054" t="s">
        <v>1052</v>
      </c>
      <c r="G1054" t="s">
        <v>1053</v>
      </c>
      <c r="H1054" t="s">
        <v>1054</v>
      </c>
      <c r="I1054" t="s">
        <v>1055</v>
      </c>
      <c r="J1054" s="353" t="s">
        <v>1056</v>
      </c>
      <c r="K1054" s="353" t="s">
        <v>1057</v>
      </c>
      <c r="L1054" s="353" t="s">
        <v>1058</v>
      </c>
    </row>
    <row r="1055" spans="1:12" ht="15.75" customHeight="1">
      <c r="J1055" s="353"/>
      <c r="K1055" s="353"/>
      <c r="L1055" s="353"/>
    </row>
    <row r="1056" spans="1:12" ht="15.75" customHeight="1">
      <c r="J1056" s="353"/>
      <c r="K1056" s="353"/>
      <c r="L1056" s="353"/>
    </row>
    <row r="1057" spans="2:10" ht="15.75" customHeight="1">
      <c r="J1057" s="165" t="s">
        <v>312</v>
      </c>
    </row>
    <row r="1058" spans="2:10" ht="15.75" customHeight="1">
      <c r="J1058" s="17" t="str">
        <f>IF(M1141&gt;N1141,"ACHIVED",IF(M1141&lt;N1141,"NOT ACHIVED"))</f>
        <v>NOT ACHIVED</v>
      </c>
    </row>
    <row r="1059" spans="2:10" ht="15.75" customHeight="1">
      <c r="J1059" s="17" t="str">
        <f>IF(M1142&gt;N1142,"ACHIVED",IF(M1142&lt;N1142,"NOT ACHIVED"))</f>
        <v>NOT ACHIVED</v>
      </c>
    </row>
    <row r="1060" spans="2:10" ht="15.75" customHeight="1">
      <c r="J1060" s="17" t="str">
        <f>IF(M1143&gt;N1143,"ACHIVED",IF(M1143&lt;N1143,"NOT ACHIVED"))</f>
        <v>NOT ACHIVED</v>
      </c>
    </row>
    <row r="1061" spans="2:10" ht="15.75" customHeight="1">
      <c r="J1061" s="68" t="str">
        <f>IF(M1144&gt;N1144,"ACHIVED",IF(M1144&lt;N1144,"NOT ACHIVED"))</f>
        <v>ACHIVED</v>
      </c>
    </row>
    <row r="1062" spans="2:10" ht="15.75" customHeight="1">
      <c r="J1062" s="68" t="str">
        <f>IF(M1145&gt;N1145,"ACHIVED",IF(M1145&lt;N1145,"NOT ACHIVED"))</f>
        <v>ACHIVED</v>
      </c>
    </row>
    <row r="1063" spans="2:10" ht="15.75" customHeight="1">
      <c r="J1063" s="17" t="str">
        <f>IF(M1146&gt;N1146,"ACHIVED",IF(M1146&lt;N1146,"NOT ACHIVED"))</f>
        <v>NOT ACHIVED</v>
      </c>
    </row>
    <row r="1064" spans="2:10" ht="15.75" customHeight="1">
      <c r="J1064" s="68" t="str">
        <f>IF(M1147&gt;N1147,"ACHIVED",IF(M1147&lt;N1147,"NOT ACHIVED"))</f>
        <v>ACHIVED</v>
      </c>
    </row>
    <row r="1065" spans="2:10" ht="15.75" customHeight="1">
      <c r="J1065" s="17" t="str">
        <f>IF(M1148&gt;N1148,"ACHIVED",IF(M1148&lt;N1148,"NOT ACHIVED"))</f>
        <v>NOT ACHIVED</v>
      </c>
    </row>
    <row r="1066" spans="2:10" ht="15.75" customHeight="1">
      <c r="J1066" s="68" t="str">
        <f>IF(M1149&gt;N1149,"ACHIVED",IF(M1149&lt;N1149,"NOT ACHIVED"))</f>
        <v>NOT ACHIVED</v>
      </c>
    </row>
    <row r="1067" spans="2:10" ht="15.75" customHeight="1">
      <c r="J1067" s="68" t="str">
        <f>IF(M1150&gt;N1150,"ACHIVED",IF(M1150&lt;N1150,"NOT ACHIVED"))</f>
        <v>ACHIVED</v>
      </c>
    </row>
    <row r="1068" spans="2:10" ht="15.75" customHeight="1">
      <c r="J1068" s="17" t="str">
        <f>IF(M1151&gt;N1151,"ACHIVED",IF(M1151&lt;N1151,"NOT ACHIVED"))</f>
        <v>ACHIVED</v>
      </c>
    </row>
    <row r="1069" spans="2:10" ht="15.75" customHeight="1"/>
    <row r="1070" spans="2:10" ht="15.75" customHeight="1"/>
    <row r="1071" spans="2:10" ht="15.75" customHeight="1"/>
    <row r="1072" spans="2:10" ht="15.75" customHeight="1">
      <c r="B1072" s="52" t="s">
        <v>1010</v>
      </c>
    </row>
    <row r="1073" spans="2:2" ht="15.75" customHeight="1"/>
    <row r="1074" spans="2:2" ht="15.75" customHeight="1"/>
    <row r="1075" spans="2:2" ht="15.75" customHeight="1">
      <c r="B1075" s="52" t="s">
        <v>1003</v>
      </c>
    </row>
    <row r="1076" spans="2:2" ht="15.75" customHeight="1"/>
    <row r="1077" spans="2:2" ht="15.75" customHeight="1"/>
    <row r="1078" spans="2:2" ht="15.75" customHeight="1">
      <c r="B1078" s="52" t="s">
        <v>1011</v>
      </c>
    </row>
    <row r="1079" spans="2:2" ht="15.75" customHeight="1"/>
    <row r="1080" spans="2:2" ht="15.75" customHeight="1"/>
    <row r="1081" spans="2:2" ht="15.75" customHeight="1">
      <c r="B1081" s="52" t="s">
        <v>1012</v>
      </c>
    </row>
    <row r="1082" spans="2:2" ht="15.75" customHeight="1"/>
    <row r="1083" spans="2:2" ht="15.75" customHeight="1"/>
    <row r="1084" spans="2:2" ht="15.75" customHeight="1">
      <c r="B1084" s="52" t="s">
        <v>1013</v>
      </c>
    </row>
    <row r="1085" spans="2:2" ht="15.75" customHeight="1"/>
    <row r="1086" spans="2:2" ht="15.75" customHeight="1"/>
    <row r="1087" spans="2:2" ht="15.75" customHeight="1">
      <c r="B1087" s="52" t="s">
        <v>1014</v>
      </c>
    </row>
    <row r="1088" spans="2:2" ht="15.75" customHeight="1"/>
    <row r="1089" spans="1:12" ht="15.75" customHeight="1">
      <c r="A1089" s="337" t="s">
        <v>1015</v>
      </c>
      <c r="B1089" s="337"/>
      <c r="C1089" s="337"/>
      <c r="D1089" s="337"/>
      <c r="E1089" s="337"/>
      <c r="F1089" s="337"/>
      <c r="G1089" s="354"/>
      <c r="H1089" s="354"/>
      <c r="I1089" s="354"/>
      <c r="J1089" s="354"/>
      <c r="K1089" s="354"/>
      <c r="L1089" s="354"/>
    </row>
    <row r="1090" spans="1:12" ht="15.75" customHeight="1">
      <c r="A1090" s="337"/>
      <c r="B1090" s="337"/>
      <c r="C1090" s="337"/>
      <c r="D1090" s="337"/>
      <c r="E1090" s="337"/>
      <c r="F1090" s="337"/>
      <c r="G1090" s="354"/>
      <c r="H1090" s="354"/>
      <c r="I1090" s="354"/>
      <c r="J1090" s="354"/>
      <c r="K1090" s="354"/>
      <c r="L1090" s="354"/>
    </row>
    <row r="1091" spans="1:12" ht="15.75" customHeight="1">
      <c r="A1091" s="166" t="s">
        <v>48</v>
      </c>
      <c r="B1091" s="166" t="s">
        <v>1016</v>
      </c>
      <c r="C1091" s="166" t="s">
        <v>1017</v>
      </c>
      <c r="D1091" s="166" t="s">
        <v>1018</v>
      </c>
      <c r="E1091" s="166" t="s">
        <v>38</v>
      </c>
      <c r="F1091" s="347" t="s">
        <v>1043</v>
      </c>
    </row>
    <row r="1092" spans="1:12" ht="15.75" customHeight="1">
      <c r="A1092" s="86" t="s">
        <v>313</v>
      </c>
      <c r="B1092" s="141">
        <v>29356</v>
      </c>
      <c r="C1092" s="345">
        <f ca="1">DATEDIF(B1092,TODAY(),"MD")</f>
        <v>26</v>
      </c>
      <c r="D1092" s="345">
        <f ca="1">DATEDIF(B1092,TODAY(),"YM")</f>
        <v>5</v>
      </c>
      <c r="E1092" s="345">
        <f ca="1">DATEDIF(B1092,TODAY(),"Y")</f>
        <v>44</v>
      </c>
      <c r="F1092" s="348" t="str">
        <f ca="1">IF(E1092&gt;20,"ADULT",IF(E1092&lt;20,"CHILD"))</f>
        <v>ADULT</v>
      </c>
    </row>
    <row r="1093" spans="1:12" ht="15.75" customHeight="1">
      <c r="A1093" s="86" t="s">
        <v>299</v>
      </c>
      <c r="B1093" s="141">
        <v>29818</v>
      </c>
      <c r="C1093" s="345">
        <f ca="1">DATEDIF(B1093,TODAY(),"MD")</f>
        <v>21</v>
      </c>
      <c r="D1093" s="345">
        <f ca="1">DATEDIF(B1093,TODAY(),"YM")</f>
        <v>2</v>
      </c>
      <c r="E1093" s="345">
        <f ca="1">DATEDIF(B1093,TODAY(),"Y")</f>
        <v>43</v>
      </c>
      <c r="F1093" s="348" t="str">
        <f ca="1">IF(E1093&gt;20,"ADULT",IF(E1093&lt;20,"CHILD"))</f>
        <v>ADULT</v>
      </c>
    </row>
    <row r="1094" spans="1:12" ht="15.75" customHeight="1">
      <c r="A1094" s="86" t="s">
        <v>297</v>
      </c>
      <c r="B1094" s="167">
        <v>37909</v>
      </c>
      <c r="C1094" s="345">
        <f ca="1">DATEDIF(B1094,TODAY(),"MD")</f>
        <v>26</v>
      </c>
      <c r="D1094" s="345">
        <f ca="1">DATEDIF(B1094,TODAY(),"YM")</f>
        <v>0</v>
      </c>
      <c r="E1094" s="345">
        <f ca="1">DATEDIF(B1094,TODAY(),"Y")</f>
        <v>21</v>
      </c>
      <c r="F1094" s="348" t="str">
        <f ca="1">IF(E1094&gt;20,"ADULT",IF(E1094&lt;20,"CHILD"))</f>
        <v>ADULT</v>
      </c>
    </row>
    <row r="1095" spans="1:12" ht="15.75" customHeight="1">
      <c r="A1095" s="86" t="s">
        <v>237</v>
      </c>
      <c r="B1095" s="141">
        <v>33018</v>
      </c>
      <c r="C1095" s="345">
        <f ca="1">DATEDIF(B1095,TODAY(),"MD")</f>
        <v>16</v>
      </c>
      <c r="D1095" s="345">
        <f ca="1">DATEDIF(B1095,TODAY(),"YM")</f>
        <v>5</v>
      </c>
      <c r="E1095" s="345">
        <f ca="1">DATEDIF(B1095,TODAY(),"Y")</f>
        <v>34</v>
      </c>
      <c r="F1095" s="348" t="str">
        <f ca="1">IF(E1095&gt;20,"ADULT",IF(E1095&lt;20,"CHILD"))</f>
        <v>ADULT</v>
      </c>
    </row>
    <row r="1096" spans="1:12" ht="15.75" customHeight="1">
      <c r="A1096" s="86" t="s">
        <v>230</v>
      </c>
      <c r="B1096" s="141">
        <v>33840</v>
      </c>
      <c r="C1096" s="345">
        <f ca="1">DATEDIF(B1096,TODAY(),"MD")</f>
        <v>17</v>
      </c>
      <c r="D1096" s="345">
        <f ca="1">DATEDIF(B1096,TODAY(),"YM")</f>
        <v>2</v>
      </c>
      <c r="E1096" s="345">
        <f ca="1">DATEDIF(B1096,TODAY(),"Y")</f>
        <v>32</v>
      </c>
      <c r="F1096" s="348" t="str">
        <f ca="1">IF(E1096&gt;20,"ADULT",IF(E1096&lt;20,"CHILD"))</f>
        <v>ADULT</v>
      </c>
    </row>
    <row r="1097" spans="1:12" ht="15.75" customHeight="1">
      <c r="A1097" s="86" t="s">
        <v>228</v>
      </c>
      <c r="B1097" s="141">
        <v>36030</v>
      </c>
      <c r="C1097" s="345">
        <f ca="1">DATEDIF(B1097,TODAY(),"MD")</f>
        <v>18</v>
      </c>
      <c r="D1097" s="345">
        <f ca="1">DATEDIF(B1097,TODAY(),"YM")</f>
        <v>2</v>
      </c>
      <c r="E1097" s="345">
        <f ca="1">DATEDIF(B1097,TODAY(),"Y")</f>
        <v>26</v>
      </c>
      <c r="F1097" s="348" t="str">
        <f ca="1">IF(E1097&gt;20,"ADULT",IF(E1097&lt;20,"CHILD"))</f>
        <v>ADULT</v>
      </c>
    </row>
    <row r="1098" spans="1:12" ht="15.75" customHeight="1">
      <c r="A1098" s="86" t="s">
        <v>321</v>
      </c>
      <c r="B1098" s="141">
        <v>29353</v>
      </c>
      <c r="C1098" s="345">
        <f ca="1">DATEDIF(B1098,TODAY(),"MD")</f>
        <v>29</v>
      </c>
      <c r="D1098" s="345">
        <f ca="1">DATEDIF(B1098,TODAY(),"YM")</f>
        <v>5</v>
      </c>
      <c r="E1098" s="345">
        <f ca="1">DATEDIF(B1098,TODAY(),"Y")</f>
        <v>44</v>
      </c>
      <c r="F1098" s="348" t="str">
        <f ca="1">IF(E1098&gt;20,"ADULT",IF(E1098&lt;20,"CHILD"))</f>
        <v>ADULT</v>
      </c>
    </row>
    <row r="1099" spans="1:12" ht="15.75" customHeight="1">
      <c r="A1099" s="86" t="s">
        <v>323</v>
      </c>
      <c r="B1099" s="141">
        <v>38429</v>
      </c>
      <c r="C1099" s="345">
        <f ca="1">DATEDIF(B1099,TODAY(),"MD")</f>
        <v>23</v>
      </c>
      <c r="D1099" s="345">
        <f ca="1">DATEDIF(B1099,TODAY(),"YM")</f>
        <v>7</v>
      </c>
      <c r="E1099" s="345">
        <f ca="1">DATEDIF(B1099,TODAY(),"Y")</f>
        <v>19</v>
      </c>
      <c r="F1099" s="348" t="str">
        <f ca="1">IF(E1099&gt;20,"ADULT",IF(E1099&lt;20,"CHILD"))</f>
        <v>CHILD</v>
      </c>
    </row>
    <row r="1100" spans="1:12" ht="15.75" customHeight="1">
      <c r="A1100" s="86" t="s">
        <v>324</v>
      </c>
      <c r="B1100" s="141">
        <v>39309</v>
      </c>
      <c r="C1100" s="345">
        <f ca="1">DATEDIF(B1100,TODAY(),"MD")</f>
        <v>26</v>
      </c>
      <c r="D1100" s="345">
        <f ca="1">DATEDIF(B1100,TODAY(),"YM")</f>
        <v>2</v>
      </c>
      <c r="E1100" s="345">
        <f ca="1">DATEDIF(B1100,TODAY(),"Y")</f>
        <v>17</v>
      </c>
      <c r="F1100" s="348" t="str">
        <f ca="1">IF(E1100&gt;20,"ADULT",IF(E1100&lt;20,"CHILD"))</f>
        <v>CHILD</v>
      </c>
    </row>
    <row r="1101" spans="1:12" ht="15.75" customHeight="1">
      <c r="A1101" s="86" t="s">
        <v>326</v>
      </c>
      <c r="B1101" s="141">
        <v>40323</v>
      </c>
      <c r="C1101" s="345">
        <f ca="1">DATEDIF(B1101,TODAY(),"MD")</f>
        <v>16</v>
      </c>
      <c r="D1101" s="345">
        <f ca="1">DATEDIF(B1101,TODAY(),"YM")</f>
        <v>5</v>
      </c>
      <c r="E1101" s="345">
        <f ca="1">DATEDIF(B1101,TODAY(),"Y")</f>
        <v>14</v>
      </c>
      <c r="F1101" s="348" t="str">
        <f ca="1">IF(E1101&gt;20,"ADULT",IF(E1101&lt;20,"CHILD"))</f>
        <v>CHILD</v>
      </c>
    </row>
    <row r="1102" spans="1:12" ht="15.75" customHeight="1">
      <c r="A1102" s="86" t="s">
        <v>327</v>
      </c>
      <c r="B1102" s="141">
        <v>34206</v>
      </c>
      <c r="C1102" s="345">
        <f ca="1">DATEDIF(B1102,TODAY(),"MD")</f>
        <v>16</v>
      </c>
      <c r="D1102" s="345">
        <f ca="1">DATEDIF(B1102,TODAY(),"YM")</f>
        <v>2</v>
      </c>
      <c r="E1102" s="345">
        <f ca="1">DATEDIF(B1102,TODAY(),"Y")</f>
        <v>31</v>
      </c>
      <c r="F1102" s="348" t="str">
        <f ca="1">IF(E1102&gt;20,"ADULT",IF(E1102&lt;20,"CHILD"))</f>
        <v>ADULT</v>
      </c>
    </row>
    <row r="1103" spans="1:12" ht="15.75" customHeight="1"/>
    <row r="1104" spans="1:12" ht="15.75" customHeight="1"/>
    <row r="1105" spans="2:4" ht="15.75" customHeight="1"/>
    <row r="1106" spans="2:4" ht="15.75" customHeight="1"/>
    <row r="1107" spans="2:4" ht="15.75" customHeight="1"/>
    <row r="1108" spans="2:4" ht="15.75" customHeight="1">
      <c r="B1108" s="168" t="s">
        <v>1019</v>
      </c>
    </row>
    <row r="1109" spans="2:4" ht="15.75" customHeight="1">
      <c r="B1109" s="121">
        <f>COUNTA(A1092:A1102)</f>
        <v>11</v>
      </c>
    </row>
    <row r="1110" spans="2:4" ht="15.75" customHeight="1"/>
    <row r="1111" spans="2:4" ht="15.75" customHeight="1">
      <c r="B1111" s="355" t="s">
        <v>1020</v>
      </c>
      <c r="C1111" s="355"/>
    </row>
    <row r="1112" spans="2:4" ht="15.75" customHeight="1">
      <c r="B1112" s="329" t="s">
        <v>326</v>
      </c>
      <c r="C1112" s="322">
        <f ca="1">VLOOKUP(B1112,A1092:E1102,5,0)</f>
        <v>14</v>
      </c>
    </row>
    <row r="1113" spans="2:4" ht="15.75" customHeight="1"/>
    <row r="1114" spans="2:4" ht="15.75" customHeight="1">
      <c r="B1114" s="358" t="s">
        <v>1021</v>
      </c>
      <c r="C1114" s="358"/>
    </row>
    <row r="1115" spans="2:4" ht="15.75" customHeight="1">
      <c r="B1115" s="322">
        <f ca="1">COUNTIF(E1092:E1102,"&gt;20")</f>
        <v>8</v>
      </c>
    </row>
    <row r="1116" spans="2:4" ht="15.75" customHeight="1"/>
    <row r="1117" spans="2:4" ht="15.75" customHeight="1">
      <c r="B1117" s="356" t="s">
        <v>1022</v>
      </c>
      <c r="C1117" s="356"/>
      <c r="D1117" s="356"/>
    </row>
    <row r="1118" spans="2:4" ht="15.75" customHeight="1">
      <c r="B1118" s="329" t="s">
        <v>1059</v>
      </c>
    </row>
    <row r="1119" spans="2:4" ht="15.75" customHeight="1"/>
    <row r="1120" spans="2:4" ht="15.75" customHeight="1">
      <c r="B1120" s="357" t="s">
        <v>1023</v>
      </c>
      <c r="C1120" s="357"/>
      <c r="D1120" s="357"/>
    </row>
    <row r="1121" spans="2:2" ht="15.75" customHeight="1">
      <c r="B1121" s="322">
        <f ca="1">COUNTIF(E1092:E1102,"&gt;25")</f>
        <v>7</v>
      </c>
    </row>
    <row r="1122" spans="2:2" ht="15.75" customHeight="1"/>
    <row r="1123" spans="2:2" ht="15.75" customHeight="1"/>
    <row r="1124" spans="2:2" ht="15.75" customHeight="1"/>
    <row r="1125" spans="2:2" ht="15.75" customHeight="1"/>
    <row r="1126" spans="2:2" ht="15.75" customHeight="1"/>
    <row r="1127" spans="2:2" ht="15.75" customHeight="1"/>
    <row r="1128" spans="2:2" ht="15.75" customHeight="1"/>
    <row r="1129" spans="2:2" ht="15.75" customHeight="1"/>
    <row r="1130" spans="2:2" ht="15.75" customHeight="1"/>
    <row r="1131" spans="2:2" ht="15.75" customHeight="1"/>
    <row r="1132" spans="2:2" ht="15.75" customHeight="1"/>
    <row r="1133" spans="2:2" ht="15.75" customHeight="1"/>
    <row r="1134" spans="2:2" ht="15.75" customHeight="1"/>
    <row r="1135" spans="2:2" ht="15.75" customHeight="1"/>
    <row r="1136" spans="2:2" ht="15.75" customHeight="1"/>
    <row r="1137" spans="6:14" ht="15.75" customHeight="1">
      <c r="F1137" s="353" t="s">
        <v>1047</v>
      </c>
      <c r="G1137" t="s">
        <v>1048</v>
      </c>
      <c r="H1137" t="s">
        <v>1049</v>
      </c>
      <c r="I1137" s="353" t="s">
        <v>1050</v>
      </c>
      <c r="J1137" s="353" t="s">
        <v>1051</v>
      </c>
      <c r="K1137" s="353" t="s">
        <v>1052</v>
      </c>
      <c r="L1137" s="353" t="s">
        <v>1053</v>
      </c>
      <c r="M1137" s="353" t="s">
        <v>1054</v>
      </c>
      <c r="N1137" s="353" t="s">
        <v>1055</v>
      </c>
    </row>
    <row r="1138" spans="6:14" ht="15.75" customHeight="1">
      <c r="F1138" s="353" t="s">
        <v>1009</v>
      </c>
      <c r="I1138" s="353"/>
      <c r="J1138" s="353"/>
      <c r="K1138" s="353"/>
      <c r="L1138" s="353"/>
      <c r="M1138" s="353"/>
      <c r="N1138" s="353"/>
    </row>
    <row r="1139" spans="6:14" ht="15.75" customHeight="1">
      <c r="F1139" s="353"/>
      <c r="H1139" s="353"/>
      <c r="I1139" s="353"/>
      <c r="J1139" s="353"/>
      <c r="K1139" s="353"/>
      <c r="L1139" s="353"/>
      <c r="M1139" s="353"/>
      <c r="N1139" s="353"/>
    </row>
    <row r="1140" spans="6:14" ht="15.75" customHeight="1">
      <c r="F1140" s="165" t="s">
        <v>308</v>
      </c>
      <c r="G1140" s="353"/>
      <c r="H1140" s="353"/>
      <c r="I1140" s="165" t="s">
        <v>109</v>
      </c>
      <c r="J1140" s="165" t="s">
        <v>309</v>
      </c>
      <c r="K1140" s="165" t="s">
        <v>112</v>
      </c>
      <c r="L1140" s="165" t="s">
        <v>310</v>
      </c>
      <c r="M1140" s="165" t="s">
        <v>153</v>
      </c>
      <c r="N1140" s="165" t="s">
        <v>311</v>
      </c>
    </row>
    <row r="1141" spans="6:14" ht="15.75" customHeight="1">
      <c r="F1141" s="71" t="s">
        <v>313</v>
      </c>
      <c r="G1141" s="353"/>
      <c r="H1141" s="165" t="s">
        <v>108</v>
      </c>
      <c r="I1141" s="85">
        <v>300</v>
      </c>
      <c r="J1141" s="86">
        <v>1400</v>
      </c>
      <c r="K1141" s="85">
        <v>1000</v>
      </c>
      <c r="L1141" s="68">
        <v>1400</v>
      </c>
      <c r="M1141" s="87">
        <f>SUM(G1141:L1141)</f>
        <v>4100</v>
      </c>
      <c r="N1141" s="88">
        <v>10000</v>
      </c>
    </row>
    <row r="1142" spans="6:14" ht="15.75" customHeight="1">
      <c r="F1142" s="71" t="s">
        <v>299</v>
      </c>
      <c r="G1142" s="165" t="s">
        <v>107</v>
      </c>
      <c r="H1142" s="84">
        <v>1500</v>
      </c>
      <c r="I1142" s="85">
        <v>500</v>
      </c>
      <c r="J1142" s="86">
        <v>1200</v>
      </c>
      <c r="K1142" s="85">
        <v>1200</v>
      </c>
      <c r="L1142" s="68">
        <v>2800</v>
      </c>
      <c r="M1142" s="87">
        <f>SUM(G1142:L1142)</f>
        <v>7200</v>
      </c>
      <c r="N1142" s="88">
        <v>12000</v>
      </c>
    </row>
    <row r="1143" spans="6:14" ht="15.75" customHeight="1">
      <c r="F1143" s="71" t="s">
        <v>297</v>
      </c>
      <c r="G1143" s="83">
        <v>2000</v>
      </c>
      <c r="H1143" s="84">
        <v>1200</v>
      </c>
      <c r="I1143" s="85">
        <v>1200</v>
      </c>
      <c r="J1143" s="86">
        <v>3000</v>
      </c>
      <c r="K1143" s="85">
        <v>1500</v>
      </c>
      <c r="L1143" s="68">
        <v>3500</v>
      </c>
      <c r="M1143" s="87">
        <f>SUM(G1143:L1143)</f>
        <v>12400</v>
      </c>
      <c r="N1143" s="88">
        <v>18000</v>
      </c>
    </row>
    <row r="1144" spans="6:14" ht="15.75" customHeight="1">
      <c r="F1144" s="71" t="s">
        <v>237</v>
      </c>
      <c r="G1144" s="83">
        <v>5000</v>
      </c>
      <c r="H1144" s="84">
        <v>800</v>
      </c>
      <c r="I1144" s="85">
        <v>1800</v>
      </c>
      <c r="J1144" s="86">
        <v>5000</v>
      </c>
      <c r="K1144" s="85">
        <v>1400</v>
      </c>
      <c r="L1144" s="68">
        <v>1200</v>
      </c>
      <c r="M1144" s="87">
        <f>SUM(G1144:L1144)</f>
        <v>15200</v>
      </c>
      <c r="N1144" s="88">
        <v>10000</v>
      </c>
    </row>
    <row r="1145" spans="6:14" ht="15.75" customHeight="1">
      <c r="F1145" s="71" t="s">
        <v>230</v>
      </c>
      <c r="G1145" s="83">
        <v>3000</v>
      </c>
      <c r="H1145" s="84">
        <v>900</v>
      </c>
      <c r="I1145" s="85">
        <v>2300</v>
      </c>
      <c r="J1145" s="86">
        <v>8000</v>
      </c>
      <c r="K1145" s="85">
        <v>1700</v>
      </c>
      <c r="L1145" s="68">
        <v>1400</v>
      </c>
      <c r="M1145" s="87">
        <f>SUM(G1145:L1145)</f>
        <v>17300</v>
      </c>
      <c r="N1145" s="88">
        <v>12000</v>
      </c>
    </row>
    <row r="1146" spans="6:14" ht="15.75" customHeight="1">
      <c r="F1146" s="71" t="s">
        <v>228</v>
      </c>
      <c r="G1146" s="83">
        <v>1000</v>
      </c>
      <c r="H1146" s="84">
        <v>1000</v>
      </c>
      <c r="I1146" s="85">
        <v>2400</v>
      </c>
      <c r="J1146" s="86">
        <v>1900</v>
      </c>
      <c r="K1146" s="85">
        <v>1800</v>
      </c>
      <c r="L1146" s="68">
        <v>1800</v>
      </c>
      <c r="M1146" s="87">
        <f>SUM(G1146:L1146)</f>
        <v>9900</v>
      </c>
      <c r="N1146" s="88">
        <v>10000</v>
      </c>
    </row>
    <row r="1147" spans="6:14" ht="15.75" customHeight="1">
      <c r="F1147" s="71" t="s">
        <v>321</v>
      </c>
      <c r="G1147" s="83">
        <v>500</v>
      </c>
      <c r="H1147" s="84">
        <v>500</v>
      </c>
      <c r="I1147" s="85">
        <v>1500</v>
      </c>
      <c r="J1147" s="86">
        <v>700</v>
      </c>
      <c r="K1147" s="85">
        <v>2500</v>
      </c>
      <c r="L1147" s="68">
        <v>7000</v>
      </c>
      <c r="M1147" s="87">
        <f>SUM(G1147:L1147)</f>
        <v>12700</v>
      </c>
      <c r="N1147" s="88">
        <v>12000</v>
      </c>
    </row>
    <row r="1148" spans="6:14" ht="15.75" customHeight="1">
      <c r="F1148" s="71" t="s">
        <v>323</v>
      </c>
      <c r="G1148" s="83">
        <v>800</v>
      </c>
      <c r="H1148" s="84">
        <v>1400</v>
      </c>
      <c r="I1148" s="85">
        <v>1800</v>
      </c>
      <c r="J1148" s="86">
        <v>1800</v>
      </c>
      <c r="K1148" s="85">
        <v>300</v>
      </c>
      <c r="L1148" s="68">
        <v>1500</v>
      </c>
      <c r="M1148" s="87">
        <f>SUM(G1148:L1148)</f>
        <v>7600</v>
      </c>
      <c r="N1148" s="88">
        <v>10000</v>
      </c>
    </row>
    <row r="1149" spans="6:14" ht="15.75" customHeight="1">
      <c r="F1149" s="71" t="s">
        <v>324</v>
      </c>
      <c r="G1149" s="83">
        <v>1200</v>
      </c>
      <c r="H1149" s="84">
        <v>1800</v>
      </c>
      <c r="I1149" s="85">
        <v>1700</v>
      </c>
      <c r="J1149" s="86">
        <v>1500</v>
      </c>
      <c r="K1149" s="85">
        <v>2800</v>
      </c>
      <c r="L1149" s="68">
        <v>1800</v>
      </c>
      <c r="M1149" s="87">
        <f>SUM(G1149:L1149)</f>
        <v>10800</v>
      </c>
      <c r="N1149" s="88">
        <v>12000</v>
      </c>
    </row>
    <row r="1150" spans="6:14" ht="15.75" customHeight="1">
      <c r="F1150" s="71" t="s">
        <v>326</v>
      </c>
      <c r="G1150" s="83">
        <v>1500</v>
      </c>
      <c r="H1150" s="84">
        <v>2500</v>
      </c>
      <c r="I1150" s="85">
        <v>1900</v>
      </c>
      <c r="J1150" s="86">
        <v>1200</v>
      </c>
      <c r="K1150" s="85">
        <v>1500</v>
      </c>
      <c r="L1150" s="68">
        <v>3000</v>
      </c>
      <c r="M1150" s="87">
        <f>SUM(G1150:L1150)</f>
        <v>11600</v>
      </c>
      <c r="N1150" s="88">
        <v>10000</v>
      </c>
    </row>
    <row r="1151" spans="6:14" ht="15.75" customHeight="1">
      <c r="F1151" s="71" t="s">
        <v>327</v>
      </c>
      <c r="G1151" s="83">
        <v>1800</v>
      </c>
      <c r="H1151" s="84">
        <v>3000</v>
      </c>
      <c r="I1151" s="85">
        <v>2000</v>
      </c>
      <c r="J1151" s="86">
        <v>800</v>
      </c>
      <c r="K1151" s="85">
        <v>1700</v>
      </c>
      <c r="L1151" s="68">
        <v>800</v>
      </c>
      <c r="M1151" s="87">
        <f>SUM(G1151:L1151)</f>
        <v>10100</v>
      </c>
      <c r="N1151" s="88">
        <v>10000</v>
      </c>
    </row>
    <row r="1152" spans="6:14" ht="15.75" customHeight="1">
      <c r="G1152" s="83">
        <v>200</v>
      </c>
      <c r="H1152" s="84">
        <v>1200</v>
      </c>
    </row>
    <row r="1153" spans="7:7" ht="15.75" customHeight="1">
      <c r="G1153" s="83">
        <v>1600</v>
      </c>
    </row>
    <row r="1154" spans="7:7" ht="15.75" customHeight="1"/>
    <row r="1155" spans="7:7" ht="15.75" customHeight="1"/>
    <row r="1156" spans="7:7" ht="15.75" customHeight="1"/>
    <row r="1157" spans="7:7" ht="15.75" customHeight="1"/>
    <row r="1158" spans="7:7" ht="15.75" customHeight="1"/>
    <row r="1159" spans="7:7" ht="15.75" customHeight="1"/>
    <row r="1160" spans="7:7" ht="15.75" customHeight="1"/>
    <row r="1161" spans="7:7" ht="15.75" customHeight="1"/>
    <row r="1162" spans="7:7" ht="15.75" customHeight="1"/>
    <row r="1163" spans="7:7" ht="15.75" customHeight="1"/>
    <row r="1164" spans="7:7" ht="15.75" customHeight="1"/>
    <row r="1165" spans="7:7" ht="15.75" customHeight="1"/>
    <row r="1166" spans="7:7" ht="15.75" customHeight="1"/>
    <row r="1167" spans="7:7" ht="15.75" customHeight="1"/>
    <row r="1168" spans="7:7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  <row r="1544" ht="15.75" customHeight="1"/>
    <row r="1545" ht="15.75" customHeight="1"/>
    <row r="1546" ht="15.75" customHeight="1"/>
    <row r="1547" ht="15.75" customHeight="1"/>
    <row r="1548" ht="15.75" customHeight="1"/>
    <row r="1549" ht="15.75" customHeight="1"/>
    <row r="1550" ht="15.75" customHeight="1"/>
    <row r="1551" ht="15.75" customHeight="1"/>
    <row r="1552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/>
    <row r="1599" ht="15.75" customHeight="1"/>
    <row r="1600" ht="15.75" customHeight="1"/>
    <row r="1601" ht="15.75" customHeight="1"/>
    <row r="1602" ht="15.75" customHeight="1"/>
    <row r="1603" ht="15.75" customHeight="1"/>
    <row r="1604" ht="15.75" customHeight="1"/>
    <row r="1605" ht="15.75" customHeight="1"/>
    <row r="1606" ht="15.75" customHeight="1"/>
    <row r="1607" ht="15.75" customHeight="1"/>
    <row r="1608" ht="15.75" customHeight="1"/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/>
    <row r="1672" ht="15.75" customHeight="1"/>
    <row r="1673" ht="15.75" customHeight="1"/>
    <row r="1674" ht="15.75" customHeight="1"/>
    <row r="1675" ht="15.75" customHeight="1"/>
    <row r="1676" ht="15.75" customHeight="1"/>
    <row r="1677" ht="15.75" customHeight="1"/>
    <row r="1678" ht="15.75" customHeight="1"/>
    <row r="1679" ht="15.75" customHeight="1"/>
    <row r="1680" ht="15.75" customHeight="1"/>
    <row r="1681" ht="15.75" customHeight="1"/>
    <row r="1682" ht="15.75" customHeight="1"/>
    <row r="1683" ht="15.75" customHeight="1"/>
    <row r="1684" ht="15.75" customHeight="1"/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  <row r="1707" ht="15.75" customHeight="1"/>
    <row r="1708" ht="15.75" customHeight="1"/>
    <row r="1709" ht="15.75" customHeight="1"/>
    <row r="1710" ht="15.75" customHeight="1"/>
    <row r="1711" ht="15.75" customHeight="1"/>
    <row r="1712" ht="15.75" customHeight="1"/>
    <row r="1713" ht="15.75" customHeight="1"/>
    <row r="1714" ht="15.75" customHeight="1"/>
    <row r="1715" ht="15.75" customHeight="1"/>
    <row r="1716" ht="15.75" customHeight="1"/>
    <row r="1717" ht="15.75" customHeight="1"/>
    <row r="1718" ht="15.75" customHeight="1"/>
    <row r="1719" ht="15.75" customHeight="1"/>
    <row r="1720" ht="15.75" customHeight="1"/>
    <row r="1721" ht="15.75" customHeight="1"/>
    <row r="1722" ht="15.75" customHeight="1"/>
    <row r="1723" ht="15.75" customHeight="1"/>
    <row r="1724" ht="15.75" customHeight="1"/>
    <row r="1725" ht="15.75" customHeight="1"/>
    <row r="1726" ht="15.75" customHeight="1"/>
    <row r="1727" ht="15.75" customHeight="1"/>
    <row r="1728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  <row r="1814" ht="15.75" customHeight="1"/>
    <row r="1815" ht="15.75" customHeight="1"/>
    <row r="1816" ht="15.75" customHeight="1"/>
    <row r="1817" ht="15.75" customHeight="1"/>
    <row r="1818" ht="15.75" customHeight="1"/>
    <row r="1819" ht="15.75" customHeight="1"/>
    <row r="1820" ht="15.75" customHeight="1"/>
    <row r="1821" ht="15.75" customHeight="1"/>
    <row r="1822" ht="15.75" customHeight="1"/>
    <row r="1823" ht="15.75" customHeight="1"/>
    <row r="1824" ht="15.75" customHeight="1"/>
    <row r="1825" ht="15.75" customHeight="1"/>
    <row r="1826" ht="15.75" customHeight="1"/>
    <row r="1827" ht="15.75" customHeight="1"/>
    <row r="1828" ht="15.75" customHeight="1"/>
    <row r="1829" ht="15.75" customHeight="1"/>
    <row r="1830" ht="15.75" customHeight="1"/>
    <row r="1831" ht="15.75" customHeight="1"/>
    <row r="1832" ht="15.75" customHeight="1"/>
    <row r="1833" ht="15.75" customHeight="1"/>
    <row r="1834" ht="15.75" customHeight="1"/>
    <row r="1835" ht="15.75" customHeight="1"/>
    <row r="1836" ht="15.75" customHeight="1"/>
    <row r="1837" ht="15.75" customHeight="1"/>
    <row r="1838" ht="15.75" customHeight="1"/>
    <row r="1839" ht="15.75" customHeight="1"/>
    <row r="1840" ht="15.75" customHeight="1"/>
    <row r="1841" ht="15.75" customHeight="1"/>
    <row r="1842" ht="15.75" customHeight="1"/>
    <row r="1843" ht="15.75" customHeight="1"/>
    <row r="1844" ht="15.75" customHeight="1"/>
    <row r="1845" ht="15.75" customHeight="1"/>
    <row r="1846" ht="15.75" customHeight="1"/>
    <row r="1847" ht="15.75" customHeight="1"/>
    <row r="1848" ht="15.75" customHeight="1"/>
    <row r="1849" ht="15.75" customHeight="1"/>
    <row r="1850" ht="15.75" customHeight="1"/>
    <row r="1851" ht="15.75" customHeight="1"/>
    <row r="1852" ht="15.75" customHeight="1"/>
    <row r="1853" ht="15.75" customHeight="1"/>
    <row r="1854" ht="15.75" customHeight="1"/>
    <row r="1855" ht="15.75" customHeight="1"/>
    <row r="1856" ht="15.75" customHeight="1"/>
    <row r="1857" ht="15.75" customHeight="1"/>
    <row r="1858" ht="15.75" customHeight="1"/>
    <row r="1859" ht="15.75" customHeight="1"/>
    <row r="1860" ht="15.75" customHeight="1"/>
    <row r="1861" ht="15.75" customHeight="1"/>
    <row r="1862" ht="15.75" customHeight="1"/>
    <row r="1863" ht="15.75" customHeight="1"/>
    <row r="1864" ht="15.75" customHeight="1"/>
    <row r="1865" ht="15.75" customHeight="1"/>
    <row r="1866" ht="15.75" customHeight="1"/>
    <row r="1867" ht="15.75" customHeight="1"/>
    <row r="1868" ht="15.75" customHeight="1"/>
    <row r="1869" ht="15.75" customHeight="1"/>
    <row r="1870" ht="15.75" customHeight="1"/>
    <row r="1871" ht="15.75" customHeight="1"/>
    <row r="1872" ht="15.75" customHeight="1"/>
    <row r="1873" ht="15.75" customHeight="1"/>
    <row r="1874" ht="15.75" customHeight="1"/>
    <row r="1875" ht="15.75" customHeight="1"/>
    <row r="1876" ht="15.75" customHeight="1"/>
    <row r="1877" ht="15.75" customHeight="1"/>
    <row r="1878" ht="15.75" customHeight="1"/>
    <row r="1879" ht="15.75" customHeight="1"/>
    <row r="1880" ht="15.75" customHeight="1"/>
    <row r="1881" ht="15.75" customHeight="1"/>
    <row r="1882" ht="15.75" customHeight="1"/>
    <row r="1883" ht="15.75" customHeight="1"/>
    <row r="1884" ht="15.75" customHeight="1"/>
    <row r="1885" ht="15.75" customHeight="1"/>
    <row r="1886" ht="15.75" customHeight="1"/>
    <row r="1887" ht="15.75" customHeight="1"/>
    <row r="1888" ht="15.75" customHeight="1"/>
    <row r="1889" ht="15.75" customHeight="1"/>
    <row r="1890" ht="15.75" customHeight="1"/>
    <row r="1891" ht="15.75" customHeight="1"/>
    <row r="1892" ht="15.75" customHeight="1"/>
    <row r="1893" ht="15.75" customHeight="1"/>
    <row r="1894" ht="15.75" customHeight="1"/>
    <row r="1895" ht="15.75" customHeight="1"/>
    <row r="1896" ht="15.75" customHeight="1"/>
    <row r="1897" ht="15.75" customHeight="1"/>
    <row r="1898" ht="15.75" customHeight="1"/>
    <row r="1899" ht="15.75" customHeight="1"/>
    <row r="1900" ht="15.75" customHeight="1"/>
    <row r="1901" ht="15.75" customHeight="1"/>
    <row r="1902" ht="15.75" customHeight="1"/>
    <row r="1903" ht="15.75" customHeight="1"/>
    <row r="1904" ht="15.75" customHeight="1"/>
    <row r="1905" ht="15.75" customHeight="1"/>
    <row r="1906" ht="15.75" customHeight="1"/>
    <row r="1907" ht="15.75" customHeight="1"/>
    <row r="1908" ht="15.75" customHeight="1"/>
    <row r="1909" ht="15.75" customHeight="1"/>
    <row r="1910" ht="15.75" customHeight="1"/>
    <row r="1911" ht="15.75" customHeight="1"/>
    <row r="1912" ht="15.75" customHeight="1"/>
    <row r="1913" ht="15.75" customHeight="1"/>
    <row r="1914" ht="15.75" customHeight="1"/>
    <row r="1915" ht="15.75" customHeight="1"/>
    <row r="1916" ht="15.75" customHeight="1"/>
    <row r="1917" ht="15.75" customHeight="1"/>
    <row r="1918" ht="15.75" customHeight="1"/>
    <row r="1919" ht="15.75" customHeight="1"/>
    <row r="1920" ht="15.75" customHeight="1"/>
    <row r="1921" ht="15.75" customHeight="1"/>
    <row r="1922" ht="15.75" customHeight="1"/>
    <row r="1923" ht="15.75" customHeight="1"/>
    <row r="1924" ht="15.75" customHeight="1"/>
    <row r="1925" ht="15.75" customHeight="1"/>
    <row r="1926" ht="15.75" customHeight="1"/>
    <row r="1927" ht="15.75" customHeight="1"/>
    <row r="1928" ht="15.75" customHeight="1"/>
    <row r="1929" ht="15.75" customHeight="1"/>
    <row r="1930" ht="15.75" customHeight="1"/>
    <row r="1931" ht="15.75" customHeight="1"/>
    <row r="1932" ht="15.75" customHeight="1"/>
    <row r="1933" ht="15.75" customHeight="1"/>
    <row r="1934" ht="15.75" customHeight="1"/>
    <row r="1935" ht="15.75" customHeight="1"/>
    <row r="1936" ht="15.75" customHeight="1"/>
    <row r="1937" ht="15.75" customHeight="1"/>
    <row r="1938" ht="15.75" customHeight="1"/>
    <row r="1939" ht="15.75" customHeight="1"/>
    <row r="1940" ht="15.75" customHeight="1"/>
    <row r="1941" ht="15.75" customHeight="1"/>
    <row r="1942" ht="15.75" customHeight="1"/>
    <row r="1943" ht="15.75" customHeight="1"/>
    <row r="1944" ht="15.75" customHeight="1"/>
    <row r="1945" ht="15.75" customHeight="1"/>
    <row r="1946" ht="15.75" customHeight="1"/>
    <row r="1947" ht="15.75" customHeight="1"/>
    <row r="1948" ht="15.75" customHeight="1"/>
    <row r="1949" ht="15.75" customHeight="1"/>
    <row r="1950" ht="15.75" customHeight="1"/>
    <row r="1951" ht="15.75" customHeight="1"/>
    <row r="1952" ht="15.75" customHeight="1"/>
    <row r="1953" ht="15.75" customHeight="1"/>
    <row r="1954" ht="15.75" customHeight="1"/>
    <row r="1955" ht="15.75" customHeight="1"/>
    <row r="1956" ht="15.75" customHeight="1"/>
    <row r="1957" ht="15.75" customHeight="1"/>
    <row r="1958" ht="15.75" customHeight="1"/>
    <row r="1959" ht="15.75" customHeight="1"/>
    <row r="1960" ht="15.75" customHeight="1"/>
    <row r="1961" ht="15.75" customHeight="1"/>
    <row r="1962" ht="15.75" customHeight="1"/>
    <row r="1963" ht="15.75" customHeight="1"/>
    <row r="1964" ht="15.75" customHeight="1"/>
    <row r="1965" ht="15.75" customHeight="1"/>
    <row r="1966" ht="15.75" customHeight="1"/>
    <row r="1967" ht="15.75" customHeight="1"/>
    <row r="1968" ht="15.75" customHeight="1"/>
    <row r="1969" ht="15.75" customHeight="1"/>
    <row r="1970" ht="15.75" customHeight="1"/>
    <row r="1971" ht="15.75" customHeight="1"/>
    <row r="1972" ht="15.75" customHeight="1"/>
    <row r="1973" ht="15.75" customHeight="1"/>
    <row r="1974" ht="15.75" customHeight="1"/>
    <row r="1975" ht="15.75" customHeight="1"/>
    <row r="1976" ht="15.75" customHeight="1"/>
    <row r="1977" ht="15.75" customHeight="1"/>
    <row r="1978" ht="15.75" customHeight="1"/>
    <row r="1979" ht="15.75" customHeight="1"/>
    <row r="1980" ht="15.75" customHeight="1"/>
    <row r="1981" ht="15.75" customHeight="1"/>
    <row r="1982" ht="15.75" customHeight="1"/>
    <row r="1983" ht="15.75" customHeight="1"/>
    <row r="1984" ht="15.75" customHeight="1"/>
    <row r="1985" ht="15.75" customHeight="1"/>
    <row r="1986" ht="15.75" customHeight="1"/>
    <row r="1987" ht="15.75" customHeight="1"/>
    <row r="1988" ht="15.75" customHeight="1"/>
    <row r="1989" ht="15.75" customHeight="1"/>
    <row r="1990" ht="15.75" customHeight="1"/>
    <row r="1991" ht="15.75" customHeight="1"/>
    <row r="1992" ht="15.75" customHeight="1"/>
    <row r="1993" ht="15.75" customHeight="1"/>
    <row r="1994" ht="15.75" customHeight="1"/>
    <row r="1995" ht="15.75" customHeight="1"/>
    <row r="1996" ht="15.75" customHeight="1"/>
    <row r="1997" ht="15.75" customHeight="1"/>
    <row r="1998" ht="15.75" customHeight="1"/>
    <row r="1999" ht="15.75" customHeight="1"/>
    <row r="2000" ht="15.75" customHeight="1"/>
    <row r="2001" ht="15.75" customHeight="1"/>
    <row r="2002" ht="15.75" customHeight="1"/>
    <row r="2003" ht="15.75" customHeight="1"/>
    <row r="2004" ht="15.75" customHeight="1"/>
    <row r="2005" ht="15.75" customHeight="1"/>
    <row r="2006" ht="15.75" customHeight="1"/>
    <row r="2007" ht="15.75" customHeight="1"/>
    <row r="2008" ht="15.75" customHeight="1"/>
    <row r="2009" ht="15.75" customHeight="1"/>
    <row r="2010" ht="15.75" customHeight="1"/>
    <row r="2011" ht="15.75" customHeight="1"/>
    <row r="2012" ht="15.75" customHeight="1"/>
    <row r="2013" ht="15.75" customHeight="1"/>
    <row r="2014" ht="15.75" customHeight="1"/>
    <row r="2015" ht="15.75" customHeight="1"/>
    <row r="2016" ht="15.75" customHeight="1"/>
    <row r="2017" ht="15.75" customHeight="1"/>
    <row r="2018" ht="15.75" customHeight="1"/>
    <row r="2019" ht="15.75" customHeight="1"/>
    <row r="2020" ht="15.75" customHeight="1"/>
    <row r="2021" ht="15.75" customHeight="1"/>
    <row r="2022" ht="15.75" customHeight="1"/>
    <row r="2023" ht="15.75" customHeight="1"/>
    <row r="2024" ht="15.75" customHeight="1"/>
    <row r="2025" ht="15.75" customHeight="1"/>
    <row r="2026" ht="15.75" customHeight="1"/>
    <row r="2027" ht="15.75" customHeight="1"/>
    <row r="2028" ht="15.75" customHeight="1"/>
  </sheetData>
  <mergeCells count="128">
    <mergeCell ref="B1120:D1120"/>
    <mergeCell ref="B1114:C1114"/>
    <mergeCell ref="G619:H619"/>
    <mergeCell ref="A720:I721"/>
    <mergeCell ref="A807:I808"/>
    <mergeCell ref="A835:K836"/>
    <mergeCell ref="A883:J884"/>
    <mergeCell ref="A1014:L1015"/>
    <mergeCell ref="A552:K553"/>
    <mergeCell ref="D12:E12"/>
    <mergeCell ref="F12:L16"/>
    <mergeCell ref="L1:L11"/>
    <mergeCell ref="M1:N1"/>
    <mergeCell ref="O1:O5"/>
    <mergeCell ref="P1:P16"/>
    <mergeCell ref="M4:N4"/>
    <mergeCell ref="M9:O16"/>
    <mergeCell ref="B12:C13"/>
    <mergeCell ref="B16:E16"/>
    <mergeCell ref="B17:J18"/>
    <mergeCell ref="H21:H29"/>
    <mergeCell ref="B50:H51"/>
    <mergeCell ref="B66:L67"/>
    <mergeCell ref="B86:J87"/>
    <mergeCell ref="E89:J89"/>
    <mergeCell ref="E96:F96"/>
    <mergeCell ref="B115:I116"/>
    <mergeCell ref="A33:M34"/>
    <mergeCell ref="B131:I132"/>
    <mergeCell ref="B133:C133"/>
    <mergeCell ref="D133:F133"/>
    <mergeCell ref="G133:I133"/>
    <mergeCell ref="B147:I148"/>
    <mergeCell ref="B167:I168"/>
    <mergeCell ref="I173:K173"/>
    <mergeCell ref="I174:K174"/>
    <mergeCell ref="I176:K176"/>
    <mergeCell ref="I177:J177"/>
    <mergeCell ref="L177:N177"/>
    <mergeCell ref="I179:K179"/>
    <mergeCell ref="I180:K180"/>
    <mergeCell ref="C193:K194"/>
    <mergeCell ref="C207:K208"/>
    <mergeCell ref="C214:K215"/>
    <mergeCell ref="C228:L229"/>
    <mergeCell ref="M230:P230"/>
    <mergeCell ref="M231:P231"/>
    <mergeCell ref="M234:P234"/>
    <mergeCell ref="M235:N235"/>
    <mergeCell ref="C244:L245"/>
    <mergeCell ref="C264:J265"/>
    <mergeCell ref="H269:L269"/>
    <mergeCell ref="H270:J270"/>
    <mergeCell ref="B786:C786"/>
    <mergeCell ref="B788:C788"/>
    <mergeCell ref="F788:G788"/>
    <mergeCell ref="H273:L273"/>
    <mergeCell ref="H274:J274"/>
    <mergeCell ref="H276:L277"/>
    <mergeCell ref="H278:J278"/>
    <mergeCell ref="K278:L278"/>
    <mergeCell ref="H282:L282"/>
    <mergeCell ref="B306:J307"/>
    <mergeCell ref="I312:L312"/>
    <mergeCell ref="I315:L315"/>
    <mergeCell ref="I318:L318"/>
    <mergeCell ref="I321:M321"/>
    <mergeCell ref="I324:M324"/>
    <mergeCell ref="B343:J344"/>
    <mergeCell ref="G346:J346"/>
    <mergeCell ref="E999:F999"/>
    <mergeCell ref="B1004:C1004"/>
    <mergeCell ref="B1029:E1029"/>
    <mergeCell ref="B1034:E1034"/>
    <mergeCell ref="B801:C802"/>
    <mergeCell ref="D801:D802"/>
    <mergeCell ref="F801:G802"/>
    <mergeCell ref="H801:H802"/>
    <mergeCell ref="B898:J899"/>
    <mergeCell ref="B934:K935"/>
    <mergeCell ref="B1117:D1117"/>
    <mergeCell ref="A1089:F1090"/>
    <mergeCell ref="B1111:C1111"/>
    <mergeCell ref="G349:J349"/>
    <mergeCell ref="G352:J352"/>
    <mergeCell ref="G355:J355"/>
    <mergeCell ref="G358:K358"/>
    <mergeCell ref="B363:J364"/>
    <mergeCell ref="A380:I381"/>
    <mergeCell ref="A400:H401"/>
    <mergeCell ref="A416:G417"/>
    <mergeCell ref="I453:M453"/>
    <mergeCell ref="I456:M456"/>
    <mergeCell ref="I459:M459"/>
    <mergeCell ref="D359:F359"/>
    <mergeCell ref="C360:D360"/>
    <mergeCell ref="A443:H444"/>
    <mergeCell ref="F496:G496"/>
    <mergeCell ref="F497:G497"/>
    <mergeCell ref="B525:J526"/>
    <mergeCell ref="B574:I575"/>
    <mergeCell ref="B577:I577"/>
    <mergeCell ref="B611:K612"/>
    <mergeCell ref="A485:H486"/>
    <mergeCell ref="A471:G472"/>
    <mergeCell ref="G586:I586"/>
    <mergeCell ref="G589:I589"/>
    <mergeCell ref="G592:K592"/>
    <mergeCell ref="G596:K596"/>
    <mergeCell ref="G601:J601"/>
    <mergeCell ref="F786:G786"/>
    <mergeCell ref="E955:F955"/>
    <mergeCell ref="E964:F964"/>
    <mergeCell ref="E973:F973"/>
    <mergeCell ref="B980:H981"/>
    <mergeCell ref="E985:F985"/>
    <mergeCell ref="B990:C990"/>
    <mergeCell ref="E992:F992"/>
    <mergeCell ref="B628:J629"/>
    <mergeCell ref="B652:I653"/>
    <mergeCell ref="B704:J705"/>
    <mergeCell ref="A723:B723"/>
    <mergeCell ref="D723:E723"/>
    <mergeCell ref="G723:H723"/>
    <mergeCell ref="A747:D747"/>
    <mergeCell ref="B773:J774"/>
    <mergeCell ref="E938:F938"/>
    <mergeCell ref="E945:F945"/>
  </mergeCells>
  <conditionalFormatting sqref="A246:A260">
    <cfRule type="cellIs" dxfId="14" priority="4" operator="equal">
      <formula>"USA"</formula>
    </cfRule>
  </conditionalFormatting>
  <conditionalFormatting sqref="A247:A260">
    <cfRule type="cellIs" dxfId="13" priority="5" operator="equal">
      <formula>"USA"</formula>
    </cfRule>
    <cfRule type="cellIs" dxfId="12" priority="6" operator="equal">
      <formula>"uk"</formula>
    </cfRule>
    <cfRule type="cellIs" dxfId="11" priority="7" operator="equal">
      <formula>"$10,346.00"</formula>
    </cfRule>
  </conditionalFormatting>
  <conditionalFormatting sqref="B89:B108">
    <cfRule type="cellIs" dxfId="10" priority="8" operator="equal">
      <formula>"tyres"</formula>
    </cfRule>
  </conditionalFormatting>
  <conditionalFormatting sqref="C246:F260 G254">
    <cfRule type="cellIs" dxfId="9" priority="9" operator="equal">
      <formula>"USA"</formula>
    </cfRule>
  </conditionalFormatting>
  <conditionalFormatting sqref="C247:F260 G254">
    <cfRule type="cellIs" dxfId="8" priority="10" operator="equal">
      <formula>"USA"</formula>
    </cfRule>
    <cfRule type="cellIs" dxfId="7" priority="11" operator="equal">
      <formula>"uk"</formula>
    </cfRule>
    <cfRule type="cellIs" dxfId="6" priority="12" operator="equal">
      <formula>"$10,346.00"</formula>
    </cfRule>
  </conditionalFormatting>
  <conditionalFormatting sqref="G118">
    <cfRule type="colorScale" priority="13">
      <colorScale>
        <cfvo type="min"/>
        <cfvo type="max"/>
        <color rgb="FFA8D08D"/>
        <color rgb="FFFFEF9C"/>
      </colorScale>
    </cfRule>
  </conditionalFormatting>
  <conditionalFormatting sqref="G118:G128">
    <cfRule type="cellIs" dxfId="5" priority="14" operator="equal">
      <formula>"ADULT"</formula>
    </cfRule>
    <cfRule type="cellIs" dxfId="4" priority="15" operator="equal">
      <formula>"CHILD"</formula>
    </cfRule>
  </conditionalFormatting>
  <conditionalFormatting sqref="G150:G16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9:K79 J1017:J1027 J1058:J1068">
    <cfRule type="containsText" dxfId="3" priority="17" operator="containsText" text="NOT ACHIVED">
      <formula>NOT(ISERROR(SEARCH(("NOT ACHIVED"),(K69))))</formula>
    </cfRule>
  </conditionalFormatting>
  <conditionalFormatting sqref="P72:P7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3:G482">
    <cfRule type="cellIs" dxfId="2" priority="3" operator="equal">
      <formula>"fail"</formula>
    </cfRule>
  </conditionalFormatting>
  <conditionalFormatting sqref="F1092:F1102">
    <cfRule type="cellIs" dxfId="1" priority="1" operator="equal">
      <formula>"CHILD"</formula>
    </cfRule>
    <cfRule type="cellIs" dxfId="0" priority="2" operator="equal">
      <formula>"ADULT"</formula>
    </cfRule>
  </conditionalFormatting>
  <dataValidations count="2">
    <dataValidation type="list" allowBlank="1" showErrorMessage="1" sqref="M236" xr:uid="{00000000-0002-0000-0800-000000000000}">
      <formula1>$C$231:$C$238</formula1>
    </dataValidation>
    <dataValidation type="list" allowBlank="1" showErrorMessage="1" sqref="N236" xr:uid="{00000000-0002-0000-0800-000001000000}">
      <formula1>$D$230:$K$230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A D A A B Q S w M E F A A C A A g A c k 9 q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B y T 2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k 9 q W S F L W Y n I A A A A 1 w E A A B M A H A B G b 3 J t d W x h c y 9 T Z W N 0 a W 9 u M S 5 t I K I Y A C i g F A A A A A A A A A A A A A A A A A A A A A A A A A A A A H X Q z w u C M B Q H 8 L u w / 2 G s i 4 F E 6 3 e E J + n a J a G D e F j 2 S l G 3 2 C Y Y 4 v / e b A g F a 5 f B 5 7 3 3 H W 8 K M l 0 I j s / 2 p g f k I U / l T M I N x + x a A c U h r k A j D 5 t z F o 3 M w M i x z a C a R Y 2 U w P V F y P I q R O l P u + T E a g i J n S R p n 0 S C a 9 O S B j Z g Q q K c 8 c c Q / n o C M U m f 1 l k s G V d 3 I e t I V E 3 N h 6 L y 7 W t B 1 x G r l A R Y m w r W 0 O o + w K M v R m f 8 9 c V L N 6 / c v H b z x s 1 b N + / c v H c z n f 9 Z i N I / A z + b 9 l P k F d z 5 r 4 c 3 U E s B A i 0 A F A A C A A g A c k 9 q W X g 3 i N y m A A A A 9 g A A A B I A A A A A A A A A A A A A A A A A A A A A A E N v b m Z p Z y 9 Q Y W N r Y W d l L n h t b F B L A Q I t A B Q A A g A I A H J P a l k P y u m r p A A A A O k A A A A T A A A A A A A A A A A A A A A A A P I A A A B b Q 2 9 u d G V u d F 9 U e X B l c 1 0 u e G 1 s U E s B A i 0 A F A A C A A g A c k 9 q W S F L W Y n I A A A A 1 w E A A B M A A A A A A A A A A A A A A A A A 4 w E A A E Z v c m 1 1 b G F z L 1 N l Y 3 R p b 2 4 x L m 1 Q S w U G A A A A A A M A A w D C A A A A +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Q 0 A A A A A A A B f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4 M 2 I 0 M j h h L T I 0 N T k t N G Q z Z C 1 i Z D A 1 L T F k M W J h O T R i Y 2 N i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B U M D Q 6 M j k 6 M T Y u O T c x O D E z N 1 o i I C 8 + P E V u d H J 5 I F R 5 c G U 9 I k Z p b G x D b 2 x 1 b W 5 U e X B l c y I g V m F s d W U 9 I n N C Z 0 F B Q U F B Q U F B Q U F C Z 0 F B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0 N v b H V t b j E s M H 0 m c X V v d D s s J n F 1 b 3 Q 7 U 2 V j d G l v b j E v V G F i b G U x L 0 N o Y W 5 n Z W Q g V H l w Z S 5 7 Q 2 9 s d W 1 u M i w x f S Z x d W 9 0 O y w m c X V v d D t T Z W N 0 a W 9 u M S 9 U Y W J s Z T E v Q 2 h h b m d l Z C B U e X B l L n t D b 2 x 1 b W 4 z L D J 9 J n F 1 b 3 Q 7 L C Z x d W 9 0 O 1 N l Y 3 R p b 2 4 x L 1 R h Y m x l M S 9 D a G F u Z 2 V k I F R 5 c G U u e 0 N v b H V t b j Q s M 3 0 m c X V v d D s s J n F 1 b 3 Q 7 U 2 V j d G l v b j E v V G F i b G U x L 0 N o Y W 5 n Z W Q g V H l w Z S 5 7 Q 2 9 s d W 1 u N S w 0 f S Z x d W 9 0 O y w m c X V v d D t T Z W N 0 a W 9 u M S 9 U Y W J s Z T E v Q 2 h h b m d l Z C B U e X B l L n t D b 2 x 1 b W 4 2 L D V 9 J n F 1 b 3 Q 7 L C Z x d W 9 0 O 1 N l Y 3 R p b 2 4 x L 1 R h Y m x l M S 9 D a G F u Z 2 V k I F R 5 c G U u e 0 N v b H V t b j c s N n 0 m c X V v d D s s J n F 1 b 3 Q 7 U 2 V j d G l v b j E v V G F i b G U x L 0 N o Y W 5 n Z W Q g V H l w Z S 5 7 Q 2 9 s d W 1 u O C w 3 f S Z x d W 9 0 O y w m c X V v d D t T Z W N 0 a W 9 u M S 9 U Y W J s Z T E v Q 2 h h b m d l Z C B U e X B l L n t D b 2 x 1 b W 4 5 L D h 9 J n F 1 b 3 Q 7 L C Z x d W 9 0 O 1 N l Y 3 R p b 2 4 x L 1 R h Y m x l M S 9 D a G F u Z 2 V k I F R 5 c G U u e 0 N v b H V t b j E w L D l 9 J n F 1 b 3 Q 7 L C Z x d W 9 0 O 1 N l Y 3 R p b 2 4 x L 1 R h Y m x l M S 9 D a G F u Z 2 V k I F R 5 c G U u e 0 N v b H V t b j E x L D E w f S Z x d W 9 0 O y w m c X V v d D t T Z W N 0 a W 9 u M S 9 U Y W J s Z T E v Q 2 h h b m d l Z C B U e X B l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h Y m x l M S 9 D a G F u Z 2 V k I F R 5 c G U u e 0 N v b H V t b j E s M H 0 m c X V v d D s s J n F 1 b 3 Q 7 U 2 V j d G l v b j E v V G F i b G U x L 0 N o Y W 5 n Z W Q g V H l w Z S 5 7 Q 2 9 s d W 1 u M i w x f S Z x d W 9 0 O y w m c X V v d D t T Z W N 0 a W 9 u M S 9 U Y W J s Z T E v Q 2 h h b m d l Z C B U e X B l L n t D b 2 x 1 b W 4 z L D J 9 J n F 1 b 3 Q 7 L C Z x d W 9 0 O 1 N l Y 3 R p b 2 4 x L 1 R h Y m x l M S 9 D a G F u Z 2 V k I F R 5 c G U u e 0 N v b H V t b j Q s M 3 0 m c X V v d D s s J n F 1 b 3 Q 7 U 2 V j d G l v b j E v V G F i b G U x L 0 N o Y W 5 n Z W Q g V H l w Z S 5 7 Q 2 9 s d W 1 u N S w 0 f S Z x d W 9 0 O y w m c X V v d D t T Z W N 0 a W 9 u M S 9 U Y W J s Z T E v Q 2 h h b m d l Z C B U e X B l L n t D b 2 x 1 b W 4 2 L D V 9 J n F 1 b 3 Q 7 L C Z x d W 9 0 O 1 N l Y 3 R p b 2 4 x L 1 R h Y m x l M S 9 D a G F u Z 2 V k I F R 5 c G U u e 0 N v b H V t b j c s N n 0 m c X V v d D s s J n F 1 b 3 Q 7 U 2 V j d G l v b j E v V G F i b G U x L 0 N o Y W 5 n Z W Q g V H l w Z S 5 7 Q 2 9 s d W 1 u O C w 3 f S Z x d W 9 0 O y w m c X V v d D t T Z W N 0 a W 9 u M S 9 U Y W J s Z T E v Q 2 h h b m d l Z C B U e X B l L n t D b 2 x 1 b W 4 5 L D h 9 J n F 1 b 3 Q 7 L C Z x d W 9 0 O 1 N l Y 3 R p b 2 4 x L 1 R h Y m x l M S 9 D a G F u Z 2 V k I F R 5 c G U u e 0 N v b H V t b j E w L D l 9 J n F 1 b 3 Q 7 L C Z x d W 9 0 O 1 N l Y 3 R p b 2 4 x L 1 R h Y m x l M S 9 D a G F u Z 2 V k I F R 5 c G U u e 0 N v b H V t b j E x L D E w f S Z x d W 9 0 O y w m c X V v d D t T Z W N 0 a W 9 u M S 9 U Y W J s Z T E v Q 2 h h b m d l Z C B U e X B l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D O + q O W t W E q O Z 9 H + F 4 J R 8 A A A A A A C A A A A A A A Q Z g A A A A E A A C A A A A B j v L o j e u E I n d z W m 2 y q 9 m F l w K I T B L S m M K O q M Y E o / x F I E Q A A A A A O g A A A A A I A A C A A A A D X q Z 6 E E E 3 8 i 5 f x o I w B F A R m B X P y H 0 a t q t z b W d b j H 3 8 8 9 V A A A A D r I R g K D M O B x 0 b I F H Z G y H c F q t P e N U L M E x e T 1 b R f m x A a B n 0 1 1 B c H x W 7 7 K i f P x a T Q 9 F / Z W P f D w H b S 8 C u c Z a X q a F 1 W d z z Q W B V 7 6 3 j 2 C Y F W 6 S D N X k A A A A D L K E J a 3 3 T c 9 P M 4 4 V g p O A 8 2 2 i 0 C m J f 8 V p 2 q 9 G 9 I M 7 F y j B + m 7 / 9 z I K x 3 V u U Y B n C D l 8 w H 7 u A s z c k J f s p T R Y v i Z b H 1 < / D a t a M a s h u p > 
</file>

<file path=customXml/itemProps1.xml><?xml version="1.0" encoding="utf-8"?>
<ds:datastoreItem xmlns:ds="http://schemas.openxmlformats.org/officeDocument/2006/customXml" ds:itemID="{D211153F-7EEE-489A-A195-05D943BD54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Exercise 2</vt:lpstr>
      <vt:lpstr>Exercise 3</vt:lpstr>
      <vt:lpstr>Exercise 4</vt:lpstr>
      <vt:lpstr>East</vt:lpstr>
      <vt:lpstr>West</vt:lpstr>
      <vt:lpstr>Combined</vt:lpstr>
      <vt:lpstr>ASS 13</vt:lpstr>
      <vt:lpstr>Sheet4</vt:lpstr>
      <vt:lpstr>Excercise 6</vt:lpstr>
      <vt:lpstr>Vlookup as 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2024-11-05T13:33:18Z</dcterms:created>
  <dcterms:modified xsi:type="dcterms:W3CDTF">2024-11-11T08:44:54Z</dcterms:modified>
</cp:coreProperties>
</file>