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2" sheetId="1" r:id="rId4"/>
    <sheet state="visible" name="Exercise 3" sheetId="2" r:id="rId5"/>
    <sheet state="visible" name="Exercise 4" sheetId="3" r:id="rId6"/>
    <sheet state="visible" name="East" sheetId="4" r:id="rId7"/>
    <sheet state="visible" name="West" sheetId="5" r:id="rId8"/>
    <sheet state="visible" name="Combined" sheetId="6" r:id="rId9"/>
    <sheet state="visible" name="ASS 13" sheetId="7" r:id="rId10"/>
    <sheet state="visible" name="Sheet4" sheetId="8" r:id="rId11"/>
    <sheet state="visible" name="Excercise 6" sheetId="9" r:id="rId12"/>
  </sheets>
  <definedNames/>
  <calcPr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<sst xmlns="http://schemas.openxmlformats.org/spreadsheetml/2006/main" count="2333" uniqueCount="1028">
  <si>
    <t>A</t>
  </si>
  <si>
    <t>B</t>
  </si>
  <si>
    <t>C</t>
  </si>
  <si>
    <t>D</t>
  </si>
  <si>
    <t>E</t>
  </si>
  <si>
    <t>F</t>
  </si>
  <si>
    <t>DATE</t>
  </si>
  <si>
    <t>SERVICE</t>
  </si>
  <si>
    <t>STYLIST NAME</t>
  </si>
  <si>
    <t>PAYMENT</t>
  </si>
  <si>
    <t>PRICE</t>
  </si>
  <si>
    <t>HOW MANY TIMES TOTAL</t>
  </si>
  <si>
    <t>TOTAL PRICE</t>
  </si>
  <si>
    <t>HOW MANY TIMES BY CASH</t>
  </si>
  <si>
    <t>HOW MANY TIMES BY CREDIT</t>
  </si>
  <si>
    <t>TOTAL PRICE BY CASH</t>
  </si>
  <si>
    <t>SHAVING</t>
  </si>
  <si>
    <t>JANE</t>
  </si>
  <si>
    <t>CASH</t>
  </si>
  <si>
    <t>MARTHA</t>
  </si>
  <si>
    <t>CREDIT CARD</t>
  </si>
  <si>
    <t>WASHING AND COMBING</t>
  </si>
  <si>
    <t>LUCY</t>
  </si>
  <si>
    <t>DYEING</t>
  </si>
  <si>
    <t>ALEX</t>
  </si>
  <si>
    <t>MEETING HAIRSTYLE</t>
  </si>
  <si>
    <t>ALL SERVICE</t>
  </si>
  <si>
    <t>RACHEL</t>
  </si>
  <si>
    <t>HOW MANY TIMES SHAVING</t>
  </si>
  <si>
    <t>HOW AMNY TIMES KIDS</t>
  </si>
  <si>
    <t>SUM OF PRICE FOR SHAVING BETWEEN 5/1/2020 AND 5/2/2020</t>
  </si>
  <si>
    <t>ASHLEY</t>
  </si>
  <si>
    <t>SANDY</t>
  </si>
  <si>
    <t>KIDS</t>
  </si>
  <si>
    <t>a)</t>
  </si>
  <si>
    <t>b)</t>
  </si>
  <si>
    <t>NUMBER</t>
  </si>
  <si>
    <t>CHECK</t>
  </si>
  <si>
    <t>YEAR</t>
  </si>
  <si>
    <t>FIRST</t>
  </si>
  <si>
    <t>SECOND</t>
  </si>
  <si>
    <t>FIND</t>
  </si>
  <si>
    <t>c)</t>
  </si>
  <si>
    <t>d)</t>
  </si>
  <si>
    <t>THIRD</t>
  </si>
  <si>
    <t>COST OF PARTY</t>
  </si>
  <si>
    <t>DARTS</t>
  </si>
  <si>
    <t>QUIZE NIGHT</t>
  </si>
  <si>
    <t>NAME</t>
  </si>
  <si>
    <t>SCORE1</t>
  </si>
  <si>
    <t>SCORE2</t>
  </si>
  <si>
    <t>SCORE3</t>
  </si>
  <si>
    <t>FINAL</t>
  </si>
  <si>
    <t>ROUND</t>
  </si>
  <si>
    <t>JOKER ROUND</t>
  </si>
  <si>
    <t>TOTAL POINTS</t>
  </si>
  <si>
    <t>JOKER POINTS</t>
  </si>
  <si>
    <t>GRAND TOTAL</t>
  </si>
  <si>
    <t>ITEM</t>
  </si>
  <si>
    <t>COST$</t>
  </si>
  <si>
    <t>TOTAL COST</t>
  </si>
  <si>
    <t>MARIGOLD</t>
  </si>
  <si>
    <t>HARRY</t>
  </si>
  <si>
    <t>GENERAL</t>
  </si>
  <si>
    <t>CATERING</t>
  </si>
  <si>
    <t>STEVE</t>
  </si>
  <si>
    <t>HISTROY</t>
  </si>
  <si>
    <t>TV</t>
  </si>
  <si>
    <t>MUSIC</t>
  </si>
  <si>
    <t>KNOWLEDGE</t>
  </si>
  <si>
    <t>GEO</t>
  </si>
  <si>
    <t>FILM</t>
  </si>
  <si>
    <t>MAGICIAN</t>
  </si>
  <si>
    <t>DAVID</t>
  </si>
  <si>
    <t>PARTY BAG</t>
  </si>
  <si>
    <t>JOAN</t>
  </si>
  <si>
    <t>TEAM 1</t>
  </si>
  <si>
    <t>BALLOONS</t>
  </si>
  <si>
    <t>ELIZABETH JANE</t>
  </si>
  <si>
    <t>TEAM 2</t>
  </si>
  <si>
    <t>CAKE</t>
  </si>
  <si>
    <t>TEAM 3</t>
  </si>
  <si>
    <t>TOTAL</t>
  </si>
  <si>
    <t>TEAM 4</t>
  </si>
  <si>
    <t>PER CHILD</t>
  </si>
  <si>
    <t>TEAM 5</t>
  </si>
  <si>
    <t>TEAM 6</t>
  </si>
  <si>
    <t>TEAM 7</t>
  </si>
  <si>
    <t>TEAM 8</t>
  </si>
  <si>
    <t>TEAM 9</t>
  </si>
  <si>
    <t>TEAM 10</t>
  </si>
  <si>
    <t>AVERAGE  SCORE</t>
  </si>
  <si>
    <t>CHANPIONS</t>
  </si>
  <si>
    <t>WOODEN SPOON</t>
  </si>
  <si>
    <t>PETTY CASH EXPENSES</t>
  </si>
  <si>
    <t>SHARE</t>
  </si>
  <si>
    <t>POSTAGE</t>
  </si>
  <si>
    <t>COFFEE/TEA</t>
  </si>
  <si>
    <t>CLEANING</t>
  </si>
  <si>
    <t>STATIONERY/DRY</t>
  </si>
  <si>
    <t>MONTHS</t>
  </si>
  <si>
    <t>BELL</t>
  </si>
  <si>
    <t>SAM</t>
  </si>
  <si>
    <t>JIM</t>
  </si>
  <si>
    <t>ANN</t>
  </si>
  <si>
    <t>MAX</t>
  </si>
  <si>
    <t>MIN</t>
  </si>
  <si>
    <t>JAN</t>
  </si>
  <si>
    <t>FEB</t>
  </si>
  <si>
    <t>MAR</t>
  </si>
  <si>
    <t>MARCH</t>
  </si>
  <si>
    <t>APRIL</t>
  </si>
  <si>
    <t>MAY</t>
  </si>
  <si>
    <t>AVERAGE</t>
  </si>
  <si>
    <t>HOLIDAY BOOKING</t>
  </si>
  <si>
    <t>DATE OF BOOKING</t>
  </si>
  <si>
    <t>SURNAME</t>
  </si>
  <si>
    <t>VILLA</t>
  </si>
  <si>
    <t>START DATE</t>
  </si>
  <si>
    <t>END DATE</t>
  </si>
  <si>
    <t>DEPOSIT</t>
  </si>
  <si>
    <t>PRICE PER PERSION</t>
  </si>
  <si>
    <t>DEPOSIT HEADED BAL</t>
  </si>
  <si>
    <t>BILLINGS</t>
  </si>
  <si>
    <t>CAPRICE</t>
  </si>
  <si>
    <t>DERBYSHIRE</t>
  </si>
  <si>
    <t>MIRAMAR</t>
  </si>
  <si>
    <t>WINSLOW</t>
  </si>
  <si>
    <t xml:space="preserve">CAPRI </t>
  </si>
  <si>
    <t>HARRIS</t>
  </si>
  <si>
    <t>NUIT</t>
  </si>
  <si>
    <t>DAVIS</t>
  </si>
  <si>
    <t>POOLE</t>
  </si>
  <si>
    <t>SOLEIL</t>
  </si>
  <si>
    <t>year 10</t>
  </si>
  <si>
    <t>record</t>
  </si>
  <si>
    <t>sales</t>
  </si>
  <si>
    <t>in</t>
  </si>
  <si>
    <t>thousands</t>
  </si>
  <si>
    <t>East</t>
  </si>
  <si>
    <t>1st Quarter</t>
  </si>
  <si>
    <t>2nd Quarter</t>
  </si>
  <si>
    <t>3rd Quarter</t>
  </si>
  <si>
    <t>4th Quarter</t>
  </si>
  <si>
    <t>Annual total</t>
  </si>
  <si>
    <t>pop</t>
  </si>
  <si>
    <t>soul</t>
  </si>
  <si>
    <t>R&amp;B</t>
  </si>
  <si>
    <t>Country</t>
  </si>
  <si>
    <t>classical</t>
  </si>
  <si>
    <t>Soundtracks</t>
  </si>
  <si>
    <t>Children</t>
  </si>
  <si>
    <t>RECORD</t>
  </si>
  <si>
    <t>SALES</t>
  </si>
  <si>
    <t>IN</t>
  </si>
  <si>
    <t>THOUSANDS</t>
  </si>
  <si>
    <t>EAST</t>
  </si>
  <si>
    <t>1ST QUARTER</t>
  </si>
  <si>
    <t>2ND QUARTER</t>
  </si>
  <si>
    <t>3RD QUARTER</t>
  </si>
  <si>
    <t>4TH QUARTER</t>
  </si>
  <si>
    <t>ANNUAL TOTAL</t>
  </si>
  <si>
    <t>YEAR 10</t>
  </si>
  <si>
    <t>country</t>
  </si>
  <si>
    <t xml:space="preserve">Last Name </t>
  </si>
  <si>
    <t>Quarter</t>
  </si>
  <si>
    <t>Sum of Sales</t>
  </si>
  <si>
    <t>UK</t>
  </si>
  <si>
    <t>johnson</t>
  </si>
  <si>
    <t>Qtr 2</t>
  </si>
  <si>
    <t>johnson Total</t>
  </si>
  <si>
    <t>jones</t>
  </si>
  <si>
    <t>Qtr 1</t>
  </si>
  <si>
    <t>jones Total</t>
  </si>
  <si>
    <t>smith</t>
  </si>
  <si>
    <t>Qtr 3</t>
  </si>
  <si>
    <t>smith Total</t>
  </si>
  <si>
    <t>williams</t>
  </si>
  <si>
    <t>Qtr 4</t>
  </si>
  <si>
    <t>williams Total</t>
  </si>
  <si>
    <t>UK Total</t>
  </si>
  <si>
    <t>USA</t>
  </si>
  <si>
    <t>brown</t>
  </si>
  <si>
    <t>brown Total</t>
  </si>
  <si>
    <t>USA Total</t>
  </si>
  <si>
    <t xml:space="preserve">USA </t>
  </si>
  <si>
    <t>USA  Total</t>
  </si>
  <si>
    <t>Grand Total</t>
  </si>
  <si>
    <t xml:space="preserve">Season </t>
  </si>
  <si>
    <t>Type</t>
  </si>
  <si>
    <t>State</t>
  </si>
  <si>
    <t>Sum of Year</t>
  </si>
  <si>
    <t>Sum of Sales $</t>
  </si>
  <si>
    <t>Fall</t>
  </si>
  <si>
    <t>Amber Ale</t>
  </si>
  <si>
    <t>Califonia</t>
  </si>
  <si>
    <t>Oregon</t>
  </si>
  <si>
    <t>Washington</t>
  </si>
  <si>
    <t>Amber Ale Total</t>
  </si>
  <si>
    <t>Hefeweizen</t>
  </si>
  <si>
    <t>califonia</t>
  </si>
  <si>
    <t>Hefeweizen Total</t>
  </si>
  <si>
    <t>Pale Ale</t>
  </si>
  <si>
    <t>Pale Ale Total</t>
  </si>
  <si>
    <t>Pilsner</t>
  </si>
  <si>
    <t>Pilsner Total</t>
  </si>
  <si>
    <t>plisner</t>
  </si>
  <si>
    <t>oregon</t>
  </si>
  <si>
    <t>plisner Total</t>
  </si>
  <si>
    <t>Porter</t>
  </si>
  <si>
    <t>Porter Total</t>
  </si>
  <si>
    <t>stout</t>
  </si>
  <si>
    <t>stout Total</t>
  </si>
  <si>
    <t>Fall Total</t>
  </si>
  <si>
    <t>Spring</t>
  </si>
  <si>
    <t>pilsner</t>
  </si>
  <si>
    <t>pilsner Total</t>
  </si>
  <si>
    <t>Spring Total</t>
  </si>
  <si>
    <t>SRNO</t>
  </si>
  <si>
    <t>STUDENT NAME</t>
  </si>
  <si>
    <t>HINDI</t>
  </si>
  <si>
    <t>ENGLISH</t>
  </si>
  <si>
    <t>MATH</t>
  </si>
  <si>
    <t>PHYSICS</t>
  </si>
  <si>
    <t>CHEMISTRY</t>
  </si>
  <si>
    <t>GRADE</t>
  </si>
  <si>
    <t xml:space="preserve"> v </t>
  </si>
  <si>
    <t>RAM</t>
  </si>
  <si>
    <t>TOTAL GRADE "A"</t>
  </si>
  <si>
    <t>ASHOK</t>
  </si>
  <si>
    <t>TOTAL GRADE "B"</t>
  </si>
  <si>
    <t>MANOJ</t>
  </si>
  <si>
    <t>TOTAL STUDENT</t>
  </si>
  <si>
    <t>RAJESH</t>
  </si>
  <si>
    <t>STUDENT</t>
  </si>
  <si>
    <t>RANJANA</t>
  </si>
  <si>
    <t>GREATER</t>
  </si>
  <si>
    <t>LESS THAN</t>
  </si>
  <si>
    <t>POOJA</t>
  </si>
  <si>
    <t>MAHESH</t>
  </si>
  <si>
    <t>ASHUTOSH</t>
  </si>
  <si>
    <t>ASSIGNMENT 1</t>
  </si>
  <si>
    <t>ANIL</t>
  </si>
  <si>
    <t>PREM</t>
  </si>
  <si>
    <t>TOTAL NUMBER</t>
  </si>
  <si>
    <t>ASSIGNMENT 2</t>
  </si>
  <si>
    <t>ITEMS</t>
  </si>
  <si>
    <t>QTY</t>
  </si>
  <si>
    <t>RATE</t>
  </si>
  <si>
    <t>AMOUNT</t>
  </si>
  <si>
    <t>AC</t>
  </si>
  <si>
    <t>GOODS</t>
  </si>
  <si>
    <t>FRIDGE</t>
  </si>
  <si>
    <t>AMT</t>
  </si>
  <si>
    <t>COOLER</t>
  </si>
  <si>
    <t>COMPUTER</t>
  </si>
  <si>
    <t>WASHING MACHINE</t>
  </si>
  <si>
    <t>FAN</t>
  </si>
  <si>
    <t>KEYBOARD</t>
  </si>
  <si>
    <t>MOUSE</t>
  </si>
  <si>
    <t>PRINTER</t>
  </si>
  <si>
    <t>Assignment 3</t>
  </si>
  <si>
    <t>Subject</t>
  </si>
  <si>
    <t>1st</t>
  </si>
  <si>
    <t>2nd</t>
  </si>
  <si>
    <t>3rd</t>
  </si>
  <si>
    <t>Total</t>
  </si>
  <si>
    <t>Average</t>
  </si>
  <si>
    <t>Grade</t>
  </si>
  <si>
    <t xml:space="preserve">Hindi </t>
  </si>
  <si>
    <t>How many subjesct</t>
  </si>
  <si>
    <t>English</t>
  </si>
  <si>
    <t>Math</t>
  </si>
  <si>
    <t>how many grt 20</t>
  </si>
  <si>
    <t>Physics</t>
  </si>
  <si>
    <t>Chemistry</t>
  </si>
  <si>
    <t>History</t>
  </si>
  <si>
    <t>AVG</t>
  </si>
  <si>
    <t>Geo</t>
  </si>
  <si>
    <t>Bio</t>
  </si>
  <si>
    <t>Botany</t>
  </si>
  <si>
    <t>Assignment - 4</t>
  </si>
  <si>
    <t>Name</t>
  </si>
  <si>
    <t>Department</t>
  </si>
  <si>
    <t>Post</t>
  </si>
  <si>
    <t>Basic</t>
  </si>
  <si>
    <t>DA 2.5%</t>
  </si>
  <si>
    <t>HRA 3.5%</t>
  </si>
  <si>
    <t>PF 1.5%</t>
  </si>
  <si>
    <t>how many Emp</t>
  </si>
  <si>
    <t>MANAGER</t>
  </si>
  <si>
    <t>how many emp is manager &amp; guard</t>
  </si>
  <si>
    <t>SHYAM</t>
  </si>
  <si>
    <t>SUPERVISOR</t>
  </si>
  <si>
    <t>PION</t>
  </si>
  <si>
    <t>ELECTRICAL</t>
  </si>
  <si>
    <t>GUARD</t>
  </si>
  <si>
    <t>how com salary</t>
  </si>
  <si>
    <t>RAHUL</t>
  </si>
  <si>
    <t>CASHIER</t>
  </si>
  <si>
    <t>RAKESH</t>
  </si>
  <si>
    <t>ACCOUNTANT</t>
  </si>
  <si>
    <t>ASHISH</t>
  </si>
  <si>
    <t>FINANCE</t>
  </si>
  <si>
    <t xml:space="preserve">Name </t>
  </si>
  <si>
    <t>MANISH</t>
  </si>
  <si>
    <t>manoj</t>
  </si>
  <si>
    <t>ashish</t>
  </si>
  <si>
    <t>ASSIGNMENT 5 (SALES REPORT)</t>
  </si>
  <si>
    <t>SALESMAN</t>
  </si>
  <si>
    <t>APR</t>
  </si>
  <si>
    <t>JUNE</t>
  </si>
  <si>
    <t>TARGET</t>
  </si>
  <si>
    <t>RESULT</t>
  </si>
  <si>
    <t>RAMESH</t>
  </si>
  <si>
    <t>how man emp</t>
  </si>
  <si>
    <t>name</t>
  </si>
  <si>
    <t>Target</t>
  </si>
  <si>
    <t>Result</t>
  </si>
  <si>
    <t>ajeet</t>
  </si>
  <si>
    <t>pooja</t>
  </si>
  <si>
    <t>ashok</t>
  </si>
  <si>
    <t>AJEET</t>
  </si>
  <si>
    <t>rahul</t>
  </si>
  <si>
    <t>ALOK</t>
  </si>
  <si>
    <t>AMRIT</t>
  </si>
  <si>
    <t>TARGET ACHIVED</t>
  </si>
  <si>
    <t>SURENDRA</t>
  </si>
  <si>
    <t>SHASHI</t>
  </si>
  <si>
    <t>WHICH EMP JAN &amp; FEB</t>
  </si>
  <si>
    <t>DONE IN GOOGLE SHEET</t>
  </si>
  <si>
    <t xml:space="preserve">     </t>
  </si>
  <si>
    <t>Assignment -6</t>
  </si>
  <si>
    <t>items</t>
  </si>
  <si>
    <t>Date</t>
  </si>
  <si>
    <t>Cost</t>
  </si>
  <si>
    <t>Brakes</t>
  </si>
  <si>
    <t>How many Brake,window,Tyres</t>
  </si>
  <si>
    <t>Tyres</t>
  </si>
  <si>
    <t>Window</t>
  </si>
  <si>
    <t>Service</t>
  </si>
  <si>
    <t>HOW MANY ITEM</t>
  </si>
  <si>
    <t>HOW MANY ITEM COST &gt;1000 &amp;&gt;=1000</t>
  </si>
  <si>
    <t>Clutch</t>
  </si>
  <si>
    <t>conditional F</t>
  </si>
  <si>
    <t>total cost of win &amp; brakes</t>
  </si>
  <si>
    <t>Assignment -7</t>
  </si>
  <si>
    <t>Total student</t>
  </si>
  <si>
    <t>Date of Birth</t>
  </si>
  <si>
    <t>Day</t>
  </si>
  <si>
    <t>Month</t>
  </si>
  <si>
    <t>Year</t>
  </si>
  <si>
    <t>HOW ADULT/CHILD</t>
  </si>
  <si>
    <t>SURENDRA AGE</t>
  </si>
  <si>
    <t>HOW MANY STD&gt;20</t>
  </si>
  <si>
    <t>ALO</t>
  </si>
  <si>
    <t>HOW MANY STD &gt;=25</t>
  </si>
  <si>
    <t>Assignment -8</t>
  </si>
  <si>
    <t>Student Name</t>
  </si>
  <si>
    <t>Total Student</t>
  </si>
  <si>
    <t>Maths</t>
  </si>
  <si>
    <t>Percentage</t>
  </si>
  <si>
    <t>Alan</t>
  </si>
  <si>
    <t>Bob</t>
  </si>
  <si>
    <t>HOW MANY &gt;50</t>
  </si>
  <si>
    <t>Carol</t>
  </si>
  <si>
    <t>oor</t>
  </si>
  <si>
    <t>David</t>
  </si>
  <si>
    <t>Eric</t>
  </si>
  <si>
    <t>Absent</t>
  </si>
  <si>
    <t>TOTAL NO</t>
  </si>
  <si>
    <t>Fred</t>
  </si>
  <si>
    <t>BOB</t>
  </si>
  <si>
    <t>Gail</t>
  </si>
  <si>
    <t>ERIC</t>
  </si>
  <si>
    <t>Harry</t>
  </si>
  <si>
    <t>Ian</t>
  </si>
  <si>
    <t>BAD AND GOOD IN LIST</t>
  </si>
  <si>
    <t>Janice</t>
  </si>
  <si>
    <t>Assignment -9</t>
  </si>
  <si>
    <t>Empoyee ID</t>
  </si>
  <si>
    <t>Last Name</t>
  </si>
  <si>
    <t>First Name</t>
  </si>
  <si>
    <t>Pay</t>
  </si>
  <si>
    <t>First N.</t>
  </si>
  <si>
    <t>Last N.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</si>
  <si>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</si>
  <si>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</si>
  <si>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</si>
  <si>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</si>
  <si>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</si>
  <si>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</si>
  <si>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</si>
  <si>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</si>
  <si>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</si>
  <si>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</si>
  <si>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</si>
  <si>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</si>
  <si>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</si>
  <si>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</si>
  <si>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</si>
  <si>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</si>
  <si>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</si>
  <si>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</si>
  <si>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</si>
  <si>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</si>
  <si>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</si>
  <si>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</si>
  <si>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</si>
  <si>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Assignment - 10</t>
  </si>
  <si>
    <t>Employee ID</t>
  </si>
  <si>
    <t>Full Name</t>
  </si>
  <si>
    <t>SSN</t>
  </si>
  <si>
    <t>Start Date</t>
  </si>
  <si>
    <t>Earnings</t>
  </si>
  <si>
    <t>Emp001</t>
  </si>
  <si>
    <t>Emp002</t>
  </si>
  <si>
    <t>Emp003</t>
  </si>
  <si>
    <t>HOW MANY EMP IN LIST</t>
  </si>
  <si>
    <t>Earning</t>
  </si>
  <si>
    <t>faith K. Macias</t>
  </si>
  <si>
    <t>845-04-3962</t>
  </si>
  <si>
    <t>Marketing</t>
  </si>
  <si>
    <t>Lucian Q. Franklin</t>
  </si>
  <si>
    <t>845-28-4935</t>
  </si>
  <si>
    <t>IT/IS</t>
  </si>
  <si>
    <t>HOW MANY EMP IN FINANCE / MARKETING</t>
  </si>
  <si>
    <t>Blaze V. Bridges</t>
  </si>
  <si>
    <t>503-53-8350</t>
  </si>
  <si>
    <t>Emp004</t>
  </si>
  <si>
    <t>Denton Q. Dale</t>
  </si>
  <si>
    <t>858-39-7967</t>
  </si>
  <si>
    <t>$1,05,000.00</t>
  </si>
  <si>
    <t>Emp005</t>
  </si>
  <si>
    <t>Blossom K. Fox</t>
  </si>
  <si>
    <t>245-18-5890</t>
  </si>
  <si>
    <t>Engineering</t>
  </si>
  <si>
    <t>$90000.00</t>
  </si>
  <si>
    <t>AMOUNT EARNING IN MARKET DEPARTMENT</t>
  </si>
  <si>
    <t>Emp006</t>
  </si>
  <si>
    <t>Kerry V.David</t>
  </si>
  <si>
    <t>873-45-8675</t>
  </si>
  <si>
    <t>Finance</t>
  </si>
  <si>
    <t>$60,000.00</t>
  </si>
  <si>
    <t>Emp007</t>
  </si>
  <si>
    <t>Melanie X. Baker</t>
  </si>
  <si>
    <t>190-08-3679</t>
  </si>
  <si>
    <t>$87,000.00</t>
  </si>
  <si>
    <t>Emp008</t>
  </si>
  <si>
    <t>Adele M. Fulton</t>
  </si>
  <si>
    <t>352-36-9553</t>
  </si>
  <si>
    <t>$1,04,000.00</t>
  </si>
  <si>
    <t>Emp009</t>
  </si>
  <si>
    <t>Justina O. Jensen</t>
  </si>
  <si>
    <t>645-74-0451</t>
  </si>
  <si>
    <t>$3,80,050.00</t>
  </si>
  <si>
    <t>Emp010</t>
  </si>
  <si>
    <t>Yoshi J. England</t>
  </si>
  <si>
    <t>558-53-1475</t>
  </si>
  <si>
    <t>$93,000.00</t>
  </si>
  <si>
    <t>Emp011</t>
  </si>
  <si>
    <t>Brooke Y. Mccarty</t>
  </si>
  <si>
    <t>129-42-6148</t>
  </si>
  <si>
    <t>$1,80,000.00</t>
  </si>
  <si>
    <t>Emp012</t>
  </si>
  <si>
    <t>Kay G. Colon</t>
  </si>
  <si>
    <t>796-50-4767</t>
  </si>
  <si>
    <t>$1,00,000.00</t>
  </si>
  <si>
    <t>Emp013</t>
  </si>
  <si>
    <t>Callie I. Forbes</t>
  </si>
  <si>
    <t>266-48-1339</t>
  </si>
  <si>
    <t>Human Resources</t>
  </si>
  <si>
    <t>$1,36,000.00</t>
  </si>
  <si>
    <t>Emp014</t>
  </si>
  <si>
    <t>Zachery O.Mann</t>
  </si>
  <si>
    <t>663-00-3285</t>
  </si>
  <si>
    <t>$68,000.00</t>
  </si>
  <si>
    <t>ASSIGNMENT -11</t>
  </si>
  <si>
    <t>CLASS FAVORITES</t>
  </si>
  <si>
    <t>TALL</t>
  </si>
  <si>
    <t>GRANDE</t>
  </si>
  <si>
    <t>VENTI</t>
  </si>
  <si>
    <t>caffe Latte</t>
  </si>
  <si>
    <t xml:space="preserve">cappiccino </t>
  </si>
  <si>
    <t>caramel Macchiato</t>
  </si>
  <si>
    <t xml:space="preserve">Caffe Mocha </t>
  </si>
  <si>
    <t>White Chocolate mocha</t>
  </si>
  <si>
    <t>Caffe Americano</t>
  </si>
  <si>
    <t>Cinnamon Dolce Latte</t>
  </si>
  <si>
    <t>stream</t>
  </si>
  <si>
    <t>Drip coffee</t>
  </si>
  <si>
    <t>WHAT IS THE COLUMN NUMBER FOR THE SIZE GRANDE,TALL,VENTI?</t>
  </si>
  <si>
    <t>WHAT IS THE PRICE OF A CAFFE MOCHA ,SIZE GRANDE,TALL,VENTI ?</t>
  </si>
  <si>
    <t>Caffe Mocha</t>
  </si>
  <si>
    <t>ASSIGNMENT -12</t>
  </si>
  <si>
    <t>Product Name</t>
  </si>
  <si>
    <t>Jan</t>
  </si>
  <si>
    <t>Feb</t>
  </si>
  <si>
    <t>Mar</t>
  </si>
  <si>
    <t>Apr</t>
  </si>
  <si>
    <t>May</t>
  </si>
  <si>
    <t>Jun</t>
  </si>
  <si>
    <t>july</t>
  </si>
  <si>
    <t>Aug</t>
  </si>
  <si>
    <t>Total Sales</t>
  </si>
  <si>
    <t>how many fruit</t>
  </si>
  <si>
    <t>Apples</t>
  </si>
  <si>
    <t>Grapefruit</t>
  </si>
  <si>
    <t>Lemons</t>
  </si>
  <si>
    <t>Lime</t>
  </si>
  <si>
    <t>Sales in Mar &amp; Jul</t>
  </si>
  <si>
    <t>Oranges</t>
  </si>
  <si>
    <t>pineapples</t>
  </si>
  <si>
    <t>Peaches</t>
  </si>
  <si>
    <t>Pears</t>
  </si>
  <si>
    <t>Pineapples</t>
  </si>
  <si>
    <t>Assignment -13</t>
  </si>
  <si>
    <t>Sales</t>
  </si>
  <si>
    <t>DONE IN ASS 13</t>
  </si>
  <si>
    <t>Assignment -14</t>
  </si>
  <si>
    <t>Sales $</t>
  </si>
  <si>
    <t>HOW MANY SPRING AND FALL</t>
  </si>
  <si>
    <t>HOW MANY FALL IN CALIFORNIA and Washington</t>
  </si>
  <si>
    <t>total sales in spring washington and califonia</t>
  </si>
  <si>
    <t>how spring season in washington</t>
  </si>
  <si>
    <t>amber Ale</t>
  </si>
  <si>
    <t>porter</t>
  </si>
  <si>
    <t>Assignment -15</t>
  </si>
  <si>
    <t>Order ID</t>
  </si>
  <si>
    <t>Product</t>
  </si>
  <si>
    <t>Category</t>
  </si>
  <si>
    <t>Amount</t>
  </si>
  <si>
    <t>Carrots</t>
  </si>
  <si>
    <t>vegetable</t>
  </si>
  <si>
    <t>United States</t>
  </si>
  <si>
    <t>Broccoli</t>
  </si>
  <si>
    <t>United Kingdom</t>
  </si>
  <si>
    <t>Banana</t>
  </si>
  <si>
    <t>fruit</t>
  </si>
  <si>
    <t>canada</t>
  </si>
  <si>
    <t>1.How many vegetables items in a list ?</t>
  </si>
  <si>
    <t>Beans</t>
  </si>
  <si>
    <t>Germany</t>
  </si>
  <si>
    <t>Orange</t>
  </si>
  <si>
    <t>United states</t>
  </si>
  <si>
    <t>Australia</t>
  </si>
  <si>
    <t>2.Total Apple and Banana Amount ?</t>
  </si>
  <si>
    <t>New Zealand</t>
  </si>
  <si>
    <t>Apple</t>
  </si>
  <si>
    <t>France</t>
  </si>
  <si>
    <t>Canada</t>
  </si>
  <si>
    <t>3.How many Product in a list ?</t>
  </si>
  <si>
    <t>4.How many Apple and Banana Use in Canada &amp; United Kingdom?</t>
  </si>
  <si>
    <t>5.Apple and Banana sales in United States?</t>
  </si>
  <si>
    <t>united states</t>
  </si>
  <si>
    <t>Mango</t>
  </si>
  <si>
    <t>Assignment -16</t>
  </si>
  <si>
    <t>Gender</t>
  </si>
  <si>
    <t>Score</t>
  </si>
  <si>
    <t>Richard</t>
  </si>
  <si>
    <t>Male</t>
  </si>
  <si>
    <t>1.How many male and Female Candidate in list?</t>
  </si>
  <si>
    <t>Jennifer</t>
  </si>
  <si>
    <t>Female</t>
  </si>
  <si>
    <t>United kingdom</t>
  </si>
  <si>
    <t>James</t>
  </si>
  <si>
    <t>Lisa</t>
  </si>
  <si>
    <t>2.How many Male Employee in United States?</t>
  </si>
  <si>
    <t>Sharon</t>
  </si>
  <si>
    <t>Elizabeth</t>
  </si>
  <si>
    <t>3.Lisa and john Which country Belong?</t>
  </si>
  <si>
    <t>Mark</t>
  </si>
  <si>
    <t>Susan</t>
  </si>
  <si>
    <t>4.United States Male and Female Candidate Scores?</t>
  </si>
  <si>
    <t>5.How many male Candidate Belong Country United States Total Score?</t>
  </si>
  <si>
    <t>Assignment -17</t>
  </si>
  <si>
    <t>ID</t>
  </si>
  <si>
    <t>Brand</t>
  </si>
  <si>
    <t>Dell</t>
  </si>
  <si>
    <t>Computer</t>
  </si>
  <si>
    <t>HP</t>
  </si>
  <si>
    <t>Printer</t>
  </si>
  <si>
    <t>Logitech</t>
  </si>
  <si>
    <t>Keyboard</t>
  </si>
  <si>
    <t>Mouse</t>
  </si>
  <si>
    <t>Assignment -18</t>
  </si>
  <si>
    <t>Assignment -19</t>
  </si>
  <si>
    <t>Region</t>
  </si>
  <si>
    <t>North</t>
  </si>
  <si>
    <t>South</t>
  </si>
  <si>
    <t>West</t>
  </si>
  <si>
    <t>Assignment -21</t>
  </si>
  <si>
    <t>Emp Name</t>
  </si>
  <si>
    <t>Salary</t>
  </si>
  <si>
    <t>Emp ID</t>
  </si>
  <si>
    <t>salary</t>
  </si>
  <si>
    <t>Raju</t>
  </si>
  <si>
    <t>Prd001</t>
  </si>
  <si>
    <t>Ramesh</t>
  </si>
  <si>
    <t>Operations</t>
  </si>
  <si>
    <t>Prd002</t>
  </si>
  <si>
    <t>Ramila</t>
  </si>
  <si>
    <t>Prd003</t>
  </si>
  <si>
    <t>Rajeshwari</t>
  </si>
  <si>
    <t>HR</t>
  </si>
  <si>
    <t>Prd004</t>
  </si>
  <si>
    <t>Karan</t>
  </si>
  <si>
    <t>Prd005</t>
  </si>
  <si>
    <t>Rohith</t>
  </si>
  <si>
    <t>IT</t>
  </si>
  <si>
    <t>Prd006</t>
  </si>
  <si>
    <t>Jacob</t>
  </si>
  <si>
    <t>Prd007</t>
  </si>
  <si>
    <t>Fleming</t>
  </si>
  <si>
    <t>Prd008</t>
  </si>
  <si>
    <t>Navya</t>
  </si>
  <si>
    <t>Prd009</t>
  </si>
  <si>
    <t>Kavya</t>
  </si>
  <si>
    <t>Prd010</t>
  </si>
  <si>
    <t>Santosh</t>
  </si>
  <si>
    <t>Prd011</t>
  </si>
  <si>
    <t>Shankar</t>
  </si>
  <si>
    <t>Prd012</t>
  </si>
  <si>
    <t>Rajesh</t>
  </si>
  <si>
    <t>Prd013</t>
  </si>
  <si>
    <t>Mahesh</t>
  </si>
  <si>
    <t>Prd014</t>
  </si>
  <si>
    <t>Hemaraj</t>
  </si>
  <si>
    <t>Prd015</t>
  </si>
  <si>
    <t>Nagaraj</t>
  </si>
  <si>
    <t>Prd016</t>
  </si>
  <si>
    <t>Johnson</t>
  </si>
  <si>
    <t>Prd017</t>
  </si>
  <si>
    <t>Prd018</t>
  </si>
  <si>
    <t>Anderson</t>
  </si>
  <si>
    <t>Prd019</t>
  </si>
  <si>
    <t>Peter</t>
  </si>
  <si>
    <t>Prd020</t>
  </si>
  <si>
    <t>Assignment -22</t>
  </si>
  <si>
    <t>Assignment -23</t>
  </si>
  <si>
    <t>Biology</t>
  </si>
  <si>
    <t>Passed the Exam?</t>
  </si>
  <si>
    <t>NITIN</t>
  </si>
  <si>
    <t>PASS</t>
  </si>
  <si>
    <t>FAIL</t>
  </si>
  <si>
    <t>FEROZ</t>
  </si>
  <si>
    <t>ANITHA</t>
  </si>
  <si>
    <t>MADAN</t>
  </si>
  <si>
    <t>SUMITH</t>
  </si>
  <si>
    <t>HARSH</t>
  </si>
  <si>
    <t>TRIVEDI</t>
  </si>
  <si>
    <t>Assignment - 24</t>
  </si>
  <si>
    <t>Units sold</t>
  </si>
  <si>
    <t>student</t>
  </si>
  <si>
    <t>semester</t>
  </si>
  <si>
    <t>score</t>
  </si>
  <si>
    <t>Second</t>
  </si>
  <si>
    <t>gary</t>
  </si>
  <si>
    <t>Third</t>
  </si>
  <si>
    <t>Richa</t>
  </si>
  <si>
    <t>Hari</t>
  </si>
  <si>
    <t xml:space="preserve">Tom </t>
  </si>
  <si>
    <t>Will</t>
  </si>
  <si>
    <t>Average Of B</t>
  </si>
  <si>
    <t>Average Of D</t>
  </si>
  <si>
    <t>Zone</t>
  </si>
  <si>
    <t>City</t>
  </si>
  <si>
    <t xml:space="preserve">        </t>
  </si>
  <si>
    <t>Avg of Units Sold above 250</t>
  </si>
  <si>
    <t>Avg of Units Sold Below 100</t>
  </si>
  <si>
    <t>Assignment - 26</t>
  </si>
  <si>
    <t>List 1</t>
  </si>
  <si>
    <t>List 2</t>
  </si>
  <si>
    <t>result</t>
  </si>
  <si>
    <t>Raj</t>
  </si>
  <si>
    <t>Anikta</t>
  </si>
  <si>
    <t>Rohit</t>
  </si>
  <si>
    <t>Kajal</t>
  </si>
  <si>
    <t>Abhay</t>
  </si>
  <si>
    <t>Rohan</t>
  </si>
  <si>
    <t>rohan</t>
  </si>
  <si>
    <t>Akshay</t>
  </si>
  <si>
    <t>Puneet</t>
  </si>
  <si>
    <t>Color List -1</t>
  </si>
  <si>
    <t>Color List- 2</t>
  </si>
  <si>
    <t>Red</t>
  </si>
  <si>
    <t>Yellow</t>
  </si>
  <si>
    <t>Green</t>
  </si>
  <si>
    <t>Grey</t>
  </si>
  <si>
    <t>Blue</t>
  </si>
  <si>
    <t>White</t>
  </si>
  <si>
    <t>Black</t>
  </si>
  <si>
    <t>Assignment -27</t>
  </si>
  <si>
    <t>D21</t>
  </si>
  <si>
    <t>Vishal</t>
  </si>
  <si>
    <t>Mohan</t>
  </si>
  <si>
    <t>Vishal Mohan</t>
  </si>
  <si>
    <t>D22</t>
  </si>
  <si>
    <t>Mathew</t>
  </si>
  <si>
    <t>John Mathew</t>
  </si>
  <si>
    <t>D23</t>
  </si>
  <si>
    <t>Jamemah</t>
  </si>
  <si>
    <t>Powel</t>
  </si>
  <si>
    <t>Jamemah Powel</t>
  </si>
  <si>
    <t>D24</t>
  </si>
  <si>
    <t>Arundhati</t>
  </si>
  <si>
    <t>Swaminathan</t>
  </si>
  <si>
    <t>Arundhati Swaminathan</t>
  </si>
  <si>
    <t>D25</t>
  </si>
  <si>
    <t>Potter</t>
  </si>
  <si>
    <t>Peter potter</t>
  </si>
  <si>
    <t>D26</t>
  </si>
  <si>
    <t>Roger</t>
  </si>
  <si>
    <t xml:space="preserve">Willams </t>
  </si>
  <si>
    <t>Roger williams</t>
  </si>
  <si>
    <t>Assignment -28</t>
  </si>
  <si>
    <t>Employee Database</t>
  </si>
  <si>
    <t>Designation</t>
  </si>
  <si>
    <t>KRA</t>
  </si>
  <si>
    <t>ARUN</t>
  </si>
  <si>
    <t>MIS-OPERATION</t>
  </si>
  <si>
    <t>OPERATION</t>
  </si>
  <si>
    <t>PHP</t>
  </si>
  <si>
    <t>BISWAS</t>
  </si>
  <si>
    <t>SOFTWARE ENG</t>
  </si>
  <si>
    <t>JAVA</t>
  </si>
  <si>
    <t>DINESH</t>
  </si>
  <si>
    <t>SME</t>
  </si>
  <si>
    <t>MAILS</t>
  </si>
  <si>
    <t>ESHWAR</t>
  </si>
  <si>
    <t>PROGRAMMER</t>
  </si>
  <si>
    <t>C++</t>
  </si>
  <si>
    <t>FAHAD</t>
  </si>
  <si>
    <t>DOT NET</t>
  </si>
  <si>
    <t>GANGA</t>
  </si>
  <si>
    <t>SOFTWARE ASSOCIATE</t>
  </si>
  <si>
    <t>TESTING</t>
  </si>
  <si>
    <t>HEMA</t>
  </si>
  <si>
    <t>NETWORK ENG</t>
  </si>
  <si>
    <t>SERVER</t>
  </si>
  <si>
    <t>FARZANA</t>
  </si>
  <si>
    <t>SALES EXECUTIVE</t>
  </si>
  <si>
    <t>AYESH</t>
  </si>
  <si>
    <t>AMAZON</t>
  </si>
  <si>
    <t>PRAVEEN</t>
  </si>
  <si>
    <t>VISHAL</t>
  </si>
  <si>
    <t>GROFFERS</t>
  </si>
  <si>
    <t>VISHNU</t>
  </si>
  <si>
    <t>PAYTM</t>
  </si>
  <si>
    <t>KRISHNA</t>
  </si>
  <si>
    <t>ABHISHEK</t>
  </si>
  <si>
    <t>MYNTRA</t>
  </si>
  <si>
    <t>FARZANA BANU</t>
  </si>
  <si>
    <t>VAMSEE KRISHNA</t>
  </si>
  <si>
    <t>BRAND MANAGER</t>
  </si>
  <si>
    <t>MARKETING</t>
  </si>
  <si>
    <t>ASSIGNMENT -29</t>
  </si>
  <si>
    <t>Location</t>
  </si>
  <si>
    <t>Donald</t>
  </si>
  <si>
    <t>Patrick</t>
  </si>
  <si>
    <t>Banglore</t>
  </si>
  <si>
    <t>Samuei</t>
  </si>
  <si>
    <t>Samson</t>
  </si>
  <si>
    <t>Hyderabad</t>
  </si>
  <si>
    <t>Pune</t>
  </si>
  <si>
    <t>Henry</t>
  </si>
  <si>
    <t>Madrid</t>
  </si>
  <si>
    <t>Ronica</t>
  </si>
  <si>
    <t>Brave</t>
  </si>
  <si>
    <t>Chistine</t>
  </si>
  <si>
    <t>Salvi</t>
  </si>
  <si>
    <t>Andrew</t>
  </si>
  <si>
    <t>Baisley</t>
  </si>
  <si>
    <t>Erica</t>
  </si>
  <si>
    <t>Irons</t>
  </si>
  <si>
    <t>Assignment -30</t>
  </si>
  <si>
    <t>Date of sale</t>
  </si>
  <si>
    <t>Sales Amt</t>
  </si>
  <si>
    <t xml:space="preserve">January </t>
  </si>
  <si>
    <t>Sum of Sales Amt</t>
  </si>
  <si>
    <t>February</t>
  </si>
  <si>
    <t>Grand total</t>
  </si>
  <si>
    <t>Assignment - 31</t>
  </si>
  <si>
    <t>Months</t>
  </si>
  <si>
    <t>January</t>
  </si>
  <si>
    <t>March</t>
  </si>
  <si>
    <t>April</t>
  </si>
  <si>
    <t>June</t>
  </si>
  <si>
    <t>Sale</t>
  </si>
  <si>
    <t>?</t>
  </si>
  <si>
    <t>Mat</t>
  </si>
  <si>
    <t>Jim</t>
  </si>
  <si>
    <t>Cole</t>
  </si>
  <si>
    <t>Ricky</t>
  </si>
  <si>
    <t>Mary</t>
  </si>
  <si>
    <t>Science</t>
  </si>
  <si>
    <t>Marks in English</t>
  </si>
  <si>
    <t>Marks in Maths</t>
  </si>
  <si>
    <t>EMP</t>
  </si>
  <si>
    <t>FIS6067</t>
  </si>
  <si>
    <t>FIS5228</t>
  </si>
  <si>
    <t>FIS6799</t>
  </si>
  <si>
    <t>FIS1149</t>
  </si>
  <si>
    <t>FIS5834</t>
  </si>
  <si>
    <t>SALES1</t>
  </si>
  <si>
    <t>SALES2</t>
  </si>
  <si>
    <t>SALES3</t>
  </si>
  <si>
    <t>SALES4</t>
  </si>
  <si>
    <t>SALES5</t>
  </si>
  <si>
    <t>Sales4</t>
  </si>
  <si>
    <t>Temperature(In clesius)</t>
  </si>
  <si>
    <t>Cities</t>
  </si>
  <si>
    <t>New Delhi</t>
  </si>
  <si>
    <t>Patna</t>
  </si>
  <si>
    <t>Mumbai</t>
  </si>
  <si>
    <t>Bangalore</t>
  </si>
  <si>
    <t>Employee</t>
  </si>
  <si>
    <t>Albert</t>
  </si>
  <si>
    <t>Aaron</t>
  </si>
  <si>
    <t>Albama</t>
  </si>
  <si>
    <t>Abeey</t>
  </si>
  <si>
    <t>Cathy</t>
  </si>
  <si>
    <t xml:space="preserve"> Cat</t>
  </si>
  <si>
    <t>Assignment - 32</t>
  </si>
  <si>
    <t>Total Numbers Earned</t>
  </si>
  <si>
    <t>Grade earned</t>
  </si>
  <si>
    <t>John Wilkins</t>
  </si>
  <si>
    <t>A+</t>
  </si>
  <si>
    <t>Steve Harrington</t>
  </si>
  <si>
    <t>Edward Clark</t>
  </si>
  <si>
    <t>Jimmey Chemberlin</t>
  </si>
  <si>
    <t>B+</t>
  </si>
  <si>
    <t>Alex Wilkins</t>
  </si>
  <si>
    <t>Patty Scott</t>
  </si>
  <si>
    <t>Andrew Wiliams</t>
  </si>
  <si>
    <t>Emilia johnson</t>
  </si>
  <si>
    <t>Anthony Rogers</t>
  </si>
  <si>
    <t>ASSIGNMENT - 33</t>
  </si>
  <si>
    <t>Table 1</t>
  </si>
  <si>
    <t>Table 2</t>
  </si>
  <si>
    <t>Table 3</t>
  </si>
  <si>
    <t>Dept</t>
  </si>
  <si>
    <t>EMP ID</t>
  </si>
  <si>
    <t xml:space="preserve">Rajesh </t>
  </si>
  <si>
    <t>ASSIGNMENT- 34</t>
  </si>
  <si>
    <t xml:space="preserve">Owner </t>
  </si>
  <si>
    <t>Product Class</t>
  </si>
  <si>
    <t>Quantity Sold</t>
  </si>
  <si>
    <t>Ben</t>
  </si>
  <si>
    <t>A1</t>
  </si>
  <si>
    <t>Jeff</t>
  </si>
  <si>
    <t>A4</t>
  </si>
  <si>
    <t>C3</t>
  </si>
  <si>
    <t>C14</t>
  </si>
  <si>
    <t xml:space="preserve">Jenny </t>
  </si>
  <si>
    <t>A12</t>
  </si>
  <si>
    <t>B3</t>
  </si>
  <si>
    <t>B7</t>
  </si>
  <si>
    <t>B11</t>
  </si>
  <si>
    <t>Total Quantity sold by Ben</t>
  </si>
  <si>
    <t>Total Quantity sold by Jenny</t>
  </si>
  <si>
    <t>Total Quantity sold by Ben &amp;jenny</t>
  </si>
  <si>
    <t>Total Quantity sold by Ben &amp; Jenny</t>
  </si>
  <si>
    <t>Total Quantity Sold By Ben &amp;Jenny</t>
  </si>
  <si>
    <t>Total Quantity Sold By Jeff &amp; Jenny</t>
  </si>
  <si>
    <t>ASSIGNMENT -36</t>
  </si>
  <si>
    <t>Incentive</t>
  </si>
  <si>
    <t>Bonus</t>
  </si>
  <si>
    <t xml:space="preserve">Emp </t>
  </si>
  <si>
    <t xml:space="preserve">First Name </t>
  </si>
  <si>
    <t>TA</t>
  </si>
  <si>
    <t>Mktg</t>
  </si>
  <si>
    <t>Raja</t>
  </si>
  <si>
    <t>north</t>
  </si>
  <si>
    <t>R&amp;D</t>
  </si>
  <si>
    <t>Suman</t>
  </si>
  <si>
    <t>east</t>
  </si>
  <si>
    <t>Beena</t>
  </si>
  <si>
    <t>Admin</t>
  </si>
  <si>
    <t>Seema</t>
  </si>
  <si>
    <t>Director</t>
  </si>
  <si>
    <t>Julie</t>
  </si>
  <si>
    <t>Personal</t>
  </si>
  <si>
    <t>Neena</t>
  </si>
  <si>
    <t>CCD</t>
  </si>
  <si>
    <t>Pankaj</t>
  </si>
  <si>
    <t>Andre</t>
  </si>
  <si>
    <t>Sujay</t>
  </si>
  <si>
    <t>west</t>
  </si>
  <si>
    <t>Shilpa</t>
  </si>
  <si>
    <t>Meera</t>
  </si>
  <si>
    <t>Sheetal</t>
  </si>
  <si>
    <t>south</t>
  </si>
  <si>
    <t>K.Sita</t>
  </si>
  <si>
    <t>Priya</t>
  </si>
  <si>
    <t>Aalok</t>
  </si>
  <si>
    <t>Aakash</t>
  </si>
  <si>
    <t>Parvati</t>
  </si>
  <si>
    <t>ASSIGNMENT -37</t>
  </si>
  <si>
    <t>Empcode</t>
  </si>
  <si>
    <t>INCENTIVE</t>
  </si>
  <si>
    <t>Salary slab</t>
  </si>
  <si>
    <t>Juile</t>
  </si>
  <si>
    <t>G</t>
  </si>
  <si>
    <t>H</t>
  </si>
  <si>
    <t>Sheetai</t>
  </si>
  <si>
    <t>Farhan</t>
  </si>
  <si>
    <t>Satinder Kaur</t>
  </si>
  <si>
    <t>Suchita</t>
  </si>
  <si>
    <t>Shazia</t>
  </si>
  <si>
    <t>Pooja</t>
  </si>
  <si>
    <t>Jasbinder</t>
  </si>
  <si>
    <t>Bharat</t>
  </si>
  <si>
    <t>Rishi</t>
  </si>
  <si>
    <t>Mala</t>
  </si>
  <si>
    <t>Hajra</t>
  </si>
  <si>
    <t>Aalam</t>
  </si>
  <si>
    <t>Giriraj</t>
  </si>
  <si>
    <t>Ankur</t>
  </si>
  <si>
    <t>Tapan</t>
  </si>
  <si>
    <t>Zarina</t>
  </si>
  <si>
    <t>Arun</t>
  </si>
  <si>
    <t>Chitra</t>
  </si>
  <si>
    <t>sheetai</t>
  </si>
  <si>
    <t>Kiritkar</t>
  </si>
  <si>
    <t>ASSIGNMENT -38</t>
  </si>
  <si>
    <t>First Date</t>
  </si>
  <si>
    <t>Second Date</t>
  </si>
  <si>
    <t>Interval</t>
  </si>
  <si>
    <t>Difference</t>
  </si>
  <si>
    <t>Days</t>
  </si>
  <si>
    <t>Date of Birth:</t>
  </si>
  <si>
    <t>Years</t>
  </si>
  <si>
    <t>years lived:</t>
  </si>
  <si>
    <t>yeardays</t>
  </si>
  <si>
    <t>and months:</t>
  </si>
  <si>
    <t>YearMonths</t>
  </si>
  <si>
    <t>and the days:</t>
  </si>
  <si>
    <t>Monthdays</t>
  </si>
  <si>
    <t>ASSIGNMENT - 44</t>
  </si>
  <si>
    <t>Text</t>
  </si>
  <si>
    <t>Letter to Find</t>
  </si>
  <si>
    <t>Position of Letter</t>
  </si>
  <si>
    <t>Hello</t>
  </si>
  <si>
    <t>e</t>
  </si>
  <si>
    <t>o</t>
  </si>
  <si>
    <t xml:space="preserve">Alan Williams </t>
  </si>
  <si>
    <t>a</t>
  </si>
  <si>
    <t>T</t>
  </si>
  <si>
    <t>Values</t>
  </si>
  <si>
    <t>Highest Values</t>
  </si>
  <si>
    <t>2nd Highest Values</t>
  </si>
  <si>
    <t>3rd Highest Values</t>
  </si>
  <si>
    <t>4th Highest Values</t>
  </si>
  <si>
    <t>5th Highest Values</t>
  </si>
  <si>
    <t xml:space="preserve">Feb </t>
  </si>
  <si>
    <t>Highest</t>
  </si>
  <si>
    <t>lowest</t>
  </si>
  <si>
    <t>ASSIGNMENT -45</t>
  </si>
  <si>
    <t>Number of Characters required</t>
  </si>
  <si>
    <t>Left String</t>
  </si>
  <si>
    <t>Alan Jones</t>
  </si>
  <si>
    <t>USE OF LEFT</t>
  </si>
  <si>
    <t>Cardiff</t>
  </si>
  <si>
    <t>ABC123</t>
  </si>
  <si>
    <t>Alan JOnes</t>
  </si>
  <si>
    <t>USE OF LEFT AND FIND</t>
  </si>
  <si>
    <t>Bob Smith</t>
  </si>
  <si>
    <t>Carol Williams</t>
  </si>
  <si>
    <t>Length</t>
  </si>
  <si>
    <t>USE OF LEN</t>
  </si>
  <si>
    <t>Carrol Williams</t>
  </si>
  <si>
    <t>Upper Case text</t>
  </si>
  <si>
    <t>Lower Case</t>
  </si>
  <si>
    <t>ALAN JONES</t>
  </si>
  <si>
    <t>BOB SMITH</t>
  </si>
  <si>
    <t>USE OF LOWER</t>
  </si>
  <si>
    <t>CAROL WILLIAMS</t>
  </si>
  <si>
    <t>CARDIFF</t>
  </si>
  <si>
    <t>AB123</t>
  </si>
  <si>
    <t>End Date</t>
  </si>
  <si>
    <t>Work Days</t>
  </si>
  <si>
    <t>USE OF NETWORKDAYS</t>
  </si>
  <si>
    <t>ASSIGNMENT -46</t>
  </si>
  <si>
    <t>POWER</t>
  </si>
  <si>
    <t>USE OF POWER</t>
  </si>
  <si>
    <t>NUMBERS</t>
  </si>
  <si>
    <t>PRODUCT</t>
  </si>
  <si>
    <t>USE OF PRODUCT</t>
  </si>
  <si>
    <t>Original Text</t>
  </si>
  <si>
    <t>Proper</t>
  </si>
  <si>
    <t>alan jones</t>
  </si>
  <si>
    <t>bob smith</t>
  </si>
  <si>
    <t>caRol wiLLIAMS</t>
  </si>
  <si>
    <t>USE OF PROPER</t>
  </si>
  <si>
    <t>cardiff</t>
  </si>
  <si>
    <t>USE OF REPT</t>
  </si>
  <si>
    <t>TEXT TO REPEAT</t>
  </si>
  <si>
    <t>NUMBERS OF REPEATS</t>
  </si>
  <si>
    <t>REPEATED TEXT</t>
  </si>
  <si>
    <t>AB</t>
  </si>
  <si>
    <t>-</t>
  </si>
  <si>
    <t>|</t>
  </si>
  <si>
    <t>ASSIGNMENT- 48</t>
  </si>
  <si>
    <t>COMISSION</t>
  </si>
  <si>
    <t>1. HOW MANY SALES MAN ? SALESMAN AJEET TARGET &amp; RESULT??</t>
  </si>
  <si>
    <t xml:space="preserve">NAME </t>
  </si>
  <si>
    <t>2.RAHUL,POOJA AND ASHOK TARGET &amp; RESULT??</t>
  </si>
  <si>
    <t>3.HOW MANY SALESMAN ACHIVED TARGET??</t>
  </si>
  <si>
    <t>4.WHICH SALES MAN JAN SALES 2000 &amp; FEB SALES IS 2500 ?</t>
  </si>
  <si>
    <t>5.HOW MANY SALESMAN SALES JAN MONTHS SALES &gt;2000 &amp; MARCH SALES&lt;=1500?</t>
  </si>
  <si>
    <t>6.JAN TO TARGET HIGHLIGHTS 2000 BETWEEN 5000, FONT RED &amp; BACKGROUND YELOOW?</t>
  </si>
  <si>
    <t>7.IF SALES GREATER THEN TARGET THEN COMISSION 10% otherwise 5% ??</t>
  </si>
  <si>
    <t>ASSIGNMENT -49</t>
  </si>
  <si>
    <t>1. HOW MANY SALESMAN ? SALESMAN AJEET TARGET &amp; RESULT??</t>
  </si>
  <si>
    <t>3.HOW MANY SALESMAN ACHIVED TARGET.</t>
  </si>
  <si>
    <t>4.WHICH SALES MAN JAN SALES 2000 FEB  SALES IS 2500?</t>
  </si>
  <si>
    <t>5.HOW MANY SALES MAN SALES JAN MONTHS SALES&gt;2000 &amp; MARCH SALES &lt;=1500?</t>
  </si>
  <si>
    <t>6.JAN TO TARGET HIGHLIGHTS 2000 BETWEEN 5000, FRONT RED &amp; BACKGROUND YELBOW??</t>
  </si>
  <si>
    <t>ASSIGNMENT -50</t>
  </si>
  <si>
    <t>DATE OF BIRTH</t>
  </si>
  <si>
    <t>DAY</t>
  </si>
  <si>
    <t>MONTH</t>
  </si>
  <si>
    <t>1. HOW MANY STUDENT??</t>
  </si>
  <si>
    <t>2.STUDENT SURENDRA IS HOW MANY YEAR OLD??</t>
  </si>
  <si>
    <t>3.HOW MANY STUDENT AGE GREATER THEN 20 YEARS?</t>
  </si>
  <si>
    <t>4.IF STUDENT AGE IS GREATHER THEN 20 THEN STUDENT ADULT/CHILD??</t>
  </si>
  <si>
    <t>5.HOW MANY STUDENT AGE IS &gt;=25 YEARS??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</si>
</sst>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d/m/yyyy"/>
    <numFmt numFmtId="165" formatCode="[$$]#,##0.00"/>
    <numFmt numFmtId="166" formatCode="dd\-mm\-yyyy"/>
    <numFmt numFmtId="167" formatCode="d\-m\-yyyy"/>
    <numFmt numFmtId="168" formatCode="_-[$$-409]* #,##0_ ;_-[$$-409]* \-#,##0\ ;_-[$$-409]* &quot;-&quot;??_ ;_-@_ "/>
    <numFmt numFmtId="169" formatCode="D/M/YYYY"/>
    <numFmt numFmtId="170" formatCode="_-[$$-409]* #,##0.00_ ;_-[$$-409]* \-#,##0.00\ ;_-[$$-409]* &quot;-&quot;??_ ;_-@_ "/>
    <numFmt numFmtId="171" formatCode="[$$]#,##0"/>
    <numFmt numFmtId="172" formatCode="#,##0;\(#,##0\)"/>
    <numFmt numFmtId="173" formatCode="dd-mm-yyyy"/>
    <numFmt numFmtId="174" formatCode="#,##0;(#,##0)"/>
    <numFmt numFmtId="175" formatCode="dd-mm-yy"/>
    <numFmt numFmtId="176" formatCode="[$£-809]#,##0"/>
    <numFmt numFmtId="177" formatCode="d-mmm-yy"/>
    <numFmt numFmtId="178" formatCode="d-m-yyyy"/>
  </numFmts>
  <fonts count="3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14.0"/>
      <color theme="1"/>
      <name val="Calibri"/>
    </font>
    <font>
      <b/>
      <sz val="11.0"/>
      <color theme="1"/>
      <name val="Algerian"/>
    </font>
    <font>
      <b/>
      <sz val="20.0"/>
      <color theme="1"/>
      <name val="Calibri"/>
    </font>
    <font>
      <color theme="1"/>
      <name val="Calibri"/>
      <scheme val="minor"/>
    </font>
    <font>
      <sz val="24.0"/>
      <color rgb="FFFF0000"/>
      <name val="Calibri"/>
    </font>
    <font>
      <sz val="22.0"/>
      <color theme="1"/>
      <name val="Calibri"/>
    </font>
    <font>
      <b/>
      <sz val="15.0"/>
      <color theme="1"/>
      <name val="Calibri"/>
    </font>
    <font>
      <b/>
      <sz val="13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b/>
      <sz val="17.0"/>
      <color theme="1"/>
      <name val="Calibri"/>
    </font>
    <font>
      <b/>
      <sz val="11.0"/>
      <color rgb="FFFF0000"/>
      <name val="Calibri"/>
    </font>
    <font>
      <b/>
      <sz val="11.0"/>
      <color rgb="FF000000"/>
      <name val="Calibri"/>
    </font>
    <font>
      <b/>
      <sz val="15.0"/>
      <color theme="1"/>
      <name val="Calibri"/>
      <scheme val="minor"/>
    </font>
    <font>
      <b/>
      <color theme="1"/>
      <name val="Calibri"/>
      <scheme val="minor"/>
    </font>
    <font>
      <b/>
      <sz val="14.0"/>
      <color theme="1"/>
      <name val="Calibri"/>
      <scheme val="minor"/>
    </font>
    <font>
      <b/>
      <sz val="16.0"/>
      <color theme="1"/>
      <name val="Calibri"/>
      <scheme val="minor"/>
    </font>
    <font>
      <b/>
      <color rgb="FFFFFFFF"/>
      <name val="Calibri"/>
      <scheme val="minor"/>
    </font>
    <font>
      <b/>
      <color rgb="FFF3F3F3"/>
      <name val="Calibri"/>
      <scheme val="minor"/>
    </font>
    <font>
      <b/>
      <sz val="17.0"/>
      <color theme="1"/>
      <name val="Calibri"/>
      <scheme val="minor"/>
    </font>
    <font>
      <color rgb="FFFFFF00"/>
      <name val="Calibri"/>
      <scheme val="minor"/>
    </font>
    <font>
      <b/>
      <color rgb="FFFFFF00"/>
      <name val="Calibri"/>
      <scheme val="minor"/>
    </font>
    <font>
      <color rgb="FF0000FF"/>
      <name val="Calibri"/>
      <scheme val="minor"/>
    </font>
    <font>
      <color rgb="FF3C78D8"/>
      <name val="Calibri"/>
      <scheme val="minor"/>
    </font>
    <font>
      <color rgb="FFA64D79"/>
      <name val="Calibri"/>
      <scheme val="minor"/>
    </font>
    <font>
      <color rgb="FF741B47"/>
      <name val="Calibri"/>
      <scheme val="minor"/>
    </font>
    <font>
      <b/>
      <color rgb="FFA64D79"/>
      <name val="Calibri"/>
      <scheme val="minor"/>
    </font>
    <font>
      <b/>
      <color rgb="FF38761D"/>
      <name val="Calibri"/>
      <scheme val="minor"/>
    </font>
    <font>
      <b/>
      <color rgb="FF00FF00"/>
      <name val="Calibri"/>
      <scheme val="minor"/>
    </font>
    <font>
      <b/>
      <color rgb="FF00FFFF"/>
      <name val="Calibri"/>
      <scheme val="minor"/>
    </font>
    <font>
      <b/>
      <color rgb="FFFF0000"/>
      <name val="Calibri"/>
      <scheme val="minor"/>
    </font>
    <font>
      <b/>
      <sz val="19.0"/>
      <color theme="1"/>
      <name val="Calibri"/>
      <scheme val="minor"/>
    </font>
  </fonts>
  <fills count="81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theme="4"/>
        <bgColor theme="4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3A3838"/>
        <bgColor rgb="FF3A3838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rgb="FFFFD965"/>
        <bgColor rgb="FFFFD965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rgb="FFBF9000"/>
        <bgColor rgb="FFBF9000"/>
      </patternFill>
    </fill>
    <fill>
      <patternFill patternType="solid">
        <fgColor rgb="FF0C0C0C"/>
        <bgColor rgb="FF0C0C0C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8496B0"/>
        <bgColor rgb="FF8496B0"/>
      </patternFill>
    </fill>
    <fill>
      <patternFill patternType="solid">
        <fgColor rgb="FF385623"/>
        <bgColor rgb="FF385623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ADB9CA"/>
        <bgColor rgb="FFADB9CA"/>
      </patternFill>
    </fill>
    <fill>
      <patternFill patternType="solid">
        <fgColor theme="1"/>
        <bgColor theme="1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757070"/>
        <bgColor rgb="FF757070"/>
      </patternFill>
    </fill>
    <fill>
      <patternFill patternType="solid">
        <fgColor rgb="FFC8C8C8"/>
        <bgColor rgb="FFC8C8C8"/>
      </patternFill>
    </fill>
    <fill>
      <patternFill patternType="solid">
        <fgColor rgb="FFE7E6E6"/>
        <bgColor rgb="FFE7E6E6"/>
      </patternFill>
    </fill>
    <fill>
      <patternFill patternType="solid">
        <fgColor rgb="FFC55A11"/>
        <bgColor rgb="FFC55A11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C27BA0"/>
        <bgColor rgb="FFC27BA0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674EA7"/>
        <bgColor rgb="FF674EA7"/>
      </patternFill>
    </fill>
    <fill>
      <patternFill patternType="solid">
        <fgColor rgb="FFC9DAF8"/>
        <bgColor rgb="FFC9DAF8"/>
      </patternFill>
    </fill>
    <fill>
      <patternFill patternType="solid">
        <fgColor rgb="FFA64D79"/>
        <bgColor rgb="FFA64D79"/>
      </patternFill>
    </fill>
    <fill>
      <patternFill patternType="solid">
        <fgColor rgb="FFD9E2F3"/>
        <bgColor rgb="FFD9E2F3"/>
      </patternFill>
    </fill>
    <fill>
      <patternFill patternType="solid">
        <fgColor rgb="FFCC0000"/>
        <bgColor rgb="FFCC0000"/>
      </patternFill>
    </fill>
    <fill>
      <patternFill patternType="solid">
        <fgColor rgb="FFFF00FF"/>
        <bgColor rgb="FFFF00FF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9900FF"/>
        <bgColor rgb="FF9900FF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0B5394"/>
        <bgColor rgb="FF0B5394"/>
      </patternFill>
    </fill>
    <fill>
      <patternFill patternType="solid">
        <fgColor rgb="FFFFE599"/>
        <bgColor rgb="FFFFE599"/>
      </patternFill>
    </fill>
    <fill>
      <patternFill patternType="solid">
        <fgColor rgb="FFC5E0B3"/>
        <bgColor rgb="FFC5E0B3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D5A6BD"/>
        <bgColor rgb="FFD5A6BD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D0E0E3"/>
        <bgColor rgb="FFD0E0E3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38761D"/>
        <bgColor rgb="FF38761D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</fills>
  <borders count="5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</border>
    <border>
      <right/>
    </border>
    <border>
      <left style="thin">
        <color rgb="FF000000"/>
      </left>
      <bottom/>
    </border>
    <border>
      <right/>
      <bottom/>
    </border>
    <border>
      <left style="thin">
        <color rgb="FF000000"/>
      </left>
      <right/>
      <top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/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bottom style="thin">
        <color rgb="FF000000"/>
      </bottom>
    </border>
    <border>
      <left/>
      <top style="thin">
        <color rgb="FF000000"/>
      </top>
    </border>
    <border>
      <left/>
    </border>
    <border>
      <left style="thin">
        <color rgb="FF000000"/>
      </left>
      <right/>
      <bottom/>
    </border>
    <border>
      <left/>
      <top/>
    </border>
    <border>
      <top/>
    </border>
    <border>
      <right/>
      <top/>
    </border>
    <border>
      <left/>
      <bottom style="thin">
        <color rgb="FF000000"/>
      </bottom>
    </border>
    <border>
      <right/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bottom/>
    </border>
    <border>
      <bottom/>
    </border>
    <border>
      <left/>
      <right/>
      <bottom/>
    </border>
    <border>
      <left style="thin">
        <color rgb="FF000000"/>
      </left>
      <right/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0" fontId="1" numFmtId="164" xfId="0" applyBorder="1" applyFont="1" applyNumberFormat="1"/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1" fillId="3" fontId="1" numFmtId="0" xfId="0" applyBorder="1" applyFont="1"/>
    <xf borderId="0" fillId="0" fontId="1" numFmtId="0" xfId="0" applyFont="1"/>
    <xf borderId="1" fillId="4" fontId="1" numFmtId="0" xfId="0" applyBorder="1" applyFill="1" applyFont="1"/>
    <xf borderId="2" fillId="4" fontId="1" numFmtId="0" xfId="0" applyBorder="1" applyFont="1"/>
    <xf borderId="1" fillId="4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" fillId="4" fontId="2" numFmtId="0" xfId="0" applyBorder="1" applyFont="1"/>
    <xf borderId="1" fillId="4" fontId="2" numFmtId="0" xfId="0" applyBorder="1" applyFont="1"/>
    <xf borderId="3" fillId="4" fontId="1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1" fillId="4" fontId="1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9" fillId="0" fontId="1" numFmtId="0" xfId="0" applyAlignment="1" applyBorder="1" applyFont="1">
      <alignment horizontal="center" vertical="center"/>
    </xf>
    <xf borderId="10" fillId="5" fontId="1" numFmtId="0" xfId="0" applyBorder="1" applyFill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11" fillId="0" fontId="4" numFmtId="0" xfId="0" applyAlignment="1" applyBorder="1" applyFont="1">
      <alignment horizontal="left"/>
    </xf>
    <xf borderId="12" fillId="0" fontId="3" numFmtId="0" xfId="0" applyBorder="1" applyFont="1"/>
    <xf borderId="6" fillId="6" fontId="1" numFmtId="0" xfId="0" applyAlignment="1" applyBorder="1" applyFill="1" applyFont="1">
      <alignment horizontal="center"/>
    </xf>
    <xf borderId="9" fillId="0" fontId="3" numFmtId="0" xfId="0" applyBorder="1" applyFont="1"/>
    <xf borderId="10" fillId="3" fontId="1" numFmtId="0" xfId="0" applyBorder="1" applyFont="1"/>
    <xf borderId="3" fillId="0" fontId="1" numFmtId="0" xfId="0" applyAlignment="1" applyBorder="1" applyFont="1">
      <alignment horizontal="center" vertical="center"/>
    </xf>
    <xf borderId="13" fillId="3" fontId="2" numFmtId="0" xfId="0" applyAlignment="1" applyBorder="1" applyFont="1">
      <alignment horizontal="center"/>
    </xf>
    <xf borderId="14" fillId="0" fontId="3" numFmtId="0" xfId="0" applyBorder="1" applyFont="1"/>
    <xf borderId="3" fillId="7" fontId="1" numFmtId="0" xfId="0" applyAlignment="1" applyBorder="1" applyFill="1" applyFont="1">
      <alignment horizontal="center" shrinkToFit="0" wrapText="1"/>
    </xf>
    <xf borderId="1" fillId="3" fontId="2" numFmtId="0" xfId="0" applyBorder="1" applyFont="1"/>
    <xf borderId="1" fillId="8" fontId="1" numFmtId="0" xfId="0" applyBorder="1" applyFill="1" applyFont="1"/>
    <xf borderId="1" fillId="9" fontId="1" numFmtId="0" xfId="0" applyBorder="1" applyFill="1" applyFont="1"/>
    <xf borderId="2" fillId="3" fontId="1" numFmtId="0" xfId="0" applyBorder="1" applyFont="1"/>
    <xf borderId="15" fillId="3" fontId="1" numFmtId="0" xfId="0" applyBorder="1" applyFont="1"/>
    <xf borderId="6" fillId="10" fontId="1" numFmtId="0" xfId="0" applyAlignment="1" applyBorder="1" applyFill="1" applyFont="1">
      <alignment horizontal="center"/>
    </xf>
    <xf borderId="16" fillId="0" fontId="2" numFmtId="0" xfId="0" applyAlignment="1" applyBorder="1" applyFont="1">
      <alignment horizontal="center"/>
    </xf>
    <xf borderId="16" fillId="0" fontId="3" numFmtId="0" xfId="0" applyBorder="1" applyFont="1"/>
    <xf borderId="1" fillId="11" fontId="1" numFmtId="0" xfId="0" applyBorder="1" applyFill="1" applyFont="1"/>
    <xf borderId="1" fillId="12" fontId="1" numFmtId="0" xfId="0" applyBorder="1" applyFill="1" applyFont="1"/>
    <xf borderId="1" fillId="5" fontId="1" numFmtId="0" xfId="0" applyBorder="1" applyFont="1"/>
    <xf borderId="2" fillId="8" fontId="1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15" fillId="8" fontId="1" numFmtId="0" xfId="0" applyAlignment="1" applyBorder="1" applyFont="1">
      <alignment horizontal="center" vertical="center"/>
    </xf>
    <xf borderId="1" fillId="10" fontId="1" numFmtId="0" xfId="0" applyBorder="1" applyFont="1"/>
    <xf borderId="1" fillId="7" fontId="1" numFmtId="0" xfId="0" applyBorder="1" applyFont="1"/>
    <xf borderId="1" fillId="10" fontId="2" numFmtId="0" xfId="0" applyBorder="1" applyFont="1"/>
    <xf borderId="6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18" fillId="0" fontId="3" numFmtId="0" xfId="0" applyBorder="1" applyFont="1"/>
    <xf borderId="1" fillId="7" fontId="2" numFmtId="0" xfId="0" applyBorder="1" applyFont="1"/>
    <xf borderId="1" fillId="13" fontId="1" numFmtId="0" xfId="0" applyBorder="1" applyFill="1" applyFont="1"/>
    <xf borderId="11" fillId="0" fontId="3" numFmtId="0" xfId="0" applyBorder="1" applyFont="1"/>
    <xf borderId="19" fillId="0" fontId="3" numFmtId="0" xfId="0" applyBorder="1" applyFont="1"/>
    <xf borderId="1" fillId="14" fontId="2" numFmtId="0" xfId="0" applyBorder="1" applyFill="1" applyFont="1"/>
    <xf borderId="1" fillId="15" fontId="1" numFmtId="0" xfId="0" applyBorder="1" applyFill="1" applyFont="1"/>
    <xf borderId="6" fillId="5" fontId="2" numFmtId="0" xfId="0" applyAlignment="1" applyBorder="1" applyFont="1">
      <alignment horizontal="center"/>
    </xf>
    <xf borderId="6" fillId="5" fontId="5" numFmtId="0" xfId="0" applyAlignment="1" applyBorder="1" applyFont="1">
      <alignment horizontal="center"/>
    </xf>
    <xf borderId="10" fillId="16" fontId="1" numFmtId="0" xfId="0" applyBorder="1" applyFill="1" applyFont="1"/>
    <xf borderId="1" fillId="13" fontId="2" numFmtId="0" xfId="0" applyBorder="1" applyFont="1"/>
    <xf borderId="6" fillId="8" fontId="1" numFmtId="0" xfId="0" applyAlignment="1" applyBorder="1" applyFont="1">
      <alignment horizontal="center"/>
    </xf>
    <xf borderId="6" fillId="17" fontId="1" numFmtId="0" xfId="0" applyAlignment="1" applyBorder="1" applyFill="1" applyFont="1">
      <alignment horizontal="center"/>
    </xf>
    <xf borderId="17" fillId="17" fontId="1" numFmtId="0" xfId="0" applyAlignment="1" applyBorder="1" applyFont="1">
      <alignment horizontal="center"/>
    </xf>
    <xf borderId="20" fillId="0" fontId="3" numFmtId="0" xfId="0" applyBorder="1" applyFont="1"/>
    <xf borderId="1" fillId="18" fontId="1" numFmtId="0" xfId="0" applyBorder="1" applyFill="1" applyFont="1"/>
    <xf borderId="21" fillId="0" fontId="3" numFmtId="0" xfId="0" applyBorder="1" applyFont="1"/>
    <xf borderId="1" fillId="19" fontId="1" numFmtId="0" xfId="0" applyBorder="1" applyFill="1" applyFont="1"/>
    <xf borderId="1" fillId="20" fontId="1" numFmtId="0" xfId="0" applyBorder="1" applyFill="1" applyFont="1"/>
    <xf borderId="22" fillId="0" fontId="3" numFmtId="0" xfId="0" applyBorder="1" applyFont="1"/>
    <xf borderId="23" fillId="0" fontId="3" numFmtId="0" xfId="0" applyBorder="1" applyFont="1"/>
    <xf borderId="17" fillId="16" fontId="6" numFmtId="0" xfId="0" applyAlignment="1" applyBorder="1" applyFont="1">
      <alignment horizontal="center" vertical="center"/>
    </xf>
    <xf borderId="1" fillId="21" fontId="1" numFmtId="0" xfId="0" applyAlignment="1" applyBorder="1" applyFill="1" applyFont="1">
      <alignment shrinkToFit="0" vertical="center" wrapText="1"/>
    </xf>
    <xf borderId="1" fillId="21" fontId="1" numFmtId="0" xfId="0" applyAlignment="1" applyBorder="1" applyFont="1">
      <alignment vertical="center"/>
    </xf>
    <xf borderId="1" fillId="16" fontId="1" numFmtId="16" xfId="0" applyAlignment="1" applyBorder="1" applyFont="1" applyNumberFormat="1">
      <alignment horizontal="center"/>
    </xf>
    <xf borderId="1" fillId="22" fontId="1" numFmtId="0" xfId="0" applyAlignment="1" applyBorder="1" applyFill="1" applyFont="1">
      <alignment horizontal="center"/>
    </xf>
    <xf borderId="1" fillId="23" fontId="1" numFmtId="16" xfId="0" applyAlignment="1" applyBorder="1" applyFill="1" applyFont="1" applyNumberFormat="1">
      <alignment horizontal="center"/>
    </xf>
    <xf borderId="1" fillId="24" fontId="1" numFmtId="0" xfId="0" applyAlignment="1" applyBorder="1" applyFill="1" applyFont="1">
      <alignment horizontal="center"/>
    </xf>
    <xf borderId="1" fillId="20" fontId="1" numFmtId="0" xfId="0" applyAlignment="1" applyBorder="1" applyFont="1">
      <alignment horizontal="center"/>
    </xf>
    <xf borderId="1" fillId="25" fontId="1" numFmtId="0" xfId="0" applyBorder="1" applyFill="1" applyFont="1"/>
    <xf borderId="1" fillId="26" fontId="1" numFmtId="0" xfId="0" applyBorder="1" applyFill="1" applyFont="1"/>
    <xf borderId="1" fillId="22" fontId="1" numFmtId="0" xfId="0" applyBorder="1" applyFont="1"/>
    <xf borderId="0" fillId="0" fontId="7" numFmtId="0" xfId="0" applyFont="1"/>
    <xf borderId="0" fillId="0" fontId="1" numFmtId="0" xfId="0" applyAlignment="1" applyFont="1">
      <alignment horizontal="left"/>
    </xf>
    <xf borderId="0" fillId="0" fontId="7" numFmtId="165" xfId="0" applyFont="1" applyNumberFormat="1"/>
    <xf borderId="1" fillId="23" fontId="1" numFmtId="0" xfId="0" applyAlignment="1" applyBorder="1" applyFont="1">
      <alignment readingOrder="0"/>
    </xf>
    <xf borderId="1" fillId="23" fontId="1" numFmtId="0" xfId="0" applyBorder="1" applyFont="1"/>
    <xf borderId="24" fillId="27" fontId="1" numFmtId="0" xfId="0" applyAlignment="1" applyBorder="1" applyFill="1" applyFont="1">
      <alignment horizontal="center"/>
    </xf>
    <xf borderId="25" fillId="27" fontId="1" numFmtId="0" xfId="0" applyAlignment="1" applyBorder="1" applyFont="1">
      <alignment horizontal="center"/>
    </xf>
    <xf borderId="26" fillId="0" fontId="3" numFmtId="0" xfId="0" applyBorder="1" applyFont="1"/>
    <xf borderId="27" fillId="27" fontId="1" numFmtId="0" xfId="0" applyAlignment="1" applyBorder="1" applyFont="1">
      <alignment horizontal="center"/>
    </xf>
    <xf borderId="1" fillId="16" fontId="1" numFmtId="0" xfId="0" applyBorder="1" applyFont="1"/>
    <xf borderId="1" fillId="28" fontId="1" numFmtId="0" xfId="0" applyBorder="1" applyFill="1" applyFont="1"/>
    <xf borderId="28" fillId="0" fontId="3" numFmtId="0" xfId="0" applyBorder="1" applyFont="1"/>
    <xf borderId="29" fillId="0" fontId="3" numFmtId="0" xfId="0" applyBorder="1" applyFont="1"/>
    <xf borderId="13" fillId="6" fontId="1" numFmtId="0" xfId="0" applyAlignment="1" applyBorder="1" applyFont="1">
      <alignment horizontal="center"/>
    </xf>
    <xf borderId="1" fillId="29" fontId="1" numFmtId="0" xfId="0" applyBorder="1" applyFill="1" applyFont="1"/>
    <xf borderId="30" fillId="29" fontId="1" numFmtId="0" xfId="0" applyBorder="1" applyFont="1"/>
    <xf borderId="31" fillId="0" fontId="3" numFmtId="0" xfId="0" applyBorder="1" applyFont="1"/>
    <xf borderId="10" fillId="27" fontId="1" numFmtId="0" xfId="0" applyBorder="1" applyFont="1"/>
    <xf borderId="15" fillId="6" fontId="1" numFmtId="0" xfId="0" applyBorder="1" applyFont="1"/>
    <xf borderId="32" fillId="27" fontId="8" numFmtId="0" xfId="0" applyAlignment="1" applyBorder="1" applyFont="1">
      <alignment horizontal="center" vertical="center"/>
    </xf>
    <xf borderId="33" fillId="0" fontId="3" numFmtId="0" xfId="0" applyBorder="1" applyFont="1"/>
    <xf borderId="34" fillId="0" fontId="3" numFmtId="0" xfId="0" applyBorder="1" applyFont="1"/>
    <xf borderId="32" fillId="27" fontId="1" numFmtId="0" xfId="0" applyAlignment="1" applyBorder="1" applyFont="1">
      <alignment horizontal="center"/>
    </xf>
    <xf borderId="13" fillId="27" fontId="1" numFmtId="0" xfId="0" applyAlignment="1" applyBorder="1" applyFont="1">
      <alignment horizontal="center"/>
    </xf>
    <xf borderId="35" fillId="27" fontId="1" numFmtId="0" xfId="0" applyAlignment="1" applyBorder="1" applyFont="1">
      <alignment horizontal="center"/>
    </xf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15" fillId="28" fontId="1" numFmtId="0" xfId="0" applyBorder="1" applyFont="1"/>
    <xf borderId="40" fillId="27" fontId="1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35" fillId="3" fontId="9" numFmtId="0" xfId="0" applyAlignment="1" applyBorder="1" applyFont="1">
      <alignment horizontal="center"/>
    </xf>
    <xf borderId="1" fillId="30" fontId="1" numFmtId="0" xfId="0" applyBorder="1" applyFill="1" applyFont="1"/>
    <xf borderId="1" fillId="31" fontId="1" numFmtId="0" xfId="0" applyBorder="1" applyFill="1" applyFont="1"/>
    <xf borderId="1" fillId="32" fontId="1" numFmtId="0" xfId="0" applyBorder="1" applyFill="1" applyFont="1"/>
    <xf borderId="2" fillId="22" fontId="1" numFmtId="0" xfId="0" applyBorder="1" applyFont="1"/>
    <xf borderId="30" fillId="22" fontId="1" numFmtId="0" xfId="0" applyBorder="1" applyFont="1"/>
    <xf borderId="46" fillId="27" fontId="1" numFmtId="0" xfId="0" applyAlignment="1" applyBorder="1" applyFont="1">
      <alignment horizontal="center"/>
    </xf>
    <xf borderId="1" fillId="33" fontId="1" numFmtId="0" xfId="0" applyBorder="1" applyFill="1" applyFont="1"/>
    <xf borderId="35" fillId="16" fontId="10" numFmtId="0" xfId="0" applyAlignment="1" applyBorder="1" applyFont="1">
      <alignment shrinkToFit="0" wrapText="1"/>
    </xf>
    <xf borderId="10" fillId="34" fontId="1" numFmtId="0" xfId="0" applyBorder="1" applyFill="1" applyFont="1"/>
    <xf borderId="10" fillId="35" fontId="1" numFmtId="0" xfId="0" applyBorder="1" applyFill="1" applyFont="1"/>
    <xf borderId="10" fillId="29" fontId="1" numFmtId="0" xfId="0" applyBorder="1" applyFont="1"/>
    <xf borderId="10" fillId="36" fontId="1" numFmtId="0" xfId="0" applyBorder="1" applyFill="1" applyFont="1"/>
    <xf borderId="10" fillId="37" fontId="1" numFmtId="0" xfId="0" applyBorder="1" applyFill="1" applyFont="1"/>
    <xf borderId="10" fillId="38" fontId="1" numFmtId="0" xfId="0" applyBorder="1" applyFill="1" applyFont="1"/>
    <xf borderId="10" fillId="13" fontId="1" numFmtId="0" xfId="0" applyBorder="1" applyFont="1"/>
    <xf borderId="10" fillId="39" fontId="1" numFmtId="0" xfId="0" applyBorder="1" applyFill="1" applyFont="1"/>
    <xf borderId="10" fillId="40" fontId="1" numFmtId="0" xfId="0" applyBorder="1" applyFill="1" applyFont="1"/>
    <xf borderId="35" fillId="41" fontId="4" numFmtId="0" xfId="0" applyBorder="1" applyFill="1" applyFont="1"/>
    <xf borderId="10" fillId="42" fontId="1" numFmtId="0" xfId="0" applyBorder="1" applyFill="1" applyFont="1"/>
    <xf borderId="10" fillId="43" fontId="1" numFmtId="0" xfId="0" applyBorder="1" applyFill="1" applyFont="1"/>
    <xf borderId="10" fillId="10" fontId="1" numFmtId="0" xfId="0" applyBorder="1" applyFont="1"/>
    <xf borderId="10" fillId="44" fontId="1" numFmtId="0" xfId="0" applyBorder="1" applyFill="1" applyFont="1"/>
    <xf borderId="10" fillId="45" fontId="1" numFmtId="0" xfId="0" applyBorder="1" applyFill="1" applyFont="1"/>
    <xf borderId="35" fillId="46" fontId="2" numFmtId="0" xfId="0" applyBorder="1" applyFill="1" applyFont="1"/>
    <xf borderId="10" fillId="47" fontId="1" numFmtId="0" xfId="0" applyBorder="1" applyFill="1" applyFont="1"/>
    <xf borderId="10" fillId="48" fontId="1" numFmtId="0" xfId="0" applyBorder="1" applyFill="1" applyFont="1"/>
    <xf borderId="10" fillId="49" fontId="1" numFmtId="0" xfId="0" applyBorder="1" applyFill="1" applyFont="1"/>
    <xf borderId="10" fillId="41" fontId="1" numFmtId="0" xfId="0" applyBorder="1" applyFont="1"/>
    <xf borderId="10" fillId="50" fontId="1" numFmtId="0" xfId="0" applyBorder="1" applyFill="1" applyFont="1"/>
    <xf borderId="10" fillId="51" fontId="1" numFmtId="0" xfId="0" applyBorder="1" applyFill="1" applyFont="1"/>
    <xf borderId="10" fillId="52" fontId="1" numFmtId="0" xfId="0" applyBorder="1" applyFill="1" applyFont="1"/>
    <xf borderId="35" fillId="34" fontId="4" numFmtId="0" xfId="0" applyBorder="1" applyFont="1"/>
    <xf borderId="10" fillId="53" fontId="1" numFmtId="0" xfId="0" applyBorder="1" applyFill="1" applyFont="1"/>
    <xf borderId="10" fillId="54" fontId="1" numFmtId="166" xfId="0" applyBorder="1" applyFill="1" applyFont="1" applyNumberFormat="1"/>
    <xf borderId="10" fillId="2" fontId="1" numFmtId="0" xfId="0" applyBorder="1" applyFont="1"/>
    <xf borderId="47" fillId="55" fontId="1" numFmtId="0" xfId="0" applyBorder="1" applyFill="1" applyFont="1"/>
    <xf borderId="48" fillId="0" fontId="3" numFmtId="0" xfId="0" applyBorder="1" applyFont="1"/>
    <xf borderId="49" fillId="0" fontId="3" numFmtId="0" xfId="0" applyBorder="1" applyFont="1"/>
    <xf borderId="47" fillId="13" fontId="1" numFmtId="0" xfId="0" applyAlignment="1" applyBorder="1" applyFont="1">
      <alignment horizontal="center"/>
    </xf>
    <xf borderId="35" fillId="51" fontId="11" numFmtId="0" xfId="0" applyBorder="1" applyFont="1"/>
    <xf borderId="10" fillId="56" fontId="1" numFmtId="0" xfId="0" applyBorder="1" applyFill="1" applyFont="1"/>
    <xf borderId="0" fillId="0" fontId="1" numFmtId="167" xfId="0" applyFont="1" applyNumberFormat="1"/>
    <xf borderId="0" fillId="0" fontId="1" numFmtId="166" xfId="0" applyFont="1" applyNumberFormat="1"/>
    <xf borderId="35" fillId="57" fontId="12" numFmtId="0" xfId="0" applyBorder="1" applyFill="1" applyFont="1"/>
    <xf borderId="47" fillId="47" fontId="1" numFmtId="0" xfId="0" applyBorder="1" applyFont="1"/>
    <xf borderId="10" fillId="58" fontId="1" numFmtId="0" xfId="0" applyBorder="1" applyFill="1" applyFont="1"/>
    <xf borderId="10" fillId="54" fontId="1" numFmtId="0" xfId="0" applyBorder="1" applyFont="1"/>
    <xf borderId="10" fillId="12" fontId="1" numFmtId="0" xfId="0" applyBorder="1" applyFont="1"/>
    <xf borderId="10" fillId="59" fontId="1" numFmtId="0" xfId="0" applyBorder="1" applyFill="1" applyFont="1"/>
    <xf borderId="0" fillId="0" fontId="1" numFmtId="9" xfId="0" applyFont="1" applyNumberFormat="1"/>
    <xf borderId="10" fillId="6" fontId="1" numFmtId="0" xfId="0" applyBorder="1" applyFont="1"/>
    <xf borderId="35" fillId="60" fontId="12" numFmtId="0" xfId="0" applyBorder="1" applyFill="1" applyFont="1"/>
    <xf borderId="10" fillId="47" fontId="2" numFmtId="0" xfId="0" applyBorder="1" applyFont="1"/>
    <xf borderId="10" fillId="50" fontId="2" numFmtId="0" xfId="0" applyBorder="1" applyFont="1"/>
    <xf borderId="0" fillId="0" fontId="1" numFmtId="168" xfId="0" applyFont="1" applyNumberFormat="1"/>
    <xf borderId="35" fillId="25" fontId="10" numFmtId="0" xfId="0" applyBorder="1" applyFont="1"/>
    <xf borderId="10" fillId="61" fontId="2" numFmtId="0" xfId="0" applyBorder="1" applyFill="1" applyFont="1"/>
    <xf borderId="0" fillId="0" fontId="1" numFmtId="169" xfId="0" applyFont="1" applyNumberFormat="1"/>
    <xf borderId="0" fillId="0" fontId="1" numFmtId="170" xfId="0" applyFont="1" applyNumberFormat="1"/>
    <xf borderId="47" fillId="6" fontId="1" numFmtId="0" xfId="0" applyAlignment="1" applyBorder="1" applyFont="1">
      <alignment horizontal="center"/>
    </xf>
    <xf borderId="10" fillId="10" fontId="2" numFmtId="0" xfId="0" applyBorder="1" applyFont="1"/>
    <xf borderId="10" fillId="55" fontId="1" numFmtId="0" xfId="0" applyBorder="1" applyFont="1"/>
    <xf borderId="10" fillId="62" fontId="1" numFmtId="166" xfId="0" applyBorder="1" applyFill="1" applyFont="1" applyNumberFormat="1"/>
    <xf borderId="10" fillId="18" fontId="1" numFmtId="165" xfId="0" applyBorder="1" applyFont="1" applyNumberFormat="1"/>
    <xf borderId="0" fillId="0" fontId="1" numFmtId="170" xfId="0" applyAlignment="1" applyFont="1" applyNumberFormat="1">
      <alignment horizontal="center"/>
    </xf>
    <xf borderId="10" fillId="62" fontId="1" numFmtId="167" xfId="0" applyBorder="1" applyFont="1" applyNumberFormat="1"/>
    <xf borderId="35" fillId="10" fontId="4" numFmtId="0" xfId="0" applyBorder="1" applyFont="1"/>
    <xf borderId="0" fillId="53" fontId="1" numFmtId="0" xfId="0" applyAlignment="1" applyFont="1">
      <alignment horizontal="center"/>
    </xf>
    <xf borderId="0" fillId="63" fontId="7" numFmtId="0" xfId="0" applyFill="1" applyFont="1"/>
    <xf borderId="0" fillId="64" fontId="1" numFmtId="0" xfId="0" applyAlignment="1" applyFill="1" applyFont="1">
      <alignment horizontal="center"/>
    </xf>
    <xf borderId="0" fillId="63" fontId="7" numFmtId="170" xfId="0" applyFont="1" applyNumberFormat="1"/>
    <xf borderId="35" fillId="47" fontId="12" numFmtId="0" xfId="0" applyBorder="1" applyFont="1"/>
    <xf borderId="10" fillId="63" fontId="1" numFmtId="0" xfId="0" applyBorder="1" applyFont="1"/>
    <xf borderId="47" fillId="10" fontId="1" numFmtId="0" xfId="0" applyAlignment="1" applyBorder="1" applyFont="1">
      <alignment horizontal="center"/>
    </xf>
    <xf borderId="10" fillId="65" fontId="1" numFmtId="171" xfId="0" applyBorder="1" applyFill="1" applyFont="1" applyNumberFormat="1"/>
    <xf borderId="10" fillId="41" fontId="1" numFmtId="171" xfId="0" applyBorder="1" applyFont="1" applyNumberFormat="1"/>
    <xf borderId="0" fillId="0" fontId="1" numFmtId="165" xfId="0" applyFont="1" applyNumberFormat="1"/>
    <xf borderId="35" fillId="66" fontId="10" numFmtId="0" xfId="0" applyBorder="1" applyFill="1" applyFont="1"/>
    <xf borderId="10" fillId="67" fontId="1" numFmtId="0" xfId="0" applyBorder="1" applyFill="1" applyFont="1"/>
    <xf borderId="35" fillId="34" fontId="10" numFmtId="0" xfId="0" applyBorder="1" applyFont="1"/>
    <xf borderId="47" fillId="31" fontId="1" numFmtId="0" xfId="0" applyAlignment="1" applyBorder="1" applyFont="1">
      <alignment horizontal="center"/>
    </xf>
    <xf borderId="10" fillId="68" fontId="1" numFmtId="0" xfId="0" applyBorder="1" applyFill="1" applyFont="1"/>
    <xf borderId="47" fillId="68" fontId="1" numFmtId="0" xfId="0" applyAlignment="1" applyBorder="1" applyFont="1">
      <alignment horizontal="center"/>
    </xf>
    <xf borderId="0" fillId="69" fontId="1" numFmtId="0" xfId="0" applyAlignment="1" applyFill="1" applyFont="1">
      <alignment horizontal="center"/>
    </xf>
    <xf borderId="0" fillId="70" fontId="7" numFmtId="0" xfId="0" applyFill="1" applyFont="1"/>
    <xf borderId="35" fillId="29" fontId="13" numFmtId="0" xfId="0" applyAlignment="1" applyBorder="1" applyFont="1">
      <alignment horizontal="center"/>
    </xf>
    <xf borderId="0" fillId="55" fontId="1" numFmtId="168" xfId="0" applyAlignment="1" applyFont="1" applyNumberFormat="1">
      <alignment horizontal="center"/>
    </xf>
    <xf borderId="0" fillId="71" fontId="1" numFmtId="168" xfId="0" applyAlignment="1" applyFill="1" applyFont="1" applyNumberFormat="1">
      <alignment horizontal="center"/>
    </xf>
    <xf borderId="47" fillId="29" fontId="1" numFmtId="0" xfId="0" applyAlignment="1" applyBorder="1" applyFont="1">
      <alignment horizontal="center"/>
    </xf>
    <xf borderId="0" fillId="51" fontId="7" numFmtId="0" xfId="0" applyFont="1"/>
    <xf borderId="35" fillId="10" fontId="12" numFmtId="0" xfId="0" applyAlignment="1" applyBorder="1" applyFont="1">
      <alignment horizontal="center"/>
    </xf>
    <xf borderId="10" fillId="43" fontId="2" numFmtId="0" xfId="0" applyBorder="1" applyFont="1"/>
    <xf borderId="0" fillId="0" fontId="7" numFmtId="0" xfId="0" applyAlignment="1" applyFont="1">
      <alignment readingOrder="0"/>
    </xf>
    <xf borderId="0" fillId="72" fontId="7" numFmtId="0" xfId="0" applyFill="1" applyFont="1"/>
    <xf borderId="0" fillId="10" fontId="7" numFmtId="0" xfId="0" applyFont="1"/>
    <xf borderId="0" fillId="0" fontId="1" numFmtId="0" xfId="0" applyAlignment="1" applyFont="1">
      <alignment readingOrder="0"/>
    </xf>
    <xf borderId="35" fillId="43" fontId="14" numFmtId="0" xfId="0" applyBorder="1" applyFont="1"/>
    <xf borderId="0" fillId="61" fontId="7" numFmtId="0" xfId="0" applyFont="1"/>
    <xf borderId="0" fillId="59" fontId="7" numFmtId="0" xfId="0" applyFont="1"/>
    <xf borderId="35" fillId="41" fontId="12" numFmtId="0" xfId="0" applyAlignment="1" applyBorder="1" applyFont="1">
      <alignment horizontal="center"/>
    </xf>
    <xf borderId="10" fillId="73" fontId="1" numFmtId="0" xfId="0" applyBorder="1" applyFill="1" applyFont="1"/>
    <xf borderId="35" fillId="63" fontId="4" numFmtId="0" xfId="0" applyBorder="1" applyFont="1"/>
    <xf borderId="10" fillId="10" fontId="15" numFmtId="0" xfId="0" applyBorder="1" applyFont="1"/>
    <xf borderId="0" fillId="0" fontId="2" numFmtId="0" xfId="0" applyFont="1"/>
    <xf borderId="35" fillId="46" fontId="10" numFmtId="0" xfId="0" applyBorder="1" applyFont="1"/>
    <xf borderId="35" fillId="74" fontId="10" numFmtId="0" xfId="0" applyBorder="1" applyFill="1" applyFont="1"/>
    <xf borderId="10" fillId="44" fontId="2" numFmtId="0" xfId="0" applyBorder="1" applyFont="1"/>
    <xf borderId="0" fillId="0" fontId="1" numFmtId="172" xfId="0" applyFont="1" applyNumberFormat="1"/>
    <xf borderId="35" fillId="36" fontId="10" numFmtId="0" xfId="0" applyBorder="1" applyFont="1"/>
    <xf borderId="35" fillId="75" fontId="10" numFmtId="0" xfId="0" applyBorder="1" applyFill="1" applyFont="1"/>
    <xf borderId="35" fillId="43" fontId="10" numFmtId="0" xfId="0" applyAlignment="1" applyBorder="1" applyFont="1">
      <alignment horizontal="center"/>
    </xf>
    <xf borderId="0" fillId="0" fontId="1" numFmtId="2" xfId="0" applyFont="1" applyNumberFormat="1"/>
    <xf borderId="10" fillId="70" fontId="1" numFmtId="0" xfId="0" applyBorder="1" applyFont="1"/>
    <xf borderId="10" fillId="61" fontId="16" numFmtId="0" xfId="0" applyBorder="1" applyFont="1"/>
    <xf borderId="10" fillId="70" fontId="2" numFmtId="0" xfId="0" applyBorder="1" applyFont="1"/>
    <xf borderId="0" fillId="36" fontId="17" numFmtId="0" xfId="0" applyAlignment="1" applyFont="1">
      <alignment readingOrder="0"/>
    </xf>
    <xf borderId="0" fillId="61" fontId="18" numFmtId="0" xfId="0" applyAlignment="1" applyFont="1">
      <alignment readingOrder="0"/>
    </xf>
    <xf borderId="0" fillId="34" fontId="18" numFmtId="0" xfId="0" applyAlignment="1" applyFont="1">
      <alignment readingOrder="0"/>
    </xf>
    <xf borderId="0" fillId="51" fontId="18" numFmtId="0" xfId="0" applyAlignment="1" applyFont="1">
      <alignment readingOrder="0"/>
    </xf>
    <xf borderId="0" fillId="10" fontId="18" numFmtId="0" xfId="0" applyAlignment="1" applyFont="1">
      <alignment readingOrder="0"/>
    </xf>
    <xf borderId="0" fillId="63" fontId="17" numFmtId="0" xfId="0" applyAlignment="1" applyFont="1">
      <alignment readingOrder="0"/>
    </xf>
    <xf borderId="0" fillId="35" fontId="19" numFmtId="0" xfId="0" applyAlignment="1" applyFont="1">
      <alignment readingOrder="0"/>
    </xf>
    <xf borderId="0" fillId="47" fontId="18" numFmtId="0" xfId="0" applyAlignment="1" applyFont="1">
      <alignment horizontal="center" readingOrder="0"/>
    </xf>
    <xf borderId="0" fillId="52" fontId="18" numFmtId="0" xfId="0" applyAlignment="1" applyFont="1">
      <alignment readingOrder="0"/>
    </xf>
    <xf borderId="0" fillId="0" fontId="7" numFmtId="173" xfId="0" applyAlignment="1" applyFont="1" applyNumberFormat="1">
      <alignment readingOrder="0"/>
    </xf>
    <xf borderId="0" fillId="48" fontId="17" numFmtId="0" xfId="0" applyAlignment="1" applyFont="1">
      <alignment readingOrder="0"/>
    </xf>
    <xf borderId="0" fillId="46" fontId="18" numFmtId="0" xfId="0" applyAlignment="1" applyFont="1">
      <alignment readingOrder="0"/>
    </xf>
    <xf borderId="0" fillId="46" fontId="20" numFmtId="0" xfId="0" applyAlignment="1" applyFont="1">
      <alignment readingOrder="0"/>
    </xf>
    <xf borderId="0" fillId="69" fontId="18" numFmtId="0" xfId="0" applyAlignment="1" applyFont="1">
      <alignment readingOrder="0"/>
    </xf>
    <xf borderId="0" fillId="0" fontId="7" numFmtId="174" xfId="0" applyAlignment="1" applyFont="1" applyNumberFormat="1">
      <alignment readingOrder="0"/>
    </xf>
    <xf borderId="0" fillId="48" fontId="18" numFmtId="0" xfId="0" applyAlignment="1" applyFont="1">
      <alignment readingOrder="0"/>
    </xf>
    <xf borderId="0" fillId="0" fontId="7" numFmtId="3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18" numFmtId="3" xfId="0" applyFont="1" applyNumberFormat="1"/>
    <xf borderId="0" fillId="76" fontId="19" numFmtId="0" xfId="0" applyAlignment="1" applyFill="1" applyFont="1">
      <alignment readingOrder="0"/>
    </xf>
    <xf borderId="0" fillId="77" fontId="21" numFmtId="0" xfId="0" applyAlignment="1" applyFill="1" applyFont="1">
      <alignment readingOrder="0"/>
    </xf>
    <xf borderId="0" fillId="61" fontId="22" numFmtId="0" xfId="0" applyAlignment="1" applyFont="1">
      <alignment readingOrder="0"/>
    </xf>
    <xf borderId="0" fillId="34" fontId="7" numFmtId="0" xfId="0" applyAlignment="1" applyFont="1">
      <alignment readingOrder="0"/>
    </xf>
    <xf borderId="0" fillId="61" fontId="21" numFmtId="0" xfId="0" applyAlignment="1" applyFont="1">
      <alignment readingOrder="0"/>
    </xf>
    <xf borderId="0" fillId="34" fontId="21" numFmtId="0" xfId="0" applyAlignment="1" applyFont="1">
      <alignment readingOrder="0"/>
    </xf>
    <xf borderId="0" fillId="75" fontId="23" numFmtId="0" xfId="0" applyAlignment="1" applyFont="1">
      <alignment readingOrder="0"/>
    </xf>
    <xf borderId="0" fillId="11" fontId="20" numFmtId="0" xfId="0" applyAlignment="1" applyFont="1">
      <alignment readingOrder="0"/>
    </xf>
    <xf borderId="0" fillId="69" fontId="18" numFmtId="0" xfId="0" applyAlignment="1" applyFont="1">
      <alignment horizontal="center" readingOrder="0"/>
    </xf>
    <xf borderId="0" fillId="34" fontId="18" numFmtId="0" xfId="0" applyAlignment="1" applyFont="1">
      <alignment horizontal="center" readingOrder="0"/>
    </xf>
    <xf borderId="0" fillId="53" fontId="20" numFmtId="0" xfId="0" applyAlignment="1" applyFont="1">
      <alignment readingOrder="0"/>
    </xf>
    <xf borderId="0" fillId="70" fontId="7" numFmtId="0" xfId="0" applyAlignment="1" applyFont="1">
      <alignment readingOrder="0"/>
    </xf>
    <xf borderId="0" fillId="78" fontId="7" numFmtId="0" xfId="0" applyAlignment="1" applyFill="1" applyFont="1">
      <alignment readingOrder="0"/>
    </xf>
    <xf borderId="0" fillId="70" fontId="19" numFmtId="0" xfId="0" applyAlignment="1" applyFont="1">
      <alignment readingOrder="0"/>
    </xf>
    <xf borderId="0" fillId="70" fontId="17" numFmtId="0" xfId="0" applyAlignment="1" applyFont="1">
      <alignment readingOrder="0"/>
    </xf>
    <xf borderId="0" fillId="54" fontId="20" numFmtId="0" xfId="0" applyAlignment="1" applyFont="1">
      <alignment readingOrder="0"/>
    </xf>
    <xf borderId="0" fillId="51" fontId="24" numFmtId="0" xfId="0" applyAlignment="1" applyFont="1">
      <alignment readingOrder="0"/>
    </xf>
    <xf borderId="0" fillId="46" fontId="21" numFmtId="0" xfId="0" applyAlignment="1" applyFont="1">
      <alignment readingOrder="0"/>
    </xf>
    <xf borderId="0" fillId="78" fontId="25" numFmtId="0" xfId="0" applyAlignment="1" applyFont="1">
      <alignment readingOrder="0"/>
    </xf>
    <xf borderId="0" fillId="56" fontId="20" numFmtId="0" xfId="0" applyAlignment="1" applyFont="1">
      <alignment readingOrder="0"/>
    </xf>
    <xf borderId="0" fillId="42" fontId="18" numFmtId="0" xfId="0" applyAlignment="1" applyFont="1">
      <alignment readingOrder="0"/>
    </xf>
    <xf borderId="0" fillId="53" fontId="18" numFmtId="0" xfId="0" applyAlignment="1" applyFont="1">
      <alignment readingOrder="0"/>
    </xf>
    <xf borderId="0" fillId="0" fontId="7" numFmtId="9" xfId="0" applyAlignment="1" applyFont="1" applyNumberFormat="1">
      <alignment readingOrder="0"/>
    </xf>
    <xf borderId="0" fillId="67" fontId="20" numFmtId="0" xfId="0" applyAlignment="1" applyFont="1">
      <alignment readingOrder="0"/>
    </xf>
    <xf borderId="0" fillId="0" fontId="7" numFmtId="175" xfId="0" applyAlignment="1" applyFont="1" applyNumberFormat="1">
      <alignment readingOrder="0"/>
    </xf>
    <xf borderId="0" fillId="0" fontId="26" numFmtId="0" xfId="0" applyFont="1"/>
    <xf borderId="0" fillId="0" fontId="27" numFmtId="0" xfId="0" applyFont="1"/>
    <xf borderId="0" fillId="65" fontId="20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28" numFmtId="176" xfId="0" applyAlignment="1" applyFont="1" applyNumberFormat="1">
      <alignment readingOrder="0"/>
    </xf>
    <xf borderId="0" fillId="0" fontId="26" numFmtId="176" xfId="0" applyFont="1" applyNumberFormat="1"/>
    <xf borderId="0" fillId="67" fontId="23" numFmtId="0" xfId="0" applyAlignment="1" applyFont="1">
      <alignment readingOrder="0"/>
    </xf>
    <xf borderId="0" fillId="10" fontId="7" numFmtId="0" xfId="0" applyAlignment="1" applyFont="1">
      <alignment readingOrder="0"/>
    </xf>
    <xf borderId="0" fillId="0" fontId="30" numFmtId="0" xfId="0" applyFont="1"/>
    <xf borderId="0" fillId="0" fontId="31" numFmtId="0" xfId="0" applyFont="1"/>
    <xf borderId="0" fillId="0" fontId="7" numFmtId="177" xfId="0" applyAlignment="1" applyFont="1" applyNumberFormat="1">
      <alignment readingOrder="0"/>
    </xf>
    <xf borderId="0" fillId="37" fontId="20" numFmtId="0" xfId="0" applyAlignment="1" applyFont="1">
      <alignment readingOrder="0"/>
    </xf>
    <xf borderId="0" fillId="0" fontId="32" numFmtId="0" xfId="0" applyFont="1"/>
    <xf borderId="0" fillId="0" fontId="18" numFmtId="0" xfId="0" applyAlignment="1" applyFont="1">
      <alignment horizontal="center" readingOrder="0"/>
    </xf>
    <xf borderId="0" fillId="0" fontId="33" numFmtId="0" xfId="0" applyFont="1"/>
    <xf borderId="0" fillId="0" fontId="34" numFmtId="0" xfId="0" applyFont="1"/>
    <xf borderId="0" fillId="42" fontId="35" numFmtId="0" xfId="0" applyAlignment="1" applyFont="1">
      <alignment readingOrder="0"/>
    </xf>
    <xf borderId="0" fillId="58" fontId="21" numFmtId="0" xfId="0" applyAlignment="1" applyFont="1">
      <alignment readingOrder="0"/>
    </xf>
    <xf borderId="0" fillId="54" fontId="23" numFmtId="0" xfId="0" applyAlignment="1" applyFont="1">
      <alignment readingOrder="0"/>
    </xf>
    <xf borderId="0" fillId="71" fontId="23" numFmtId="0" xfId="0" applyAlignment="1" applyFont="1">
      <alignment readingOrder="0"/>
    </xf>
    <xf borderId="0" fillId="77" fontId="18" numFmtId="0" xfId="0" applyAlignment="1" applyFont="1">
      <alignment readingOrder="0"/>
    </xf>
    <xf borderId="0" fillId="0" fontId="7" numFmtId="178" xfId="0" applyAlignment="1" applyFont="1" applyNumberFormat="1">
      <alignment readingOrder="0"/>
    </xf>
    <xf borderId="0" fillId="36" fontId="7" numFmtId="0" xfId="0" applyAlignment="1" applyFont="1">
      <alignment readingOrder="0"/>
    </xf>
    <xf borderId="0" fillId="65" fontId="7" numFmtId="0" xfId="0" applyAlignment="1" applyFont="1">
      <alignment readingOrder="0"/>
    </xf>
    <xf borderId="0" fillId="79" fontId="7" numFmtId="0" xfId="0" applyAlignment="1" applyFill="1" applyFont="1">
      <alignment readingOrder="0"/>
    </xf>
    <xf borderId="0" fillId="80" fontId="7" numFmtId="0" xfId="0" applyAlignment="1" applyFill="1" applyFont="1">
      <alignment readingOrder="0"/>
    </xf>
    <xf borderId="0" fillId="37" fontId="7" numFmtId="0" xfId="0" applyAlignment="1" applyFont="1">
      <alignment readingOrder="0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46:E260" sheet="Excercise 6"/>
  </cacheSource>
  <cacheFields>
    <cacheField name="Last Name " numFmtId="0">
      <sharedItems>
        <s v="smith"/>
        <s v="johnson"/>
        <s v="williams"/>
        <s v="jones"/>
        <s v="brown"/>
      </sharedItems>
    </cacheField>
    <cacheField name="Sales" numFmtId="165">
      <sharedItems containsSemiMixedTypes="0" containsString="0" containsNumber="1" containsInteger="1">
        <n v="16753.0"/>
        <n v="14808.0"/>
        <n v="10644.0"/>
        <n v="1390.0"/>
        <n v="4865.0"/>
        <n v="12438.0"/>
        <n v="9339.0"/>
        <n v="18919.0"/>
        <n v="9213.0"/>
        <n v="7433.0"/>
        <n v="3255.0"/>
        <n v="14867.0"/>
        <n v="19302.0"/>
        <n v="9698.0"/>
      </sharedItems>
    </cacheField>
    <cacheField name="country" numFmtId="0">
      <sharedItems>
        <s v="UK"/>
        <s v="USA"/>
        <s v="USA "/>
      </sharedItems>
    </cacheField>
    <cacheField name="Quarter" numFmtId="0">
      <sharedItems>
        <s v="Qtr 3"/>
        <s v="Qtr 4"/>
        <s v="Qtr 2"/>
        <s v="Qtr 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66:F302" sheet="Excercise 6"/>
  </cacheSource>
  <cacheFields>
    <cacheField name="Season " numFmtId="0">
      <sharedItems>
        <s v="Fall"/>
        <s v="Spring"/>
      </sharedItems>
    </cacheField>
    <cacheField name="Year" numFmtId="0">
      <sharedItems containsSemiMixedTypes="0" containsString="0" containsNumber="1" containsInteger="1">
        <n v="1998.0"/>
      </sharedItems>
    </cacheField>
    <cacheField name="Type" numFmtId="0">
      <sharedItems>
        <s v="Amber Ale"/>
        <s v="Hefeweizen"/>
        <s v="Pale Ale"/>
        <s v="Pilsner"/>
        <s v="Porter"/>
        <s v="stout"/>
        <s v="plisner"/>
      </sharedItems>
    </cacheField>
    <cacheField name="State" numFmtId="0">
      <sharedItems>
        <s v="Califonia"/>
        <s v="Oregon"/>
        <s v="Washington"/>
      </sharedItems>
    </cacheField>
    <cacheField name="Sales $" numFmtId="165">
      <sharedItems containsSemiMixedTypes="0" containsString="0" containsNumber="1" containsInteger="1">
        <n v="554536.0"/>
        <n v="540643.0"/>
        <n v="577548.0"/>
        <n v="455905.0"/>
        <n v="490871.0"/>
        <n v="446383.0"/>
        <n v="457726.0"/>
        <n v="347696.0"/>
        <n v="384541.0"/>
        <n v="386420.0"/>
        <n v="370970.0"/>
        <n v="430754.0"/>
        <n v="500847.0"/>
        <n v="507070.0"/>
        <n v="482346.0"/>
        <n v="608713.0"/>
        <n v="150000.0"/>
        <n v="500649.0"/>
        <n v="545780.0"/>
        <n v="440644.0"/>
        <n v="580359.0"/>
        <n v="536225.0"/>
        <n v="414908.0"/>
        <n v="377997.0"/>
        <n v="331289.0"/>
        <n v="384572.0"/>
        <n v="365813.0"/>
        <n v="396338.0"/>
        <n v="453761.0"/>
        <n v="356538.0"/>
        <n v="606332.0"/>
        <n v="535218.0"/>
        <n v="493364.0"/>
        <n v="559100.0"/>
        <n v="220350.0"/>
        <n v="47697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SS 13" cacheId="0" dataCaption="" compact="0" compactData="0">
  <location ref="A3:D30" firstHeaderRow="0" firstDataRow="3" firstDataCol="0"/>
  <pivotFields>
    <pivotField name="Last Name " axis="axisRow" compact="0" outline="0" multipleItemSelectionAllowed="1" showAll="0" sortType="ascending">
      <items>
        <item x="4"/>
        <item x="1"/>
        <item x="3"/>
        <item x="0"/>
        <item x="2"/>
        <item t="default"/>
      </items>
    </pivotField>
    <pivotField name="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untry" axis="axisRow" compact="0" outline="0" multipleItemSelectionAllowed="1" showAll="0" sortType="ascending">
      <items>
        <item x="0"/>
        <item x="1"/>
        <item x="2"/>
        <item t="default"/>
      </items>
    </pivotField>
    <pivotField name="Quarter" axis="axisRow" compact="0" outline="0" multipleItemSelectionAllowed="1" showAll="0" sortType="ascending">
      <items>
        <item x="3"/>
        <item x="2"/>
        <item x="0"/>
        <item x="1"/>
        <item t="default"/>
      </items>
    </pivotField>
  </pivotFields>
  <rowFields>
    <field x="2"/>
    <field x="0"/>
    <field x="3"/>
  </rowFields>
  <dataFields>
    <dataField name="Sum of Sales" fld="1" baseField="0"/>
  </dataFields>
</pivotTableDefinition>
</file>

<file path=xl/pivotTables/pivotTable2.xml><?xml version="1.0" encoding="utf-8"?>
<pivotTableDefinition xmlns="http://schemas.openxmlformats.org/spreadsheetml/2006/main" name="Sheet4" cacheId="1" dataCaption="" compact="0" compactData="0">
  <location ref="A3:E53" firstHeaderRow="0" firstDataRow="4" firstDataCol="0"/>
  <pivotFields>
    <pivotField name="Season " axis="axisRow" compact="0" outline="0" multipleItemSelectionAllowed="1" showAll="0" sortType="ascending">
      <items>
        <item x="0"/>
        <item x="1"/>
        <item t="default"/>
      </items>
    </pivotField>
    <pivotField name="Year" dataField="1" compact="0" outline="0" multipleItemSelectionAllowed="1" showAll="0">
      <items>
        <item x="0"/>
        <item t="default"/>
      </items>
    </pivotField>
    <pivotField name="Type" axis="axisRow" compact="0" outline="0" multipleItemSelectionAllowed="1" showAll="0" sortType="ascending">
      <items>
        <item x="0"/>
        <item x="1"/>
        <item x="2"/>
        <item x="3"/>
        <item x="6"/>
        <item x="4"/>
        <item x="5"/>
        <item t="default"/>
      </items>
    </pivotField>
    <pivotField name="State" axis="axisRow" compact="0" outline="0" multipleItemSelectionAllowed="1" showAll="0" sortType="ascending">
      <items>
        <item x="0"/>
        <item x="1"/>
        <item x="2"/>
        <item t="default"/>
      </items>
    </pivotField>
    <pivotField name="Sales $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>
    <field x="0"/>
    <field x="2"/>
    <field x="3"/>
  </rowFields>
  <colFields>
    <field x="-2"/>
  </colFields>
  <dataFields>
    <dataField name="Sum of Year" fld="1" baseField="0"/>
    <dataField name="Sum of Sales $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29"/>
    <col customWidth="1" min="4" max="4" width="22.0"/>
    <col customWidth="1" min="5" max="5" width="12.71"/>
    <col customWidth="1" min="6" max="6" width="12.0"/>
    <col customWidth="1" min="7" max="14" width="8.71"/>
    <col customWidth="1" min="15" max="15" width="54.43"/>
  </cols>
  <sheetData>
    <row r="1" ht="14.25" customHeight="1"/>
    <row r="2" ht="14.25" customHeight="1"/>
    <row r="3" ht="14.25" customHeight="1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I3" s="1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</row>
    <row r="4" ht="14.25" customHeight="1">
      <c r="B4" s="1">
        <v>1.0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I4" s="1">
        <v>20.0</v>
      </c>
      <c r="J4" s="1" t="s">
        <v>7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</row>
    <row r="5" ht="14.25" customHeight="1">
      <c r="B5" s="1">
        <v>2.0</v>
      </c>
      <c r="C5" s="3">
        <v>43835.0</v>
      </c>
      <c r="D5" s="4" t="s">
        <v>16</v>
      </c>
      <c r="E5" s="4" t="s">
        <v>17</v>
      </c>
      <c r="F5" s="4" t="s">
        <v>18</v>
      </c>
      <c r="G5" s="4">
        <v>7.0</v>
      </c>
      <c r="I5" s="1">
        <v>21.0</v>
      </c>
      <c r="J5" s="4" t="s">
        <v>16</v>
      </c>
      <c r="K5" s="4">
        <f>COUNTIF(D5:D16, "SHAVING")</f>
        <v>7</v>
      </c>
      <c r="L5" s="4">
        <f>SUMIF(D5:D16, "SHAVING", G5:G16)</f>
        <v>59</v>
      </c>
      <c r="M5" s="4">
        <f>COUNTIFS(F5:F16,"CASH",D5:D16, "SHAVING")</f>
        <v>4</v>
      </c>
      <c r="N5" s="4">
        <f>COUNTIFS(F5:F16, "CREDIT CARD", D5:D16, "SHAVING")</f>
        <v>3</v>
      </c>
      <c r="O5" s="4">
        <f>SUMIFS(G5:G16, F5:F16,"CASH",D5:D16,"SHAVING")</f>
        <v>28</v>
      </c>
    </row>
    <row r="6" ht="14.25" customHeight="1">
      <c r="B6" s="1">
        <v>3.0</v>
      </c>
      <c r="C6" s="3">
        <v>43835.0</v>
      </c>
      <c r="D6" s="4" t="s">
        <v>16</v>
      </c>
      <c r="E6" s="4" t="s">
        <v>19</v>
      </c>
      <c r="F6" s="4" t="s">
        <v>20</v>
      </c>
      <c r="G6" s="4">
        <v>7.0</v>
      </c>
      <c r="I6" s="1">
        <v>22.0</v>
      </c>
      <c r="J6" s="5" t="s">
        <v>21</v>
      </c>
      <c r="K6" s="4">
        <f>COUNTIF(D5:D16, "WASHING AND COMBING")</f>
        <v>1</v>
      </c>
      <c r="L6" s="4">
        <f>SUMIF(D5:D16, "WASHING AND COMBING", G5:G16)</f>
        <v>60</v>
      </c>
      <c r="M6" s="4">
        <f>COUNTIFS(F5:F16,"CASH",D5:D16, "WASHING AND COMBING")</f>
        <v>1</v>
      </c>
      <c r="N6" s="4">
        <f>COUNTIFS(F5:F16, "CREDIT CARD", D5:D16, "WASHING AND COMBING")</f>
        <v>0</v>
      </c>
      <c r="O6" s="4">
        <f>SUMIFS(G5:G16, F5:F16,"CASH",D5:D16,"WASHING AND COMBING")</f>
        <v>60</v>
      </c>
    </row>
    <row r="7" ht="14.25" customHeight="1">
      <c r="B7" s="1">
        <v>4.0</v>
      </c>
      <c r="C7" s="3">
        <v>43835.0</v>
      </c>
      <c r="D7" s="4" t="s">
        <v>16</v>
      </c>
      <c r="E7" s="4" t="s">
        <v>22</v>
      </c>
      <c r="F7" s="4" t="s">
        <v>18</v>
      </c>
      <c r="G7" s="4">
        <v>7.0</v>
      </c>
      <c r="I7" s="1">
        <v>23.0</v>
      </c>
      <c r="J7" s="4" t="s">
        <v>23</v>
      </c>
      <c r="K7" s="4">
        <f>COUNTIF(D5:D16, "DYEING")</f>
        <v>1</v>
      </c>
      <c r="L7" s="4">
        <f>SUMIF(D5:D16, "DYEING", G5:G16)</f>
        <v>33</v>
      </c>
      <c r="M7" s="4">
        <f>COUNTIFS(F5:F16,"CASH",D5:D16, "DYEING")</f>
        <v>0</v>
      </c>
      <c r="N7" s="4">
        <f>COUNTIFS(F5:F16, "CREDIT CARD", D5:D16, "DYEING")</f>
        <v>1</v>
      </c>
      <c r="O7" s="4">
        <f>SUMIFS(G5:G16, F5:F16,"CASH",D5:D16,"DYEING")</f>
        <v>0</v>
      </c>
    </row>
    <row r="8" ht="14.25" customHeight="1">
      <c r="B8" s="1">
        <v>5.0</v>
      </c>
      <c r="C8" s="3">
        <v>43835.0</v>
      </c>
      <c r="D8" s="4" t="s">
        <v>21</v>
      </c>
      <c r="E8" s="4" t="s">
        <v>24</v>
      </c>
      <c r="F8" s="4" t="s">
        <v>18</v>
      </c>
      <c r="G8" s="4">
        <v>60.0</v>
      </c>
      <c r="I8" s="1">
        <v>24.0</v>
      </c>
      <c r="J8" s="5" t="s">
        <v>25</v>
      </c>
      <c r="K8" s="4">
        <f>COUNTIF(D5:D16, "MEETING HAIRSTYLE")</f>
        <v>1</v>
      </c>
      <c r="L8" s="4">
        <f>SUMIF(D5:D16, "MEETING HAIRSTYLE", G5:G16)</f>
        <v>33</v>
      </c>
      <c r="M8" s="4">
        <f>COUNTIFS(F5:F16,"CASH",D5:D16, "MEETING HAIRSTYLE")</f>
        <v>1</v>
      </c>
      <c r="N8" s="4">
        <f>COUNTIFS(F5:F16, "CREDIT CARD", D5:D16, "MEETING HAIRSTYLE")</f>
        <v>0</v>
      </c>
      <c r="O8" s="4">
        <f>SUMIFS(G5:G16, F5:F16,"CASH",D5:D16,"MEETING HAIRSTYLE")</f>
        <v>33</v>
      </c>
    </row>
    <row r="9" ht="14.25" customHeight="1">
      <c r="B9" s="1">
        <v>6.0</v>
      </c>
      <c r="C9" s="3">
        <v>43835.0</v>
      </c>
      <c r="D9" s="4" t="s">
        <v>23</v>
      </c>
      <c r="E9" s="4" t="s">
        <v>24</v>
      </c>
      <c r="F9" s="4" t="s">
        <v>20</v>
      </c>
      <c r="G9" s="4">
        <v>33.0</v>
      </c>
    </row>
    <row r="10" ht="14.25" customHeight="1">
      <c r="B10" s="1">
        <v>7.0</v>
      </c>
      <c r="C10" s="3">
        <v>43835.0</v>
      </c>
      <c r="D10" s="4" t="s">
        <v>26</v>
      </c>
      <c r="E10" s="4" t="s">
        <v>27</v>
      </c>
      <c r="F10" s="4" t="s">
        <v>18</v>
      </c>
      <c r="G10" s="4">
        <v>67.0</v>
      </c>
      <c r="I10" s="1">
        <v>28.0</v>
      </c>
      <c r="J10" s="6" t="s">
        <v>8</v>
      </c>
      <c r="K10" s="6" t="s">
        <v>11</v>
      </c>
      <c r="L10" s="6" t="s">
        <v>12</v>
      </c>
      <c r="M10" s="6" t="s">
        <v>28</v>
      </c>
      <c r="N10" s="6" t="s">
        <v>29</v>
      </c>
      <c r="O10" s="7" t="s">
        <v>30</v>
      </c>
    </row>
    <row r="11" ht="14.25" customHeight="1">
      <c r="B11" s="1">
        <v>8.0</v>
      </c>
      <c r="C11" s="3">
        <v>43866.0</v>
      </c>
      <c r="D11" s="4" t="s">
        <v>25</v>
      </c>
      <c r="E11" s="4" t="s">
        <v>22</v>
      </c>
      <c r="F11" s="4" t="s">
        <v>18</v>
      </c>
      <c r="G11" s="4">
        <v>33.0</v>
      </c>
      <c r="I11" s="1">
        <v>29.0</v>
      </c>
      <c r="J11" s="4" t="s">
        <v>17</v>
      </c>
      <c r="K11" s="4">
        <f>COUNTIF(E5:E16, "JANE")</f>
        <v>1</v>
      </c>
      <c r="L11" s="4">
        <f>SUMIF(E5:E16, "JANE",G5:G16)</f>
        <v>7</v>
      </c>
      <c r="M11" s="4">
        <f>COUNTIFS(D5:D16, "SHAVING", E5:E16, "JANE")</f>
        <v>1</v>
      </c>
      <c r="N11" s="4">
        <f>COUNTIFS(D5:D16, "KIDS", E5:E16, "JANE")</f>
        <v>0</v>
      </c>
      <c r="O11" s="4">
        <f>SUMIFS(G5:G16,E5:E16,"JANE",D5:D16, "SHAVING")</f>
        <v>7</v>
      </c>
    </row>
    <row r="12" ht="14.25" customHeight="1">
      <c r="B12" s="1">
        <v>9.0</v>
      </c>
      <c r="C12" s="3">
        <v>43866.0</v>
      </c>
      <c r="D12" s="4" t="s">
        <v>16</v>
      </c>
      <c r="E12" s="4" t="s">
        <v>31</v>
      </c>
      <c r="F12" s="4" t="s">
        <v>18</v>
      </c>
      <c r="G12" s="4">
        <v>7.0</v>
      </c>
      <c r="I12" s="1">
        <v>30.0</v>
      </c>
      <c r="J12" s="5" t="s">
        <v>19</v>
      </c>
      <c r="K12" s="4">
        <f>COUNTIF(E5:E16, "MARTHA")</f>
        <v>1</v>
      </c>
      <c r="L12" s="4">
        <f>SUMIF(E5:E16, "MARTHA",G5:G16)</f>
        <v>7</v>
      </c>
      <c r="M12" s="4">
        <f>COUNTIFS(D5:D16, "SHAVING", E5:E16, "MARTHA")</f>
        <v>1</v>
      </c>
      <c r="N12" s="4">
        <f>COUNTIFS(D5:D16, "KIDS", E5:E16, "MARTHA")</f>
        <v>0</v>
      </c>
      <c r="O12" s="4">
        <f>SUMIFS(G5:G16,E5:E16,"MARTHA",D5:D16, "SHAVING")</f>
        <v>7</v>
      </c>
    </row>
    <row r="13" ht="14.25" customHeight="1">
      <c r="B13" s="1">
        <v>10.0</v>
      </c>
      <c r="C13" s="3">
        <v>43866.0</v>
      </c>
      <c r="D13" s="4" t="s">
        <v>16</v>
      </c>
      <c r="E13" s="4" t="s">
        <v>31</v>
      </c>
      <c r="F13" s="4" t="s">
        <v>20</v>
      </c>
      <c r="G13" s="4">
        <v>7.0</v>
      </c>
      <c r="I13" s="1">
        <v>31.0</v>
      </c>
      <c r="J13" s="4" t="s">
        <v>24</v>
      </c>
      <c r="K13" s="4">
        <f>COUNTIF(E5:E16, "ALEX")</f>
        <v>2</v>
      </c>
      <c r="L13" s="4">
        <f>SUMIF(E5:E16, "ALEX",G5:G16)</f>
        <v>93</v>
      </c>
      <c r="M13" s="4">
        <f>COUNTIFS(D5:D16, "SHAVING", E5:E16, "ALEX")</f>
        <v>0</v>
      </c>
      <c r="N13" s="4">
        <f>COUNTIFS(D5:D16, "KIDS", E5:E16, "ALEX")</f>
        <v>0</v>
      </c>
      <c r="O13" s="4">
        <f>SUMIFS(G5:G16,E5:E16,"ALEX",D5:D16, "SHAVING")</f>
        <v>0</v>
      </c>
    </row>
    <row r="14" ht="14.25" customHeight="1">
      <c r="B14" s="1">
        <v>11.0</v>
      </c>
      <c r="C14" s="3">
        <v>43866.0</v>
      </c>
      <c r="D14" s="4" t="s">
        <v>16</v>
      </c>
      <c r="E14" s="4" t="s">
        <v>32</v>
      </c>
      <c r="F14" s="4" t="s">
        <v>20</v>
      </c>
      <c r="G14" s="4">
        <v>17.0</v>
      </c>
    </row>
    <row r="15" ht="14.25" customHeight="1">
      <c r="B15" s="1">
        <v>12.0</v>
      </c>
      <c r="C15" s="3">
        <v>43866.0</v>
      </c>
      <c r="D15" s="4" t="s">
        <v>33</v>
      </c>
      <c r="E15" s="4" t="s">
        <v>31</v>
      </c>
      <c r="F15" s="4" t="s">
        <v>18</v>
      </c>
      <c r="G15" s="4">
        <v>3.0</v>
      </c>
    </row>
    <row r="16" ht="14.25" customHeight="1">
      <c r="B16" s="1">
        <v>13.0</v>
      </c>
      <c r="C16" s="3">
        <v>43866.0</v>
      </c>
      <c r="D16" s="4" t="s">
        <v>16</v>
      </c>
      <c r="E16" s="4" t="s">
        <v>22</v>
      </c>
      <c r="F16" s="4" t="s">
        <v>18</v>
      </c>
      <c r="G16" s="4">
        <v>7.0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3.86"/>
    <col customWidth="1" min="8" max="14" width="8.71"/>
  </cols>
  <sheetData>
    <row r="1" ht="14.25" customHeight="1"/>
    <row r="2" ht="14.25" customHeight="1"/>
    <row r="3" ht="14.25" customHeight="1">
      <c r="B3" s="8" t="s">
        <v>34</v>
      </c>
      <c r="J3" s="8" t="s">
        <v>35</v>
      </c>
    </row>
    <row r="4" ht="14.25" customHeight="1">
      <c r="B4" s="9"/>
      <c r="C4" s="10" t="s">
        <v>0</v>
      </c>
      <c r="D4" s="9" t="s">
        <v>1</v>
      </c>
      <c r="E4" s="9" t="s">
        <v>2</v>
      </c>
      <c r="F4" s="9" t="s">
        <v>3</v>
      </c>
      <c r="G4" s="9" t="s">
        <v>4</v>
      </c>
      <c r="J4" s="9">
        <v>1.0</v>
      </c>
      <c r="K4" s="11" t="s">
        <v>0</v>
      </c>
      <c r="L4" s="9" t="s">
        <v>1</v>
      </c>
      <c r="M4" s="11" t="s">
        <v>2</v>
      </c>
      <c r="N4" s="12"/>
    </row>
    <row r="5" ht="14.25" customHeight="1">
      <c r="B5" s="9">
        <v>1.0</v>
      </c>
      <c r="C5" s="13" t="s">
        <v>36</v>
      </c>
      <c r="D5" s="14" t="s">
        <v>37</v>
      </c>
      <c r="E5" s="15"/>
      <c r="F5" s="14" t="s">
        <v>38</v>
      </c>
      <c r="G5" s="14" t="s">
        <v>37</v>
      </c>
      <c r="J5" s="9">
        <v>2.0</v>
      </c>
      <c r="K5" s="9" t="s">
        <v>39</v>
      </c>
      <c r="L5" s="9" t="s">
        <v>40</v>
      </c>
      <c r="M5" s="9" t="s">
        <v>41</v>
      </c>
    </row>
    <row r="6" ht="14.25" customHeight="1">
      <c r="B6" s="9">
        <v>2.0</v>
      </c>
      <c r="C6" s="4">
        <v>-9.0</v>
      </c>
      <c r="D6" s="4" t="str">
        <f t="shared" ref="D6:D9" si="1">IF(C6&gt;0,"POSITIVE",IF(C6&lt;0,"NEGATIVE","NUTRAL"))</f>
        <v>NEGATIVE</v>
      </c>
      <c r="E6" s="16"/>
      <c r="F6" s="4">
        <v>2003.0</v>
      </c>
      <c r="G6" s="4" t="str">
        <f t="shared" ref="G6:G9" si="2">IF(MOD(F6,4)=0,"LEAP YEAR","NOT LEAP YEAR")</f>
        <v>NOT LEAP YEAR</v>
      </c>
      <c r="J6" s="9">
        <v>3.0</v>
      </c>
      <c r="K6" s="4">
        <v>54.0</v>
      </c>
      <c r="L6" s="4">
        <v>65.0</v>
      </c>
      <c r="M6" s="4">
        <f t="shared" ref="M6:M11" si="3">IF(K6&gt;L6,K6,IF(L6&gt;K6,L6,"EQUAL"))</f>
        <v>65</v>
      </c>
    </row>
    <row r="7" ht="14.25" customHeight="1">
      <c r="B7" s="9">
        <v>3.0</v>
      </c>
      <c r="C7" s="4">
        <v>-8.0</v>
      </c>
      <c r="D7" s="4" t="str">
        <f t="shared" si="1"/>
        <v>NEGATIVE</v>
      </c>
      <c r="E7" s="16"/>
      <c r="F7" s="4">
        <v>1989.0</v>
      </c>
      <c r="G7" s="4" t="str">
        <f t="shared" si="2"/>
        <v>NOT LEAP YEAR</v>
      </c>
      <c r="J7" s="9">
        <v>4.0</v>
      </c>
      <c r="K7" s="4">
        <v>65.0</v>
      </c>
      <c r="L7" s="4">
        <v>32.0</v>
      </c>
      <c r="M7" s="4">
        <f t="shared" si="3"/>
        <v>65</v>
      </c>
    </row>
    <row r="8" ht="14.25" customHeight="1">
      <c r="B8" s="9">
        <v>4.0</v>
      </c>
      <c r="C8" s="4">
        <v>6.0</v>
      </c>
      <c r="D8" s="4" t="str">
        <f t="shared" si="1"/>
        <v>POSITIVE</v>
      </c>
      <c r="E8" s="16"/>
      <c r="F8" s="4">
        <v>2000.0</v>
      </c>
      <c r="G8" s="4" t="str">
        <f t="shared" si="2"/>
        <v>LEAP YEAR</v>
      </c>
      <c r="J8" s="9">
        <v>5.0</v>
      </c>
      <c r="K8" s="4">
        <v>85.0</v>
      </c>
      <c r="L8" s="4">
        <v>99.0</v>
      </c>
      <c r="M8" s="4">
        <f t="shared" si="3"/>
        <v>99</v>
      </c>
    </row>
    <row r="9" ht="14.25" customHeight="1">
      <c r="B9" s="9">
        <v>5.0</v>
      </c>
      <c r="C9" s="4">
        <v>3.0</v>
      </c>
      <c r="D9" s="4" t="str">
        <f t="shared" si="1"/>
        <v>POSITIVE</v>
      </c>
      <c r="E9" s="17"/>
      <c r="F9" s="4">
        <v>2001.0</v>
      </c>
      <c r="G9" s="4" t="str">
        <f t="shared" si="2"/>
        <v>NOT LEAP YEAR</v>
      </c>
      <c r="J9" s="9">
        <v>6.0</v>
      </c>
      <c r="K9" s="4">
        <v>21.0</v>
      </c>
      <c r="L9" s="4">
        <v>56.0</v>
      </c>
      <c r="M9" s="4">
        <f t="shared" si="3"/>
        <v>56</v>
      </c>
    </row>
    <row r="10" ht="14.25" customHeight="1">
      <c r="J10" s="9">
        <v>7.0</v>
      </c>
      <c r="K10" s="4">
        <v>89.0</v>
      </c>
      <c r="L10" s="4">
        <v>75.0</v>
      </c>
      <c r="M10" s="4">
        <f t="shared" si="3"/>
        <v>89</v>
      </c>
    </row>
    <row r="11" ht="14.25" customHeight="1">
      <c r="J11" s="9">
        <v>8.0</v>
      </c>
      <c r="K11" s="4">
        <v>75.0</v>
      </c>
      <c r="L11" s="4">
        <v>75.0</v>
      </c>
      <c r="M11" s="4" t="str">
        <f t="shared" si="3"/>
        <v>EQUAL</v>
      </c>
    </row>
    <row r="12" ht="14.25" customHeight="1"/>
    <row r="13" ht="14.25" customHeight="1"/>
    <row r="14" ht="14.25" customHeight="1">
      <c r="B14" s="8" t="s">
        <v>42</v>
      </c>
      <c r="J14" s="8" t="s">
        <v>43</v>
      </c>
    </row>
    <row r="15" ht="14.25" customHeight="1">
      <c r="B15" s="9"/>
      <c r="C15" s="18" t="s">
        <v>0</v>
      </c>
      <c r="D15" s="18" t="s">
        <v>1</v>
      </c>
      <c r="E15" s="18" t="s">
        <v>2</v>
      </c>
      <c r="F15" s="18" t="s">
        <v>3</v>
      </c>
      <c r="J15" s="9"/>
      <c r="K15" s="9" t="s">
        <v>0</v>
      </c>
      <c r="L15" s="9" t="s">
        <v>1</v>
      </c>
      <c r="M15" s="9" t="s">
        <v>2</v>
      </c>
    </row>
    <row r="16" ht="14.25" customHeight="1">
      <c r="B16" s="9">
        <v>1.0</v>
      </c>
      <c r="C16" s="19" t="s">
        <v>39</v>
      </c>
      <c r="D16" s="19" t="s">
        <v>40</v>
      </c>
      <c r="E16" s="19" t="s">
        <v>44</v>
      </c>
      <c r="F16" s="19" t="s">
        <v>41</v>
      </c>
      <c r="J16" s="9">
        <v>1.0</v>
      </c>
      <c r="K16" s="14" t="s">
        <v>39</v>
      </c>
      <c r="L16" s="14" t="s">
        <v>40</v>
      </c>
      <c r="M16" s="14" t="s">
        <v>41</v>
      </c>
    </row>
    <row r="17" ht="14.25" customHeight="1">
      <c r="B17" s="9">
        <v>2.0</v>
      </c>
      <c r="C17" s="4">
        <v>99.0</v>
      </c>
      <c r="D17" s="4">
        <v>75.0</v>
      </c>
      <c r="E17" s="4">
        <v>22.0</v>
      </c>
      <c r="F17" s="4">
        <f t="shared" ref="F17:F23" si="4">IF(AND(C17&gt;D17,C17&gt;E17),C17,IF(AND(D17&gt;C17,D17&gt;E17),D17,IF(AND(E17&gt;C17,E17&gt;D17),E17,"EQUAL")))</f>
        <v>99</v>
      </c>
      <c r="J17" s="9">
        <v>2.0</v>
      </c>
      <c r="K17" s="4">
        <v>5.0</v>
      </c>
      <c r="L17" s="4">
        <v>65.0</v>
      </c>
      <c r="M17" s="4">
        <f t="shared" ref="M17:M22" si="5">IF(K17&gt;L17,K17+L17,IF(L17&gt;K17,L17-K17,K17*L17))</f>
        <v>60</v>
      </c>
    </row>
    <row r="18" ht="14.25" customHeight="1">
      <c r="B18" s="9">
        <v>3.0</v>
      </c>
      <c r="C18" s="4">
        <v>10.0</v>
      </c>
      <c r="D18" s="4">
        <v>88.0</v>
      </c>
      <c r="E18" s="4">
        <v>11.0</v>
      </c>
      <c r="F18" s="4">
        <f t="shared" si="4"/>
        <v>88</v>
      </c>
      <c r="J18" s="9">
        <v>3.0</v>
      </c>
      <c r="K18" s="4">
        <v>6.0</v>
      </c>
      <c r="L18" s="4">
        <v>3.0</v>
      </c>
      <c r="M18" s="4">
        <f t="shared" si="5"/>
        <v>9</v>
      </c>
    </row>
    <row r="19" ht="14.25" customHeight="1">
      <c r="B19" s="9">
        <v>4.0</v>
      </c>
      <c r="C19" s="4">
        <v>89.0</v>
      </c>
      <c r="D19" s="4">
        <v>77.0</v>
      </c>
      <c r="E19" s="4">
        <v>33.0</v>
      </c>
      <c r="F19" s="4">
        <f t="shared" si="4"/>
        <v>89</v>
      </c>
      <c r="J19" s="9">
        <v>4.0</v>
      </c>
      <c r="K19" s="4">
        <v>85.0</v>
      </c>
      <c r="L19" s="4">
        <v>99.0</v>
      </c>
      <c r="M19" s="4">
        <f t="shared" si="5"/>
        <v>14</v>
      </c>
    </row>
    <row r="20" ht="14.25" customHeight="1">
      <c r="B20" s="9">
        <v>5.0</v>
      </c>
      <c r="C20" s="4">
        <v>58.0</v>
      </c>
      <c r="D20" s="4">
        <v>99.0</v>
      </c>
      <c r="E20" s="4">
        <v>77.0</v>
      </c>
      <c r="F20" s="4">
        <f t="shared" si="4"/>
        <v>99</v>
      </c>
      <c r="J20" s="9">
        <v>5.0</v>
      </c>
      <c r="K20" s="4">
        <v>21.0</v>
      </c>
      <c r="L20" s="4">
        <v>56.0</v>
      </c>
      <c r="M20" s="4">
        <f t="shared" si="5"/>
        <v>35</v>
      </c>
    </row>
    <row r="21" ht="14.25" customHeight="1">
      <c r="B21" s="9">
        <v>6.0</v>
      </c>
      <c r="C21" s="4">
        <v>85.0</v>
      </c>
      <c r="D21" s="4">
        <v>85.0</v>
      </c>
      <c r="E21" s="4">
        <v>85.0</v>
      </c>
      <c r="F21" s="4" t="str">
        <f t="shared" si="4"/>
        <v>EQUAL</v>
      </c>
      <c r="J21" s="9">
        <v>6.0</v>
      </c>
      <c r="K21" s="4">
        <v>8.0</v>
      </c>
      <c r="L21" s="4">
        <v>8.0</v>
      </c>
      <c r="M21" s="4">
        <f t="shared" si="5"/>
        <v>64</v>
      </c>
    </row>
    <row r="22" ht="14.25" customHeight="1">
      <c r="B22" s="9">
        <v>7.0</v>
      </c>
      <c r="C22" s="4">
        <v>65.0</v>
      </c>
      <c r="D22" s="4">
        <v>68.0</v>
      </c>
      <c r="E22" s="4">
        <v>65.0</v>
      </c>
      <c r="F22" s="4">
        <f t="shared" si="4"/>
        <v>68</v>
      </c>
      <c r="J22" s="9">
        <v>7.0</v>
      </c>
      <c r="K22" s="4">
        <v>75.0</v>
      </c>
      <c r="L22" s="4">
        <v>75.0</v>
      </c>
      <c r="M22" s="4">
        <f t="shared" si="5"/>
        <v>5625</v>
      </c>
    </row>
    <row r="23" ht="14.25" customHeight="1">
      <c r="B23" s="9">
        <v>8.0</v>
      </c>
      <c r="C23" s="4">
        <v>45.0</v>
      </c>
      <c r="D23" s="4">
        <v>45.0</v>
      </c>
      <c r="E23" s="4">
        <v>45.0</v>
      </c>
      <c r="F23" s="4" t="str">
        <f t="shared" si="4"/>
        <v>EQUAL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5:E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1.29"/>
    <col customWidth="1" min="3" max="3" width="8.71"/>
    <col customWidth="1" min="4" max="4" width="11.14"/>
    <col customWidth="1" min="5" max="5" width="8.71"/>
    <col customWidth="1" min="6" max="6" width="14.43"/>
    <col customWidth="1" min="7" max="9" width="8.71"/>
    <col customWidth="1" min="10" max="10" width="11.86"/>
    <col customWidth="1" min="11" max="11" width="8.71"/>
    <col customWidth="1" min="12" max="12" width="15.14"/>
    <col customWidth="1" min="13" max="13" width="9.57"/>
    <col customWidth="1" min="14" max="14" width="15.71"/>
    <col customWidth="1" min="15" max="17" width="8.71"/>
    <col customWidth="1" min="18" max="18" width="9.29"/>
    <col customWidth="1" min="19" max="20" width="8.71"/>
    <col customWidth="1" min="21" max="21" width="15.43"/>
    <col customWidth="1" min="22" max="24" width="8.71"/>
  </cols>
  <sheetData>
    <row r="1" ht="14.25" customHeight="1">
      <c r="A1" s="20" t="s">
        <v>45</v>
      </c>
      <c r="B1" s="21"/>
      <c r="C1" s="21"/>
      <c r="D1" s="22"/>
      <c r="E1" s="23">
        <v>1.0</v>
      </c>
      <c r="F1" s="24" t="s">
        <v>46</v>
      </c>
      <c r="G1" s="25"/>
      <c r="K1" s="26">
        <v>2.0</v>
      </c>
      <c r="L1" s="27" t="s">
        <v>47</v>
      </c>
      <c r="M1" s="28"/>
      <c r="N1" s="28"/>
      <c r="O1" s="28"/>
      <c r="P1" s="28"/>
      <c r="Q1" s="28"/>
      <c r="R1" s="28"/>
    </row>
    <row r="2" ht="14.25" customHeight="1">
      <c r="A2" s="29"/>
      <c r="B2" s="21"/>
      <c r="C2" s="21"/>
      <c r="D2" s="22"/>
      <c r="E2" s="30"/>
      <c r="F2" s="7" t="s">
        <v>48</v>
      </c>
      <c r="G2" s="31" t="s">
        <v>49</v>
      </c>
      <c r="H2" s="31" t="s">
        <v>50</v>
      </c>
      <c r="I2" s="31" t="s">
        <v>51</v>
      </c>
      <c r="J2" s="31" t="s">
        <v>52</v>
      </c>
      <c r="L2" s="32">
        <v>3.0</v>
      </c>
      <c r="M2" s="33" t="s">
        <v>53</v>
      </c>
      <c r="N2" s="21"/>
      <c r="O2" s="21"/>
      <c r="P2" s="21"/>
      <c r="Q2" s="21"/>
      <c r="R2" s="34"/>
      <c r="S2" s="35" t="s">
        <v>54</v>
      </c>
      <c r="T2" s="35" t="s">
        <v>55</v>
      </c>
      <c r="U2" s="35" t="s">
        <v>56</v>
      </c>
      <c r="V2" s="35" t="s">
        <v>57</v>
      </c>
    </row>
    <row r="3" ht="14.25" customHeight="1">
      <c r="A3" s="36" t="s">
        <v>58</v>
      </c>
      <c r="B3" s="36" t="s">
        <v>36</v>
      </c>
      <c r="C3" s="36" t="s">
        <v>59</v>
      </c>
      <c r="D3" s="36" t="s">
        <v>60</v>
      </c>
      <c r="E3" s="30"/>
      <c r="F3" s="36" t="s">
        <v>61</v>
      </c>
      <c r="G3" s="37">
        <v>8.0</v>
      </c>
      <c r="H3" s="37">
        <v>11.0</v>
      </c>
      <c r="I3" s="37">
        <v>3.0</v>
      </c>
      <c r="J3" s="38">
        <f t="shared" ref="J3:J8" si="1">SUM(G3:I3)</f>
        <v>22</v>
      </c>
      <c r="L3" s="16"/>
      <c r="M3" s="39">
        <v>1.0</v>
      </c>
      <c r="N3" s="7">
        <v>2.0</v>
      </c>
      <c r="O3" s="7">
        <v>3.0</v>
      </c>
      <c r="P3" s="7">
        <v>4.0</v>
      </c>
      <c r="Q3" s="7">
        <v>5.0</v>
      </c>
      <c r="R3" s="40">
        <v>6.0</v>
      </c>
      <c r="S3" s="16"/>
      <c r="T3" s="16"/>
      <c r="U3" s="16"/>
      <c r="V3" s="16"/>
    </row>
    <row r="4" ht="14.25" customHeight="1">
      <c r="A4" s="41"/>
      <c r="B4" s="21"/>
      <c r="C4" s="21"/>
      <c r="D4" s="22"/>
      <c r="E4" s="30"/>
      <c r="F4" s="36" t="s">
        <v>62</v>
      </c>
      <c r="G4" s="37">
        <v>12.0</v>
      </c>
      <c r="H4" s="37">
        <v>22.0</v>
      </c>
      <c r="I4" s="37">
        <v>6.0</v>
      </c>
      <c r="J4" s="38">
        <f t="shared" si="1"/>
        <v>40</v>
      </c>
      <c r="L4" s="16"/>
      <c r="M4" s="42" t="s">
        <v>63</v>
      </c>
      <c r="N4" s="43"/>
      <c r="O4" s="43"/>
      <c r="P4" s="43"/>
      <c r="Q4" s="43"/>
      <c r="R4" s="43"/>
      <c r="S4" s="16"/>
      <c r="T4" s="16"/>
      <c r="U4" s="16"/>
      <c r="V4" s="16"/>
    </row>
    <row r="5" ht="14.25" customHeight="1">
      <c r="A5" s="44" t="s">
        <v>64</v>
      </c>
      <c r="B5" s="45">
        <v>20.0</v>
      </c>
      <c r="C5" s="45">
        <v>3.0</v>
      </c>
      <c r="D5" s="46">
        <f t="shared" ref="D5:D9" si="2">B5*C5</f>
        <v>60</v>
      </c>
      <c r="E5" s="30"/>
      <c r="F5" s="36" t="s">
        <v>65</v>
      </c>
      <c r="G5" s="37">
        <v>3.0</v>
      </c>
      <c r="H5" s="37">
        <v>9.0</v>
      </c>
      <c r="I5" s="37">
        <v>18.0</v>
      </c>
      <c r="J5" s="38">
        <f t="shared" si="1"/>
        <v>30</v>
      </c>
      <c r="L5" s="17"/>
      <c r="M5" s="47" t="s">
        <v>66</v>
      </c>
      <c r="N5" s="48" t="s">
        <v>67</v>
      </c>
      <c r="O5" s="48" t="s">
        <v>68</v>
      </c>
      <c r="P5" s="48" t="s">
        <v>69</v>
      </c>
      <c r="Q5" s="48" t="s">
        <v>70</v>
      </c>
      <c r="R5" s="49" t="s">
        <v>71</v>
      </c>
      <c r="S5" s="17"/>
      <c r="T5" s="17"/>
      <c r="U5" s="17"/>
      <c r="V5" s="17"/>
    </row>
    <row r="6" ht="14.25" customHeight="1">
      <c r="A6" s="44" t="s">
        <v>72</v>
      </c>
      <c r="B6" s="45">
        <v>1.0</v>
      </c>
      <c r="C6" s="45">
        <v>60.0</v>
      </c>
      <c r="D6" s="46">
        <f t="shared" si="2"/>
        <v>60</v>
      </c>
      <c r="E6" s="30"/>
      <c r="F6" s="36" t="s">
        <v>73</v>
      </c>
      <c r="G6" s="37">
        <v>18.0</v>
      </c>
      <c r="H6" s="37">
        <v>16.0</v>
      </c>
      <c r="I6" s="37">
        <v>5.0</v>
      </c>
      <c r="J6" s="38">
        <f t="shared" si="1"/>
        <v>39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4.25" customHeight="1">
      <c r="A7" s="44" t="s">
        <v>74</v>
      </c>
      <c r="B7" s="45">
        <v>20.0</v>
      </c>
      <c r="C7" s="45">
        <v>1.0</v>
      </c>
      <c r="D7" s="46">
        <f t="shared" si="2"/>
        <v>20</v>
      </c>
      <c r="E7" s="30"/>
      <c r="F7" s="36" t="s">
        <v>75</v>
      </c>
      <c r="G7" s="37">
        <v>9.0</v>
      </c>
      <c r="H7" s="37">
        <v>12.0</v>
      </c>
      <c r="I7" s="37">
        <v>11.0</v>
      </c>
      <c r="J7" s="38">
        <f t="shared" si="1"/>
        <v>32</v>
      </c>
      <c r="L7" s="44" t="s">
        <v>76</v>
      </c>
      <c r="M7" s="50">
        <v>18.0</v>
      </c>
      <c r="N7" s="50">
        <v>10.0</v>
      </c>
      <c r="O7" s="50">
        <v>15.0</v>
      </c>
      <c r="P7" s="50">
        <v>10.0</v>
      </c>
      <c r="Q7" s="50">
        <v>19.0</v>
      </c>
      <c r="R7" s="50">
        <v>16.0</v>
      </c>
      <c r="S7" s="51">
        <v>1.0</v>
      </c>
      <c r="T7" s="45">
        <f t="shared" ref="T7:T16" si="3">SUM(M7:R7)</f>
        <v>88</v>
      </c>
      <c r="U7" s="45">
        <f>M7*2</f>
        <v>36</v>
      </c>
      <c r="V7" s="46">
        <f t="shared" ref="V7:V16" si="4">SUM(T7:U7)</f>
        <v>124</v>
      </c>
    </row>
    <row r="8" ht="14.25" customHeight="1">
      <c r="A8" s="44" t="s">
        <v>77</v>
      </c>
      <c r="B8" s="45">
        <v>1.0</v>
      </c>
      <c r="C8" s="45">
        <v>10.0</v>
      </c>
      <c r="D8" s="46">
        <f t="shared" si="2"/>
        <v>10</v>
      </c>
      <c r="E8" s="30"/>
      <c r="F8" s="36" t="s">
        <v>78</v>
      </c>
      <c r="G8" s="37">
        <v>11.0</v>
      </c>
      <c r="H8" s="37">
        <v>15.0</v>
      </c>
      <c r="I8" s="37">
        <v>20.0</v>
      </c>
      <c r="J8" s="38">
        <f t="shared" si="1"/>
        <v>46</v>
      </c>
      <c r="L8" s="44" t="s">
        <v>79</v>
      </c>
      <c r="M8" s="50">
        <v>15.0</v>
      </c>
      <c r="N8" s="50">
        <v>8.0</v>
      </c>
      <c r="O8" s="50">
        <v>13.0</v>
      </c>
      <c r="P8" s="50">
        <v>5.0</v>
      </c>
      <c r="Q8" s="50">
        <v>17.0</v>
      </c>
      <c r="R8" s="50">
        <v>14.0</v>
      </c>
      <c r="S8" s="51">
        <v>2.0</v>
      </c>
      <c r="T8" s="45">
        <f t="shared" si="3"/>
        <v>72</v>
      </c>
      <c r="U8" s="45">
        <f t="shared" ref="U8:U9" si="5">SUM(M8:N8)*2</f>
        <v>46</v>
      </c>
      <c r="V8" s="46">
        <f t="shared" si="4"/>
        <v>118</v>
      </c>
    </row>
    <row r="9" ht="14.25" customHeight="1">
      <c r="A9" s="44" t="s">
        <v>80</v>
      </c>
      <c r="B9" s="45">
        <v>1.0</v>
      </c>
      <c r="C9" s="45">
        <v>15.0</v>
      </c>
      <c r="D9" s="46">
        <f t="shared" si="2"/>
        <v>15</v>
      </c>
      <c r="E9" s="30"/>
      <c r="L9" s="44" t="s">
        <v>81</v>
      </c>
      <c r="M9" s="50">
        <v>8.0</v>
      </c>
      <c r="N9" s="50">
        <v>10.0</v>
      </c>
      <c r="O9" s="50">
        <v>6.0</v>
      </c>
      <c r="P9" s="50">
        <v>12.0</v>
      </c>
      <c r="Q9" s="50">
        <v>9.0</v>
      </c>
      <c r="R9" s="50">
        <v>11.0</v>
      </c>
      <c r="S9" s="51">
        <v>2.0</v>
      </c>
      <c r="T9" s="45">
        <f t="shared" si="3"/>
        <v>56</v>
      </c>
      <c r="U9" s="45">
        <f t="shared" si="5"/>
        <v>36</v>
      </c>
      <c r="V9" s="46">
        <f t="shared" si="4"/>
        <v>92</v>
      </c>
    </row>
    <row r="10" ht="14.25" customHeight="1">
      <c r="C10" s="52" t="s">
        <v>82</v>
      </c>
      <c r="D10" s="46">
        <f>SUM(D5:D9)</f>
        <v>165</v>
      </c>
      <c r="E10" s="30"/>
      <c r="L10" s="44" t="s">
        <v>83</v>
      </c>
      <c r="M10" s="50">
        <v>17.0</v>
      </c>
      <c r="N10" s="50">
        <v>15.0</v>
      </c>
      <c r="O10" s="50">
        <v>14.0</v>
      </c>
      <c r="P10" s="50">
        <v>17.0</v>
      </c>
      <c r="Q10" s="50">
        <v>19.0</v>
      </c>
      <c r="R10" s="50">
        <v>18.0</v>
      </c>
      <c r="S10" s="51">
        <v>4.0</v>
      </c>
      <c r="T10" s="45">
        <f t="shared" si="3"/>
        <v>100</v>
      </c>
      <c r="U10" s="45">
        <f t="shared" ref="U10:U12" si="6">SUM(M10:P10)*2</f>
        <v>126</v>
      </c>
      <c r="V10" s="46">
        <f t="shared" si="4"/>
        <v>226</v>
      </c>
    </row>
    <row r="11" ht="14.25" customHeight="1">
      <c r="C11" s="52" t="s">
        <v>84</v>
      </c>
      <c r="D11" s="50">
        <f>D10/20</f>
        <v>8.25</v>
      </c>
      <c r="E11" s="30"/>
      <c r="L11" s="44" t="s">
        <v>85</v>
      </c>
      <c r="M11" s="50">
        <v>12.0</v>
      </c>
      <c r="N11" s="50">
        <v>15.0</v>
      </c>
      <c r="O11" s="50">
        <v>10.0</v>
      </c>
      <c r="P11" s="50">
        <v>13.0</v>
      </c>
      <c r="Q11" s="50">
        <v>10.0</v>
      </c>
      <c r="R11" s="50">
        <v>18.0</v>
      </c>
      <c r="S11" s="51">
        <v>4.0</v>
      </c>
      <c r="T11" s="45">
        <f t="shared" si="3"/>
        <v>78</v>
      </c>
      <c r="U11" s="45">
        <f t="shared" si="6"/>
        <v>100</v>
      </c>
      <c r="V11" s="46">
        <f t="shared" si="4"/>
        <v>178</v>
      </c>
    </row>
    <row r="12" ht="14.25" customHeight="1">
      <c r="L12" s="44" t="s">
        <v>86</v>
      </c>
      <c r="M12" s="50">
        <v>7.0</v>
      </c>
      <c r="N12" s="50">
        <v>9.0</v>
      </c>
      <c r="O12" s="50">
        <v>6.0</v>
      </c>
      <c r="P12" s="50">
        <v>6.0</v>
      </c>
      <c r="Q12" s="50">
        <v>10.0</v>
      </c>
      <c r="R12" s="50">
        <v>11.0</v>
      </c>
      <c r="S12" s="51">
        <v>4.0</v>
      </c>
      <c r="T12" s="45">
        <f t="shared" si="3"/>
        <v>49</v>
      </c>
      <c r="U12" s="45">
        <f t="shared" si="6"/>
        <v>56</v>
      </c>
      <c r="V12" s="46">
        <f t="shared" si="4"/>
        <v>105</v>
      </c>
    </row>
    <row r="13" ht="14.25" customHeight="1">
      <c r="L13" s="44" t="s">
        <v>87</v>
      </c>
      <c r="M13" s="50">
        <v>12.0</v>
      </c>
      <c r="N13" s="50">
        <v>14.0</v>
      </c>
      <c r="O13" s="50">
        <v>13.0</v>
      </c>
      <c r="P13" s="50">
        <v>15.0</v>
      </c>
      <c r="Q13" s="50">
        <v>13.0</v>
      </c>
      <c r="R13" s="50">
        <v>16.0</v>
      </c>
      <c r="S13" s="51">
        <v>6.0</v>
      </c>
      <c r="T13" s="45">
        <f t="shared" si="3"/>
        <v>83</v>
      </c>
      <c r="U13" s="45">
        <f>SUM(M13:R13)*2</f>
        <v>166</v>
      </c>
      <c r="V13" s="46">
        <f t="shared" si="4"/>
        <v>249</v>
      </c>
    </row>
    <row r="14" ht="14.25" customHeight="1">
      <c r="L14" s="44" t="s">
        <v>88</v>
      </c>
      <c r="M14" s="50">
        <v>19.0</v>
      </c>
      <c r="N14" s="50">
        <v>17.0</v>
      </c>
      <c r="O14" s="50">
        <v>14.0</v>
      </c>
      <c r="P14" s="50">
        <v>18.0</v>
      </c>
      <c r="Q14" s="50">
        <v>13.0</v>
      </c>
      <c r="R14" s="50">
        <v>15.0</v>
      </c>
      <c r="S14" s="51">
        <v>1.0</v>
      </c>
      <c r="T14" s="45">
        <f t="shared" si="3"/>
        <v>96</v>
      </c>
      <c r="U14" s="45">
        <f>M14*2</f>
        <v>38</v>
      </c>
      <c r="V14" s="46">
        <f t="shared" si="4"/>
        <v>134</v>
      </c>
    </row>
    <row r="15" ht="14.25" customHeight="1">
      <c r="L15" s="44" t="s">
        <v>89</v>
      </c>
      <c r="M15" s="50">
        <v>12.0</v>
      </c>
      <c r="N15" s="50">
        <v>13.0</v>
      </c>
      <c r="O15" s="50">
        <v>16.0</v>
      </c>
      <c r="P15" s="50">
        <v>17.0</v>
      </c>
      <c r="Q15" s="50">
        <v>12.0</v>
      </c>
      <c r="R15" s="50">
        <v>19.0</v>
      </c>
      <c r="S15" s="51">
        <v>6.0</v>
      </c>
      <c r="T15" s="45">
        <f t="shared" si="3"/>
        <v>89</v>
      </c>
      <c r="U15" s="45">
        <f>SUM(M15:R15)*2</f>
        <v>178</v>
      </c>
      <c r="V15" s="46">
        <f t="shared" si="4"/>
        <v>267</v>
      </c>
    </row>
    <row r="16" ht="14.25" customHeight="1">
      <c r="L16" s="44" t="s">
        <v>90</v>
      </c>
      <c r="M16" s="50">
        <v>10.0</v>
      </c>
      <c r="N16" s="50">
        <v>11.0</v>
      </c>
      <c r="O16" s="50">
        <v>15.0</v>
      </c>
      <c r="P16" s="50">
        <v>12.0</v>
      </c>
      <c r="Q16" s="50">
        <v>11.0</v>
      </c>
      <c r="R16" s="50">
        <v>12.0</v>
      </c>
      <c r="S16" s="51">
        <v>4.0</v>
      </c>
      <c r="T16" s="45">
        <f t="shared" si="3"/>
        <v>71</v>
      </c>
      <c r="U16" s="45">
        <f>SUM(M16:P16)*2</f>
        <v>96</v>
      </c>
      <c r="V16" s="46">
        <f t="shared" si="4"/>
        <v>167</v>
      </c>
    </row>
    <row r="17" ht="14.25" customHeight="1">
      <c r="L17" s="53"/>
      <c r="M17" s="21"/>
      <c r="N17" s="21"/>
      <c r="O17" s="21"/>
      <c r="P17" s="21"/>
      <c r="Q17" s="21"/>
      <c r="R17" s="22"/>
      <c r="S17" s="54"/>
      <c r="T17" s="55"/>
      <c r="U17" s="53"/>
      <c r="V17" s="22"/>
    </row>
    <row r="18" ht="14.25" customHeight="1">
      <c r="L18" s="56" t="s">
        <v>91</v>
      </c>
      <c r="M18" s="57">
        <f t="shared" ref="M18:R18" si="7">AVERAGE(M7:M16)</f>
        <v>13</v>
      </c>
      <c r="N18" s="57">
        <f t="shared" si="7"/>
        <v>12.2</v>
      </c>
      <c r="O18" s="57">
        <f t="shared" si="7"/>
        <v>12.2</v>
      </c>
      <c r="P18" s="57">
        <f t="shared" si="7"/>
        <v>12.5</v>
      </c>
      <c r="Q18" s="57">
        <f t="shared" si="7"/>
        <v>13.3</v>
      </c>
      <c r="R18" s="57">
        <f t="shared" si="7"/>
        <v>15</v>
      </c>
      <c r="S18" s="58"/>
      <c r="T18" s="59"/>
      <c r="U18" s="60" t="s">
        <v>92</v>
      </c>
      <c r="V18" s="61">
        <f>MAX(V7:V16)</f>
        <v>267</v>
      </c>
    </row>
    <row r="19" ht="14.25" customHeight="1">
      <c r="U19" s="60" t="s">
        <v>93</v>
      </c>
      <c r="V19" s="61">
        <f>MIN(V7:V16)</f>
        <v>92</v>
      </c>
    </row>
    <row r="20" ht="14.25" customHeight="1">
      <c r="J20" s="62" t="s">
        <v>94</v>
      </c>
      <c r="K20" s="21"/>
      <c r="L20" s="21"/>
      <c r="M20" s="21"/>
      <c r="N20" s="22"/>
      <c r="O20" s="23">
        <v>5.0</v>
      </c>
    </row>
    <row r="21" ht="14.25" customHeight="1">
      <c r="A21" s="63" t="s">
        <v>95</v>
      </c>
      <c r="B21" s="21"/>
      <c r="C21" s="21"/>
      <c r="D21" s="21"/>
      <c r="E21" s="21"/>
      <c r="F21" s="21"/>
      <c r="G21" s="21"/>
      <c r="H21" s="22"/>
      <c r="I21" s="26">
        <v>4.0</v>
      </c>
      <c r="J21" s="37" t="s">
        <v>6</v>
      </c>
      <c r="K21" s="37" t="s">
        <v>96</v>
      </c>
      <c r="L21" s="37" t="s">
        <v>97</v>
      </c>
      <c r="M21" s="37" t="s">
        <v>98</v>
      </c>
      <c r="N21" s="37" t="s">
        <v>99</v>
      </c>
      <c r="O21" s="30"/>
    </row>
    <row r="22" ht="14.25" customHeight="1">
      <c r="A22" s="51" t="s">
        <v>100</v>
      </c>
      <c r="B22" s="51" t="s">
        <v>101</v>
      </c>
      <c r="C22" s="51" t="s">
        <v>62</v>
      </c>
      <c r="D22" s="51" t="s">
        <v>102</v>
      </c>
      <c r="E22" s="51" t="s">
        <v>103</v>
      </c>
      <c r="F22" s="51" t="s">
        <v>104</v>
      </c>
      <c r="G22" s="64" t="s">
        <v>105</v>
      </c>
      <c r="H22" s="64" t="s">
        <v>106</v>
      </c>
      <c r="J22" s="37" t="s">
        <v>107</v>
      </c>
      <c r="K22" s="51">
        <v>13.5</v>
      </c>
      <c r="L22" s="51">
        <v>11.0</v>
      </c>
      <c r="M22" s="51">
        <v>14.0</v>
      </c>
      <c r="N22" s="51">
        <v>15.75</v>
      </c>
      <c r="O22" s="30"/>
    </row>
    <row r="23" ht="14.25" customHeight="1">
      <c r="A23" s="65" t="s">
        <v>107</v>
      </c>
      <c r="B23" s="44">
        <v>2.4</v>
      </c>
      <c r="C23" s="44">
        <v>12.6</v>
      </c>
      <c r="D23" s="44">
        <v>24.0</v>
      </c>
      <c r="E23" s="44">
        <v>0.5</v>
      </c>
      <c r="F23" s="44">
        <v>18.0</v>
      </c>
      <c r="G23" s="50">
        <f t="shared" ref="G23:G27" si="8">MAX(B23:F23)</f>
        <v>24</v>
      </c>
      <c r="H23" s="50">
        <f t="shared" ref="H23:H27" si="9">MIN(B23:F23)</f>
        <v>0.5</v>
      </c>
      <c r="J23" s="37" t="s">
        <v>108</v>
      </c>
      <c r="K23" s="51">
        <v>7.65</v>
      </c>
      <c r="L23" s="51">
        <v>3.5</v>
      </c>
      <c r="M23" s="51">
        <v>14.0</v>
      </c>
      <c r="N23" s="51">
        <v>17.38</v>
      </c>
      <c r="O23" s="30"/>
    </row>
    <row r="24" ht="14.25" customHeight="1">
      <c r="A24" s="65" t="s">
        <v>108</v>
      </c>
      <c r="B24" s="44">
        <v>3.7</v>
      </c>
      <c r="C24" s="44">
        <v>13.2</v>
      </c>
      <c r="D24" s="44">
        <v>14.6</v>
      </c>
      <c r="E24" s="44">
        <v>0.96</v>
      </c>
      <c r="F24" s="44">
        <v>16.5</v>
      </c>
      <c r="G24" s="50">
        <f t="shared" si="8"/>
        <v>16.5</v>
      </c>
      <c r="H24" s="50">
        <f t="shared" si="9"/>
        <v>0.96</v>
      </c>
      <c r="J24" s="37" t="s">
        <v>109</v>
      </c>
      <c r="K24" s="51">
        <v>19.38</v>
      </c>
      <c r="L24" s="51">
        <v>3.45</v>
      </c>
      <c r="M24" s="51">
        <v>385.0</v>
      </c>
      <c r="N24" s="51">
        <v>20.75</v>
      </c>
      <c r="O24" s="30"/>
    </row>
    <row r="25" ht="14.25" customHeight="1">
      <c r="A25" s="65" t="s">
        <v>110</v>
      </c>
      <c r="B25" s="44">
        <v>1.6</v>
      </c>
      <c r="C25" s="44">
        <v>7.9</v>
      </c>
      <c r="D25" s="44">
        <v>18.0</v>
      </c>
      <c r="E25" s="44">
        <v>1.3</v>
      </c>
      <c r="F25" s="44">
        <v>17.0</v>
      </c>
      <c r="G25" s="50">
        <f t="shared" si="8"/>
        <v>18</v>
      </c>
      <c r="H25" s="50">
        <f t="shared" si="9"/>
        <v>1.3</v>
      </c>
      <c r="J25" s="37" t="s">
        <v>111</v>
      </c>
      <c r="K25" s="51">
        <v>9.23</v>
      </c>
      <c r="L25" s="51">
        <v>4.15</v>
      </c>
      <c r="M25" s="51">
        <v>14.0</v>
      </c>
      <c r="N25" s="51">
        <v>9.5</v>
      </c>
      <c r="O25" s="30"/>
    </row>
    <row r="26" ht="14.25" customHeight="1">
      <c r="A26" s="65" t="s">
        <v>111</v>
      </c>
      <c r="B26" s="44">
        <v>0.75</v>
      </c>
      <c r="C26" s="44">
        <v>6.4</v>
      </c>
      <c r="D26" s="44">
        <v>30.3</v>
      </c>
      <c r="E26" s="44">
        <v>4.1</v>
      </c>
      <c r="F26" s="44">
        <v>17.8</v>
      </c>
      <c r="G26" s="50">
        <f t="shared" si="8"/>
        <v>30.3</v>
      </c>
      <c r="H26" s="50">
        <f t="shared" si="9"/>
        <v>0.75</v>
      </c>
      <c r="J26" s="37" t="s">
        <v>112</v>
      </c>
      <c r="K26" s="51">
        <v>11.68</v>
      </c>
      <c r="L26" s="51">
        <v>2.17</v>
      </c>
      <c r="M26" s="51">
        <v>37.99</v>
      </c>
      <c r="N26" s="51">
        <v>12.45</v>
      </c>
      <c r="O26" s="30"/>
    </row>
    <row r="27" ht="14.25" customHeight="1">
      <c r="A27" s="65" t="s">
        <v>112</v>
      </c>
      <c r="B27" s="44">
        <v>4.9</v>
      </c>
      <c r="C27" s="44">
        <v>14.1</v>
      </c>
      <c r="D27" s="44">
        <v>31.7</v>
      </c>
      <c r="E27" s="44">
        <v>3.7</v>
      </c>
      <c r="F27" s="44">
        <v>16.4</v>
      </c>
      <c r="G27" s="50">
        <f t="shared" si="8"/>
        <v>31.7</v>
      </c>
      <c r="H27" s="50">
        <f t="shared" si="9"/>
        <v>3.7</v>
      </c>
      <c r="J27" s="66"/>
      <c r="K27" s="21"/>
      <c r="L27" s="21"/>
      <c r="M27" s="21"/>
      <c r="N27" s="22"/>
      <c r="O27" s="30"/>
    </row>
    <row r="28" ht="14.25" customHeight="1">
      <c r="A28" s="67"/>
      <c r="B28" s="21"/>
      <c r="C28" s="21"/>
      <c r="D28" s="21"/>
      <c r="E28" s="21"/>
      <c r="F28" s="22"/>
      <c r="G28" s="68"/>
      <c r="H28" s="69"/>
      <c r="J28" s="37" t="s">
        <v>82</v>
      </c>
      <c r="K28" s="46">
        <f t="shared" ref="K28:N28" si="10">SUM(K22:K26)</f>
        <v>61.44</v>
      </c>
      <c r="L28" s="46">
        <f t="shared" si="10"/>
        <v>24.27</v>
      </c>
      <c r="M28" s="46">
        <f t="shared" si="10"/>
        <v>464.99</v>
      </c>
      <c r="N28" s="46">
        <f t="shared" si="10"/>
        <v>75.83</v>
      </c>
      <c r="O28" s="30"/>
    </row>
    <row r="29" ht="14.25" customHeight="1">
      <c r="A29" s="46" t="s">
        <v>82</v>
      </c>
      <c r="B29" s="70">
        <f t="shared" ref="B29:F29" si="11">SUM(B23:B27)</f>
        <v>13.35</v>
      </c>
      <c r="C29" s="70">
        <f t="shared" si="11"/>
        <v>54.2</v>
      </c>
      <c r="D29" s="70">
        <f t="shared" si="11"/>
        <v>118.6</v>
      </c>
      <c r="E29" s="70">
        <f t="shared" si="11"/>
        <v>10.56</v>
      </c>
      <c r="F29" s="70">
        <f t="shared" si="11"/>
        <v>85.7</v>
      </c>
      <c r="G29" s="30"/>
      <c r="H29" s="71"/>
    </row>
    <row r="30" ht="14.25" customHeight="1">
      <c r="A30" s="72" t="s">
        <v>113</v>
      </c>
      <c r="B30" s="73">
        <f t="shared" ref="B30:F30" si="12">B29/5</f>
        <v>2.67</v>
      </c>
      <c r="C30" s="73">
        <f t="shared" si="12"/>
        <v>10.84</v>
      </c>
      <c r="D30" s="73">
        <f t="shared" si="12"/>
        <v>23.72</v>
      </c>
      <c r="E30" s="73">
        <f t="shared" si="12"/>
        <v>2.112</v>
      </c>
      <c r="F30" s="73">
        <f t="shared" si="12"/>
        <v>17.14</v>
      </c>
      <c r="G30" s="74"/>
      <c r="H30" s="75"/>
      <c r="S30" s="25"/>
    </row>
    <row r="31" ht="14.25" customHeight="1"/>
    <row r="32" ht="14.25" customHeight="1"/>
    <row r="33" ht="14.25" customHeight="1"/>
    <row r="34" ht="14.25" customHeight="1"/>
    <row r="35" ht="14.25" customHeight="1">
      <c r="A35" s="76" t="s">
        <v>114</v>
      </c>
      <c r="B35" s="43"/>
      <c r="C35" s="43"/>
      <c r="D35" s="43"/>
      <c r="E35" s="43"/>
      <c r="F35" s="43"/>
      <c r="G35" s="43"/>
      <c r="H35" s="43"/>
      <c r="I35" s="43"/>
      <c r="J35" s="55"/>
    </row>
    <row r="36" ht="14.25" customHeight="1">
      <c r="A36" s="58"/>
      <c r="B36" s="28"/>
      <c r="C36" s="28"/>
      <c r="D36" s="28"/>
      <c r="E36" s="28"/>
      <c r="F36" s="28"/>
      <c r="G36" s="28"/>
      <c r="H36" s="28"/>
      <c r="I36" s="28"/>
      <c r="J36" s="59"/>
    </row>
    <row r="37" ht="14.25" customHeight="1">
      <c r="A37" s="77" t="s">
        <v>115</v>
      </c>
      <c r="B37" s="77" t="s">
        <v>116</v>
      </c>
      <c r="C37" s="78" t="s">
        <v>117</v>
      </c>
      <c r="D37" s="78" t="s">
        <v>118</v>
      </c>
      <c r="E37" s="77" t="s">
        <v>119</v>
      </c>
      <c r="F37" s="77" t="s">
        <v>10</v>
      </c>
      <c r="G37" s="77" t="s">
        <v>120</v>
      </c>
      <c r="H37" s="77" t="s">
        <v>105</v>
      </c>
      <c r="I37" s="77" t="s">
        <v>121</v>
      </c>
      <c r="J37" s="77" t="s">
        <v>122</v>
      </c>
      <c r="N37" s="25"/>
    </row>
    <row r="38" ht="14.25" customHeight="1">
      <c r="A38" s="79">
        <v>45324.0</v>
      </c>
      <c r="B38" s="80" t="s">
        <v>123</v>
      </c>
      <c r="C38" s="80" t="s">
        <v>124</v>
      </c>
      <c r="D38" s="81">
        <v>45444.0</v>
      </c>
      <c r="E38" s="81">
        <v>45451.0</v>
      </c>
      <c r="F38" s="82">
        <v>209.0</v>
      </c>
      <c r="G38" s="83">
        <v>209.0</v>
      </c>
      <c r="H38" s="83">
        <v>5.0</v>
      </c>
      <c r="I38" s="73">
        <f t="shared" ref="I38:I43" si="13">F38/H38</f>
        <v>41.8</v>
      </c>
      <c r="J38" s="84" t="str">
        <f t="shared" ref="J38:J43" si="14">IF(F38=G38, "PAID IN FULL",IF(F38-G38,"BALANCE DUE"))</f>
        <v>PAID IN FULL</v>
      </c>
    </row>
    <row r="39" ht="14.25" customHeight="1">
      <c r="A39" s="79">
        <v>45347.0</v>
      </c>
      <c r="B39" s="80" t="s">
        <v>125</v>
      </c>
      <c r="C39" s="80" t="s">
        <v>126</v>
      </c>
      <c r="D39" s="81">
        <v>45458.0</v>
      </c>
      <c r="E39" s="81">
        <v>45465.0</v>
      </c>
      <c r="F39" s="82">
        <v>354.0</v>
      </c>
      <c r="G39" s="83">
        <v>100.0</v>
      </c>
      <c r="H39" s="83">
        <v>4.0</v>
      </c>
      <c r="I39" s="73">
        <f t="shared" si="13"/>
        <v>88.5</v>
      </c>
      <c r="J39" s="84" t="str">
        <f t="shared" si="14"/>
        <v>BALANCE DUE</v>
      </c>
    </row>
    <row r="40" ht="14.25" customHeight="1">
      <c r="A40" s="79">
        <v>45354.0</v>
      </c>
      <c r="B40" s="80" t="s">
        <v>127</v>
      </c>
      <c r="C40" s="80" t="s">
        <v>128</v>
      </c>
      <c r="D40" s="81">
        <v>45437.0</v>
      </c>
      <c r="E40" s="81">
        <v>45444.0</v>
      </c>
      <c r="F40" s="82">
        <v>567.0</v>
      </c>
      <c r="G40" s="83">
        <v>250.0</v>
      </c>
      <c r="H40" s="83">
        <v>6.0</v>
      </c>
      <c r="I40" s="73">
        <f t="shared" si="13"/>
        <v>94.5</v>
      </c>
      <c r="J40" s="84" t="str">
        <f t="shared" si="14"/>
        <v>BALANCE DUE</v>
      </c>
    </row>
    <row r="41" ht="14.25" customHeight="1">
      <c r="A41" s="79">
        <v>45366.0</v>
      </c>
      <c r="B41" s="80" t="s">
        <v>129</v>
      </c>
      <c r="C41" s="80" t="s">
        <v>130</v>
      </c>
      <c r="D41" s="81">
        <v>45458.0</v>
      </c>
      <c r="E41" s="81">
        <v>45465.0</v>
      </c>
      <c r="F41" s="82">
        <v>295.0</v>
      </c>
      <c r="G41" s="83">
        <v>248.0</v>
      </c>
      <c r="H41" s="83">
        <v>3.0</v>
      </c>
      <c r="I41" s="73">
        <f t="shared" si="13"/>
        <v>98.33333333</v>
      </c>
      <c r="J41" s="84" t="str">
        <f t="shared" si="14"/>
        <v>BALANCE DUE</v>
      </c>
    </row>
    <row r="42" ht="14.25" customHeight="1">
      <c r="A42" s="79">
        <v>45389.0</v>
      </c>
      <c r="B42" s="80" t="s">
        <v>131</v>
      </c>
      <c r="C42" s="80" t="s">
        <v>126</v>
      </c>
      <c r="D42" s="81">
        <v>45493.0</v>
      </c>
      <c r="E42" s="81">
        <v>45500.0</v>
      </c>
      <c r="F42" s="82">
        <v>422.0</v>
      </c>
      <c r="G42" s="83">
        <v>350.0</v>
      </c>
      <c r="H42" s="83">
        <v>4.0</v>
      </c>
      <c r="I42" s="73">
        <f t="shared" si="13"/>
        <v>105.5</v>
      </c>
      <c r="J42" s="84" t="str">
        <f t="shared" si="14"/>
        <v>BALANCE DUE</v>
      </c>
    </row>
    <row r="43" ht="14.25" customHeight="1">
      <c r="A43" s="79">
        <v>45398.0</v>
      </c>
      <c r="B43" s="80" t="s">
        <v>132</v>
      </c>
      <c r="C43" s="80" t="s">
        <v>133</v>
      </c>
      <c r="D43" s="81">
        <v>45430.0</v>
      </c>
      <c r="E43" s="81">
        <v>45468.0</v>
      </c>
      <c r="F43" s="82">
        <v>680.0</v>
      </c>
      <c r="G43" s="83">
        <v>300.0</v>
      </c>
      <c r="H43" s="83">
        <v>4.0</v>
      </c>
      <c r="I43" s="73">
        <f t="shared" si="13"/>
        <v>170</v>
      </c>
      <c r="J43" s="84" t="str">
        <f t="shared" si="14"/>
        <v>BALANCE DUE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M2:R2"/>
    <mergeCell ref="S2:S5"/>
    <mergeCell ref="T2:T5"/>
    <mergeCell ref="U2:U5"/>
    <mergeCell ref="V2:V5"/>
    <mergeCell ref="M4:R4"/>
    <mergeCell ref="A21:H21"/>
    <mergeCell ref="A28:F28"/>
    <mergeCell ref="G28:H30"/>
    <mergeCell ref="A35:J36"/>
    <mergeCell ref="A1:D1"/>
    <mergeCell ref="E1:E11"/>
    <mergeCell ref="G1:J1"/>
    <mergeCell ref="K1:K8"/>
    <mergeCell ref="L1:R1"/>
    <mergeCell ref="A2:D2"/>
    <mergeCell ref="A4:D4"/>
    <mergeCell ref="J27:N27"/>
    <mergeCell ref="S30:X32"/>
    <mergeCell ref="N37:P37"/>
    <mergeCell ref="L2:L5"/>
    <mergeCell ref="L17:R17"/>
    <mergeCell ref="S17:T18"/>
    <mergeCell ref="U17:V17"/>
    <mergeCell ref="J20:N20"/>
    <mergeCell ref="O20:O28"/>
    <mergeCell ref="I21:I3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0.29"/>
    <col customWidth="1" min="3" max="3" width="10.71"/>
    <col customWidth="1" min="4" max="5" width="10.43"/>
    <col customWidth="1" min="6" max="6" width="10.86"/>
  </cols>
  <sheetData>
    <row r="1" ht="14.25" customHeight="1">
      <c r="A1" s="50" t="s">
        <v>134</v>
      </c>
      <c r="B1" s="50" t="s">
        <v>135</v>
      </c>
      <c r="C1" s="50" t="s">
        <v>136</v>
      </c>
      <c r="D1" s="50" t="s">
        <v>137</v>
      </c>
      <c r="E1" s="50" t="s">
        <v>138</v>
      </c>
      <c r="F1" s="50" t="s">
        <v>139</v>
      </c>
    </row>
    <row r="2" ht="14.25" customHeight="1">
      <c r="A2" s="50"/>
      <c r="B2" s="44" t="s">
        <v>140</v>
      </c>
      <c r="C2" s="44" t="s">
        <v>141</v>
      </c>
      <c r="D2" s="44" t="s">
        <v>142</v>
      </c>
      <c r="E2" s="44" t="s">
        <v>143</v>
      </c>
      <c r="F2" s="44" t="s">
        <v>144</v>
      </c>
    </row>
    <row r="3" ht="14.25" customHeight="1">
      <c r="A3" s="50" t="s">
        <v>145</v>
      </c>
      <c r="B3" s="73">
        <v>254.0</v>
      </c>
      <c r="C3" s="73">
        <v>290.0</v>
      </c>
      <c r="D3" s="73">
        <v>198.0</v>
      </c>
      <c r="E3" s="73">
        <v>354.0</v>
      </c>
      <c r="F3" s="73">
        <f t="shared" ref="F3:F9" si="1">SUM(B3:E3)</f>
        <v>1096</v>
      </c>
    </row>
    <row r="4" ht="14.25" customHeight="1">
      <c r="A4" s="50" t="s">
        <v>146</v>
      </c>
      <c r="B4" s="73">
        <v>154.0</v>
      </c>
      <c r="C4" s="73">
        <v>184.0</v>
      </c>
      <c r="D4" s="73">
        <v>154.0</v>
      </c>
      <c r="E4" s="73">
        <v>290.0</v>
      </c>
      <c r="F4" s="73">
        <f t="shared" si="1"/>
        <v>782</v>
      </c>
    </row>
    <row r="5" ht="14.25" customHeight="1">
      <c r="A5" s="50" t="s">
        <v>147</v>
      </c>
      <c r="B5" s="73">
        <v>290.0</v>
      </c>
      <c r="C5" s="73">
        <v>320.0</v>
      </c>
      <c r="D5" s="73">
        <v>287.0</v>
      </c>
      <c r="E5" s="73">
        <v>456.0</v>
      </c>
      <c r="F5" s="73">
        <f t="shared" si="1"/>
        <v>1353</v>
      </c>
    </row>
    <row r="6" ht="14.25" customHeight="1">
      <c r="A6" s="50" t="s">
        <v>148</v>
      </c>
      <c r="B6" s="73">
        <v>345.0</v>
      </c>
      <c r="C6" s="73">
        <v>361.0</v>
      </c>
      <c r="D6" s="73">
        <v>258.0</v>
      </c>
      <c r="E6" s="73">
        <v>524.0</v>
      </c>
      <c r="F6" s="73">
        <f t="shared" si="1"/>
        <v>1488</v>
      </c>
    </row>
    <row r="7" ht="14.25" customHeight="1">
      <c r="A7" s="50" t="s">
        <v>149</v>
      </c>
      <c r="B7" s="73">
        <v>45.0</v>
      </c>
      <c r="C7" s="73">
        <v>52.0</v>
      </c>
      <c r="D7" s="73">
        <v>12.0</v>
      </c>
      <c r="E7" s="73">
        <v>98.0</v>
      </c>
      <c r="F7" s="73">
        <f t="shared" si="1"/>
        <v>207</v>
      </c>
    </row>
    <row r="8" ht="14.25" customHeight="1">
      <c r="A8" s="50" t="s">
        <v>150</v>
      </c>
      <c r="B8" s="73">
        <v>75.0</v>
      </c>
      <c r="C8" s="73">
        <v>125.0</v>
      </c>
      <c r="D8" s="73">
        <v>157.0</v>
      </c>
      <c r="E8" s="73">
        <v>185.0</v>
      </c>
      <c r="F8" s="73">
        <f t="shared" si="1"/>
        <v>542</v>
      </c>
    </row>
    <row r="9" ht="14.25" customHeight="1">
      <c r="A9" s="50" t="s">
        <v>151</v>
      </c>
      <c r="B9" s="73">
        <v>26.0</v>
      </c>
      <c r="C9" s="73">
        <v>19.0</v>
      </c>
      <c r="D9" s="73">
        <v>15.0</v>
      </c>
      <c r="E9" s="73">
        <v>56.0</v>
      </c>
      <c r="F9" s="73">
        <f t="shared" si="1"/>
        <v>116</v>
      </c>
    </row>
    <row r="10" ht="14.25" customHeight="1"/>
    <row r="11" ht="14.25" customHeight="1"/>
    <row r="12" ht="14.25" customHeight="1">
      <c r="A12" s="8"/>
      <c r="B12" s="8"/>
      <c r="C12" s="8"/>
      <c r="D12" s="8"/>
      <c r="E12" s="8"/>
      <c r="F12" s="8"/>
    </row>
    <row r="13" ht="14.25" customHeight="1">
      <c r="A13" s="8"/>
      <c r="B13" s="8"/>
      <c r="C13" s="8"/>
      <c r="D13" s="8"/>
      <c r="E13" s="8"/>
      <c r="F13" s="8"/>
    </row>
    <row r="14" ht="14.25" customHeight="1">
      <c r="A14" s="8"/>
      <c r="B14" s="8"/>
      <c r="C14" s="8"/>
      <c r="D14" s="8"/>
      <c r="E14" s="8"/>
      <c r="F14" s="8"/>
    </row>
    <row r="15" ht="14.25" customHeight="1">
      <c r="A15" s="8"/>
      <c r="B15" s="8"/>
      <c r="C15" s="8"/>
      <c r="D15" s="8"/>
      <c r="E15" s="8"/>
      <c r="F15" s="8"/>
    </row>
    <row r="16" ht="14.25" customHeight="1">
      <c r="A16" s="8"/>
      <c r="B16" s="8"/>
      <c r="C16" s="8"/>
      <c r="D16" s="8"/>
      <c r="E16" s="8"/>
      <c r="F16" s="8"/>
    </row>
    <row r="17" ht="14.25" customHeight="1">
      <c r="A17" s="8"/>
      <c r="B17" s="8"/>
      <c r="C17" s="8"/>
      <c r="D17" s="8"/>
      <c r="E17" s="8"/>
      <c r="F17" s="8"/>
    </row>
    <row r="18" ht="14.25" customHeight="1">
      <c r="A18" s="8"/>
      <c r="B18" s="8"/>
      <c r="C18" s="8"/>
      <c r="D18" s="8"/>
      <c r="E18" s="8"/>
      <c r="F18" s="8"/>
    </row>
    <row r="19" ht="14.25" customHeight="1">
      <c r="A19" s="8"/>
      <c r="B19" s="8"/>
      <c r="C19" s="8"/>
      <c r="D19" s="8"/>
      <c r="E19" s="8"/>
      <c r="F19" s="8"/>
    </row>
    <row r="20" ht="14.25" customHeight="1">
      <c r="A20" s="8"/>
      <c r="B20" s="8"/>
      <c r="C20" s="8"/>
      <c r="D20" s="8"/>
      <c r="E20" s="8"/>
      <c r="F20" s="8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29"/>
    <col customWidth="1" min="3" max="3" width="13.14"/>
    <col customWidth="1" min="4" max="5" width="12.71"/>
    <col customWidth="1" min="6" max="6" width="14.0"/>
  </cols>
  <sheetData>
    <row r="1" ht="14.25" customHeight="1">
      <c r="A1" s="50" t="s">
        <v>134</v>
      </c>
      <c r="B1" s="50" t="s">
        <v>152</v>
      </c>
      <c r="C1" s="50" t="s">
        <v>153</v>
      </c>
      <c r="D1" s="50" t="s">
        <v>154</v>
      </c>
      <c r="E1" s="50" t="s">
        <v>155</v>
      </c>
      <c r="F1" s="50" t="s">
        <v>156</v>
      </c>
    </row>
    <row r="2" ht="14.25" customHeight="1">
      <c r="A2" s="50"/>
      <c r="B2" s="44" t="s">
        <v>157</v>
      </c>
      <c r="C2" s="44" t="s">
        <v>158</v>
      </c>
      <c r="D2" s="44" t="s">
        <v>159</v>
      </c>
      <c r="E2" s="44" t="s">
        <v>160</v>
      </c>
      <c r="F2" s="44" t="s">
        <v>161</v>
      </c>
    </row>
    <row r="3" ht="14.25" customHeight="1">
      <c r="A3" s="50" t="s">
        <v>145</v>
      </c>
      <c r="B3" s="85">
        <v>154.0</v>
      </c>
      <c r="C3" s="85">
        <v>167.0</v>
      </c>
      <c r="D3" s="85">
        <v>142.0</v>
      </c>
      <c r="E3" s="85">
        <v>245.0</v>
      </c>
      <c r="F3" s="85">
        <f t="shared" ref="F3:F9" si="1">SUM(B3:E3)</f>
        <v>708</v>
      </c>
    </row>
    <row r="4" ht="14.25" customHeight="1">
      <c r="A4" s="50" t="s">
        <v>146</v>
      </c>
      <c r="B4" s="85">
        <v>165.0</v>
      </c>
      <c r="C4" s="85">
        <v>124.0</v>
      </c>
      <c r="D4" s="85">
        <v>225.0</v>
      </c>
      <c r="E4" s="85">
        <v>264.0</v>
      </c>
      <c r="F4" s="85">
        <f t="shared" si="1"/>
        <v>778</v>
      </c>
    </row>
    <row r="5" ht="14.25" customHeight="1">
      <c r="A5" s="50" t="s">
        <v>147</v>
      </c>
      <c r="B5" s="85">
        <v>187.0</v>
      </c>
      <c r="C5" s="85">
        <v>95.0</v>
      </c>
      <c r="D5" s="85">
        <v>254.0</v>
      </c>
      <c r="E5" s="85">
        <v>322.0</v>
      </c>
      <c r="F5" s="85">
        <f t="shared" si="1"/>
        <v>858</v>
      </c>
    </row>
    <row r="6" ht="14.25" customHeight="1">
      <c r="A6" s="50" t="s">
        <v>148</v>
      </c>
      <c r="B6" s="85">
        <v>201.0</v>
      </c>
      <c r="C6" s="85">
        <v>210.0</v>
      </c>
      <c r="D6" s="85">
        <v>342.0</v>
      </c>
      <c r="E6" s="85">
        <v>412.0</v>
      </c>
      <c r="F6" s="85">
        <f t="shared" si="1"/>
        <v>1165</v>
      </c>
    </row>
    <row r="7" ht="14.25" customHeight="1">
      <c r="A7" s="50" t="s">
        <v>149</v>
      </c>
      <c r="B7" s="85">
        <v>12.0</v>
      </c>
      <c r="C7" s="85">
        <v>21.0</v>
      </c>
      <c r="D7" s="85">
        <v>18.0</v>
      </c>
      <c r="E7" s="85">
        <v>54.0</v>
      </c>
      <c r="F7" s="85">
        <f t="shared" si="1"/>
        <v>105</v>
      </c>
    </row>
    <row r="8" ht="14.25" customHeight="1">
      <c r="A8" s="50" t="s">
        <v>150</v>
      </c>
      <c r="B8" s="85">
        <v>42.0</v>
      </c>
      <c r="C8" s="85">
        <v>34.0</v>
      </c>
      <c r="D8" s="85">
        <v>65.0</v>
      </c>
      <c r="E8" s="85">
        <v>102.0</v>
      </c>
      <c r="F8" s="85">
        <f t="shared" si="1"/>
        <v>243</v>
      </c>
    </row>
    <row r="9" ht="14.25" customHeight="1">
      <c r="A9" s="50" t="s">
        <v>151</v>
      </c>
      <c r="B9" s="85">
        <v>20.0</v>
      </c>
      <c r="C9" s="85">
        <v>16.0</v>
      </c>
      <c r="D9" s="85">
        <v>20.0</v>
      </c>
      <c r="E9" s="85">
        <v>45.0</v>
      </c>
      <c r="F9" s="85">
        <f t="shared" si="1"/>
        <v>101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2.29"/>
    <col customWidth="1" min="3" max="3" width="13.14"/>
    <col customWidth="1" min="4" max="5" width="12.71"/>
    <col customWidth="1" min="6" max="6" width="14.0"/>
  </cols>
  <sheetData>
    <row r="1" ht="14.25" customHeight="1">
      <c r="A1" s="50" t="s">
        <v>162</v>
      </c>
      <c r="B1" s="50" t="s">
        <v>152</v>
      </c>
      <c r="C1" s="50" t="s">
        <v>153</v>
      </c>
      <c r="D1" s="50" t="s">
        <v>154</v>
      </c>
      <c r="E1" s="50" t="s">
        <v>155</v>
      </c>
      <c r="F1" s="50" t="s">
        <v>156</v>
      </c>
    </row>
    <row r="2" ht="14.25" customHeight="1">
      <c r="A2" s="50"/>
      <c r="B2" s="86" t="s">
        <v>157</v>
      </c>
      <c r="C2" s="86" t="s">
        <v>158</v>
      </c>
      <c r="D2" s="86" t="s">
        <v>159</v>
      </c>
      <c r="E2" s="86" t="s">
        <v>160</v>
      </c>
      <c r="F2" s="86" t="s">
        <v>161</v>
      </c>
    </row>
    <row r="3" ht="14.25" customHeight="1">
      <c r="A3" s="50" t="s">
        <v>145</v>
      </c>
      <c r="B3" s="86">
        <f>East!B3+West!B3</f>
        <v>408</v>
      </c>
      <c r="C3" s="86">
        <f>East!C3+West!C3</f>
        <v>457</v>
      </c>
      <c r="D3" s="86">
        <f>East!D3+West!D3</f>
        <v>340</v>
      </c>
      <c r="E3" s="86">
        <f>East!E3+West!E3</f>
        <v>599</v>
      </c>
      <c r="F3" s="86">
        <f t="shared" ref="F3:F9" si="1">SUM(B3:E3)</f>
        <v>1804</v>
      </c>
    </row>
    <row r="4" ht="14.25" customHeight="1">
      <c r="A4" s="50" t="s">
        <v>146</v>
      </c>
      <c r="B4" s="86">
        <f>East!B4+West!B4</f>
        <v>319</v>
      </c>
      <c r="C4" s="86">
        <f>East!C4+West!C4</f>
        <v>308</v>
      </c>
      <c r="D4" s="86">
        <f>East!D4+West!D4</f>
        <v>379</v>
      </c>
      <c r="E4" s="86">
        <f>East!E4+West!E4</f>
        <v>554</v>
      </c>
      <c r="F4" s="86">
        <f t="shared" si="1"/>
        <v>1560</v>
      </c>
    </row>
    <row r="5" ht="14.25" customHeight="1">
      <c r="A5" s="50" t="s">
        <v>147</v>
      </c>
      <c r="B5" s="86">
        <f>East!B5+West!B5</f>
        <v>477</v>
      </c>
      <c r="C5" s="86">
        <f>East!C5+West!C5</f>
        <v>415</v>
      </c>
      <c r="D5" s="86">
        <f>East!D5+West!D5</f>
        <v>541</v>
      </c>
      <c r="E5" s="86">
        <f>East!E5+West!E5</f>
        <v>778</v>
      </c>
      <c r="F5" s="86">
        <f t="shared" si="1"/>
        <v>2211</v>
      </c>
    </row>
    <row r="6" ht="14.25" customHeight="1">
      <c r="A6" s="50" t="s">
        <v>148</v>
      </c>
      <c r="B6" s="86">
        <f>East!B6+West!B6</f>
        <v>546</v>
      </c>
      <c r="C6" s="86">
        <f>East!C6+West!C6</f>
        <v>571</v>
      </c>
      <c r="D6" s="86">
        <f>East!D6+West!D6</f>
        <v>600</v>
      </c>
      <c r="E6" s="86">
        <f>East!E6+West!E6</f>
        <v>936</v>
      </c>
      <c r="F6" s="86">
        <f t="shared" si="1"/>
        <v>2653</v>
      </c>
    </row>
    <row r="7" ht="14.25" customHeight="1">
      <c r="A7" s="50" t="s">
        <v>149</v>
      </c>
      <c r="B7" s="86">
        <f>East!B7+West!B7</f>
        <v>57</v>
      </c>
      <c r="C7" s="86">
        <f>East!C7+West!C7</f>
        <v>73</v>
      </c>
      <c r="D7" s="86">
        <f>East!D7+West!D7</f>
        <v>30</v>
      </c>
      <c r="E7" s="86">
        <f>East!E7+West!E7</f>
        <v>152</v>
      </c>
      <c r="F7" s="86">
        <f t="shared" si="1"/>
        <v>312</v>
      </c>
    </row>
    <row r="8" ht="14.25" customHeight="1">
      <c r="A8" s="50" t="s">
        <v>150</v>
      </c>
      <c r="B8" s="86">
        <f>East!B8+West!B8</f>
        <v>117</v>
      </c>
      <c r="C8" s="86">
        <f>East!C8+West!C8</f>
        <v>159</v>
      </c>
      <c r="D8" s="86">
        <f>East!D8+West!D8</f>
        <v>222</v>
      </c>
      <c r="E8" s="86">
        <f>East!E8+West!E8</f>
        <v>287</v>
      </c>
      <c r="F8" s="86">
        <f t="shared" si="1"/>
        <v>785</v>
      </c>
    </row>
    <row r="9" ht="14.25" customHeight="1">
      <c r="A9" s="50" t="s">
        <v>151</v>
      </c>
      <c r="B9" s="86">
        <f>East!B9+West!B9</f>
        <v>46</v>
      </c>
      <c r="C9" s="86">
        <f>East!C9+West!C9</f>
        <v>35</v>
      </c>
      <c r="D9" s="86">
        <f>East!D9+West!D9</f>
        <v>35</v>
      </c>
      <c r="E9" s="86">
        <f>East!E9+West!E9</f>
        <v>101</v>
      </c>
      <c r="F9" s="86">
        <f t="shared" si="1"/>
        <v>217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2.14"/>
    <col customWidth="1" min="3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1.57"/>
    <col customWidth="1" min="3" max="3" width="13.71"/>
    <col customWidth="1" min="4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28.71"/>
    <col customWidth="1" min="3" max="3" width="17.43"/>
    <col customWidth="1" min="4" max="4" width="21.71"/>
    <col customWidth="1" min="5" max="5" width="27.43"/>
    <col customWidth="1" min="6" max="6" width="16.29"/>
    <col customWidth="1" min="7" max="7" width="18.43"/>
    <col customWidth="1" min="8" max="8" width="10.43"/>
    <col customWidth="1" min="9" max="9" width="10.57"/>
    <col customWidth="1" min="10" max="10" width="12.57"/>
    <col customWidth="1" min="11" max="11" width="21.86"/>
    <col customWidth="1" min="12" max="12" width="15.71"/>
    <col customWidth="1" min="13" max="13" width="8.71"/>
    <col customWidth="1" min="14" max="14" width="19.71"/>
    <col customWidth="1" min="15" max="15" width="8.71"/>
    <col customWidth="1" min="16" max="16" width="36.0"/>
  </cols>
  <sheetData>
    <row r="1" ht="14.25" customHeight="1">
      <c r="A1" s="90" t="s">
        <v>218</v>
      </c>
      <c r="B1" s="91" t="s">
        <v>219</v>
      </c>
      <c r="C1" s="91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82</v>
      </c>
      <c r="I1" s="91" t="s">
        <v>113</v>
      </c>
      <c r="J1" s="91" t="s">
        <v>225</v>
      </c>
      <c r="K1" s="92"/>
      <c r="L1" s="93"/>
      <c r="M1" s="94"/>
      <c r="N1" s="95"/>
      <c r="O1" s="95"/>
    </row>
    <row r="2" ht="14.25" customHeight="1">
      <c r="A2" s="90" t="s">
        <v>226</v>
      </c>
      <c r="B2" s="73" t="s">
        <v>227</v>
      </c>
      <c r="C2" s="96">
        <v>20.0</v>
      </c>
      <c r="D2" s="96">
        <v>10.0</v>
      </c>
      <c r="E2" s="96">
        <v>14.0</v>
      </c>
      <c r="F2" s="96">
        <v>18.0</v>
      </c>
      <c r="G2" s="96">
        <v>15.0</v>
      </c>
      <c r="H2" s="46">
        <f t="shared" ref="H2:H11" si="1">SUM(C2:G2)</f>
        <v>77</v>
      </c>
      <c r="I2" s="86">
        <f t="shared" ref="I2:I11" si="2">AVERAGE(C2:G2)</f>
        <v>15.4</v>
      </c>
      <c r="J2" s="97" t="str">
        <f t="shared" ref="J2:J11" si="3">IF(I2&gt;15,"A","B")</f>
        <v>A</v>
      </c>
      <c r="K2" s="98"/>
      <c r="L2" s="86" t="s">
        <v>228</v>
      </c>
      <c r="M2" s="45">
        <f>COUNTIF(J2:J11, "A")</f>
        <v>6</v>
      </c>
      <c r="N2" s="99"/>
      <c r="O2" s="99"/>
    </row>
    <row r="3" ht="14.25" customHeight="1">
      <c r="A3" s="91">
        <v>2.0</v>
      </c>
      <c r="B3" s="73" t="s">
        <v>229</v>
      </c>
      <c r="C3" s="96">
        <v>21.0</v>
      </c>
      <c r="D3" s="96">
        <v>12.0</v>
      </c>
      <c r="E3" s="96">
        <v>14.0</v>
      </c>
      <c r="F3" s="96">
        <v>12.0</v>
      </c>
      <c r="G3" s="96">
        <v>18.0</v>
      </c>
      <c r="H3" s="46">
        <f t="shared" si="1"/>
        <v>77</v>
      </c>
      <c r="I3" s="86">
        <f t="shared" si="2"/>
        <v>15.4</v>
      </c>
      <c r="J3" s="97" t="str">
        <f t="shared" si="3"/>
        <v>A</v>
      </c>
      <c r="K3" s="98"/>
      <c r="L3" s="86" t="s">
        <v>230</v>
      </c>
      <c r="M3" s="45">
        <f>COUNTIF(J2:J11, "B")</f>
        <v>4</v>
      </c>
      <c r="N3" s="99"/>
      <c r="O3" s="99"/>
    </row>
    <row r="4" ht="14.25" customHeight="1">
      <c r="A4" s="91">
        <v>3.0</v>
      </c>
      <c r="B4" s="73" t="s">
        <v>231</v>
      </c>
      <c r="C4" s="96">
        <v>33.0</v>
      </c>
      <c r="D4" s="96">
        <v>15.0</v>
      </c>
      <c r="E4" s="96">
        <v>7.0</v>
      </c>
      <c r="F4" s="96">
        <v>14.0</v>
      </c>
      <c r="G4" s="96">
        <v>17.0</v>
      </c>
      <c r="H4" s="46">
        <f t="shared" si="1"/>
        <v>86</v>
      </c>
      <c r="I4" s="86">
        <f t="shared" si="2"/>
        <v>17.2</v>
      </c>
      <c r="J4" s="97" t="str">
        <f t="shared" si="3"/>
        <v>A</v>
      </c>
      <c r="K4" s="98"/>
      <c r="L4" s="100" t="s">
        <v>232</v>
      </c>
      <c r="M4" s="34"/>
      <c r="N4" s="99"/>
      <c r="O4" s="99"/>
    </row>
    <row r="5" ht="14.25" customHeight="1">
      <c r="A5" s="91">
        <v>4.0</v>
      </c>
      <c r="B5" s="73" t="s">
        <v>233</v>
      </c>
      <c r="C5" s="96">
        <v>15.0</v>
      </c>
      <c r="D5" s="96">
        <v>14.0</v>
      </c>
      <c r="E5" s="96">
        <v>8.0</v>
      </c>
      <c r="F5" s="96">
        <v>16.0</v>
      </c>
      <c r="G5" s="96">
        <v>20.0</v>
      </c>
      <c r="H5" s="46">
        <f t="shared" si="1"/>
        <v>73</v>
      </c>
      <c r="I5" s="86">
        <f t="shared" si="2"/>
        <v>14.6</v>
      </c>
      <c r="J5" s="97" t="str">
        <f t="shared" si="3"/>
        <v>B</v>
      </c>
      <c r="K5" s="98"/>
      <c r="L5" s="101" t="s">
        <v>234</v>
      </c>
      <c r="M5" s="102">
        <f>COUNTA(B2:B11)</f>
        <v>10</v>
      </c>
      <c r="N5" s="103"/>
      <c r="O5" s="99"/>
    </row>
    <row r="6" ht="14.25" customHeight="1">
      <c r="A6" s="91">
        <v>5.0</v>
      </c>
      <c r="B6" s="73" t="s">
        <v>235</v>
      </c>
      <c r="C6" s="96">
        <v>14.0</v>
      </c>
      <c r="D6" s="96">
        <v>17.0</v>
      </c>
      <c r="E6" s="96">
        <v>10.0</v>
      </c>
      <c r="F6" s="96">
        <v>13.0</v>
      </c>
      <c r="G6" s="96">
        <v>18.0</v>
      </c>
      <c r="H6" s="46">
        <f t="shared" si="1"/>
        <v>72</v>
      </c>
      <c r="I6" s="86">
        <f t="shared" si="2"/>
        <v>14.4</v>
      </c>
      <c r="J6" s="97" t="str">
        <f t="shared" si="3"/>
        <v>B</v>
      </c>
      <c r="K6" s="98"/>
      <c r="L6" s="104"/>
      <c r="M6" s="7" t="s">
        <v>236</v>
      </c>
      <c r="N6" s="7" t="s">
        <v>237</v>
      </c>
      <c r="O6" s="99"/>
    </row>
    <row r="7" ht="14.25" customHeight="1">
      <c r="A7" s="91">
        <v>6.0</v>
      </c>
      <c r="B7" s="73" t="s">
        <v>238</v>
      </c>
      <c r="C7" s="96">
        <v>16.0</v>
      </c>
      <c r="D7" s="96">
        <v>8.0</v>
      </c>
      <c r="E7" s="96">
        <v>20.0</v>
      </c>
      <c r="F7" s="96">
        <v>17.0</v>
      </c>
      <c r="G7" s="96">
        <v>15.0</v>
      </c>
      <c r="H7" s="46">
        <f t="shared" si="1"/>
        <v>76</v>
      </c>
      <c r="I7" s="86">
        <f t="shared" si="2"/>
        <v>15.2</v>
      </c>
      <c r="J7" s="97" t="str">
        <f t="shared" si="3"/>
        <v>A</v>
      </c>
      <c r="K7" s="98"/>
      <c r="L7" s="105" t="s">
        <v>220</v>
      </c>
      <c r="M7" s="7">
        <f>COUNTIF(C2:C11,"&gt;20")</f>
        <v>4</v>
      </c>
      <c r="N7" s="7">
        <f>COUNTIF(C2:C11,"&lt;15")</f>
        <v>1</v>
      </c>
      <c r="O7" s="99"/>
    </row>
    <row r="8" ht="14.25" customHeight="1">
      <c r="A8" s="91">
        <v>7.0</v>
      </c>
      <c r="B8" s="73" t="s">
        <v>239</v>
      </c>
      <c r="C8" s="96">
        <v>18.0</v>
      </c>
      <c r="D8" s="96">
        <v>19.0</v>
      </c>
      <c r="E8" s="96">
        <v>3.0</v>
      </c>
      <c r="F8" s="96">
        <v>10.0</v>
      </c>
      <c r="G8" s="96">
        <v>14.0</v>
      </c>
      <c r="H8" s="46">
        <f t="shared" si="1"/>
        <v>64</v>
      </c>
      <c r="I8" s="86">
        <f t="shared" si="2"/>
        <v>12.8</v>
      </c>
      <c r="J8" s="97" t="str">
        <f t="shared" si="3"/>
        <v>B</v>
      </c>
      <c r="K8" s="98"/>
      <c r="L8" s="105" t="s">
        <v>221</v>
      </c>
      <c r="M8" s="7">
        <f>COUNTIF(D2:D11,"&gt;20")</f>
        <v>0</v>
      </c>
      <c r="N8" s="7">
        <f>COUNTIF(D2:D11,"&lt;15")</f>
        <v>6</v>
      </c>
      <c r="O8" s="99"/>
    </row>
    <row r="9" ht="14.25" customHeight="1">
      <c r="A9" s="91">
        <v>8.0</v>
      </c>
      <c r="B9" s="73" t="s">
        <v>240</v>
      </c>
      <c r="C9" s="96">
        <v>19.0</v>
      </c>
      <c r="D9" s="96">
        <v>20.0</v>
      </c>
      <c r="E9" s="96">
        <v>7.0</v>
      </c>
      <c r="F9" s="96">
        <v>14.0</v>
      </c>
      <c r="G9" s="96">
        <v>18.0</v>
      </c>
      <c r="H9" s="46">
        <f t="shared" si="1"/>
        <v>78</v>
      </c>
      <c r="I9" s="86">
        <f t="shared" si="2"/>
        <v>15.6</v>
      </c>
      <c r="J9" s="97" t="str">
        <f t="shared" si="3"/>
        <v>A</v>
      </c>
      <c r="K9" s="98"/>
      <c r="L9" s="106" t="s">
        <v>241</v>
      </c>
      <c r="M9" s="43"/>
      <c r="N9" s="69"/>
      <c r="O9" s="99"/>
    </row>
    <row r="10" ht="14.25" customHeight="1">
      <c r="A10" s="91">
        <v>9.0</v>
      </c>
      <c r="B10" s="73" t="s">
        <v>242</v>
      </c>
      <c r="C10" s="96">
        <v>22.0</v>
      </c>
      <c r="D10" s="96">
        <v>13.0</v>
      </c>
      <c r="E10" s="96">
        <v>8.0</v>
      </c>
      <c r="F10" s="96">
        <v>12.0</v>
      </c>
      <c r="G10" s="96">
        <v>19.0</v>
      </c>
      <c r="H10" s="46">
        <f t="shared" si="1"/>
        <v>74</v>
      </c>
      <c r="I10" s="86">
        <f t="shared" si="2"/>
        <v>14.8</v>
      </c>
      <c r="J10" s="97" t="str">
        <f t="shared" si="3"/>
        <v>B</v>
      </c>
      <c r="K10" s="98"/>
      <c r="L10" s="107"/>
      <c r="N10" s="71"/>
      <c r="O10" s="99"/>
    </row>
    <row r="11" ht="14.25" customHeight="1">
      <c r="A11" s="91">
        <v>10.0</v>
      </c>
      <c r="B11" s="73" t="s">
        <v>243</v>
      </c>
      <c r="C11" s="96">
        <v>26.0</v>
      </c>
      <c r="D11" s="96">
        <v>12.0</v>
      </c>
      <c r="E11" s="96">
        <v>10.0</v>
      </c>
      <c r="F11" s="96">
        <v>11.0</v>
      </c>
      <c r="G11" s="96">
        <v>27.0</v>
      </c>
      <c r="H11" s="46">
        <f t="shared" si="1"/>
        <v>86</v>
      </c>
      <c r="I11" s="86">
        <f t="shared" si="2"/>
        <v>17.2</v>
      </c>
      <c r="J11" s="97" t="str">
        <f t="shared" si="3"/>
        <v>A</v>
      </c>
      <c r="K11" s="108"/>
      <c r="L11" s="107"/>
      <c r="N11" s="71"/>
      <c r="O11" s="99"/>
    </row>
    <row r="12" ht="14.25" customHeight="1">
      <c r="A12" s="109"/>
      <c r="B12" s="69"/>
      <c r="C12" s="110"/>
      <c r="D12" s="34"/>
      <c r="E12" s="111"/>
      <c r="F12" s="112"/>
      <c r="G12" s="112"/>
      <c r="H12" s="112"/>
      <c r="I12" s="112"/>
      <c r="J12" s="112"/>
      <c r="K12" s="113"/>
      <c r="L12" s="107"/>
      <c r="N12" s="71"/>
      <c r="O12" s="99"/>
    </row>
    <row r="13" ht="14.25" customHeight="1">
      <c r="A13" s="114"/>
      <c r="B13" s="115"/>
      <c r="C13" s="86" t="s">
        <v>244</v>
      </c>
      <c r="D13" s="86" t="s">
        <v>113</v>
      </c>
      <c r="E13" s="107"/>
      <c r="K13" s="71"/>
      <c r="L13" s="107"/>
      <c r="N13" s="71"/>
      <c r="O13" s="99"/>
    </row>
    <row r="14" ht="14.25" customHeight="1">
      <c r="A14" s="97">
        <v>1.0</v>
      </c>
      <c r="B14" s="116" t="s">
        <v>229</v>
      </c>
      <c r="C14" s="86">
        <f>SUMIF(B2:B11, "ASHOK", H2:H11)</f>
        <v>77</v>
      </c>
      <c r="D14" s="86">
        <f>SUMIF(B2:B11, "ASHOK", I2:I11)</f>
        <v>15.4</v>
      </c>
      <c r="E14" s="107"/>
      <c r="K14" s="71"/>
      <c r="L14" s="107"/>
      <c r="N14" s="71"/>
      <c r="O14" s="99"/>
    </row>
    <row r="15" ht="14.25" customHeight="1">
      <c r="A15" s="97">
        <v>2.0</v>
      </c>
      <c r="B15" s="116" t="s">
        <v>231</v>
      </c>
      <c r="C15" s="86">
        <f>SUMIF(B2:B11, "MANOJ", H2:H11)</f>
        <v>86</v>
      </c>
      <c r="D15" s="86">
        <f>SUMIF(B2:B11,"MANOJ",I2:I11)</f>
        <v>17.2</v>
      </c>
      <c r="E15" s="107"/>
      <c r="K15" s="71"/>
      <c r="L15" s="107"/>
      <c r="N15" s="71"/>
      <c r="O15" s="99"/>
    </row>
    <row r="16" ht="14.25" customHeight="1">
      <c r="A16" s="117"/>
      <c r="B16" s="118"/>
      <c r="C16" s="118"/>
      <c r="D16" s="119"/>
      <c r="E16" s="120"/>
      <c r="F16" s="121"/>
      <c r="G16" s="121"/>
      <c r="H16" s="121"/>
      <c r="I16" s="121"/>
      <c r="J16" s="121"/>
      <c r="K16" s="75"/>
      <c r="L16" s="120"/>
      <c r="M16" s="121"/>
      <c r="N16" s="75"/>
      <c r="O16" s="122"/>
    </row>
    <row r="17" ht="14.25" customHeight="1">
      <c r="A17" s="123" t="s">
        <v>245</v>
      </c>
      <c r="B17" s="112"/>
      <c r="C17" s="112"/>
      <c r="D17" s="112"/>
      <c r="E17" s="112"/>
      <c r="F17" s="112"/>
      <c r="G17" s="112"/>
      <c r="H17" s="112"/>
      <c r="I17" s="113"/>
      <c r="J17" s="104"/>
      <c r="K17" s="104"/>
      <c r="L17" s="104"/>
      <c r="M17" s="104"/>
    </row>
    <row r="18" ht="14.25" customHeight="1">
      <c r="A18" s="120"/>
      <c r="B18" s="121"/>
      <c r="C18" s="121"/>
      <c r="D18" s="121"/>
      <c r="E18" s="121"/>
      <c r="F18" s="121"/>
      <c r="G18" s="121"/>
      <c r="H18" s="121"/>
      <c r="I18" s="75"/>
      <c r="J18" s="104"/>
      <c r="K18" s="104"/>
      <c r="L18" s="104"/>
      <c r="M18" s="104"/>
    </row>
    <row r="19" ht="14.25" customHeight="1">
      <c r="A19" s="124" t="s">
        <v>218</v>
      </c>
      <c r="B19" s="124" t="s">
        <v>246</v>
      </c>
      <c r="C19" s="124" t="s">
        <v>247</v>
      </c>
      <c r="D19" s="124" t="s">
        <v>248</v>
      </c>
      <c r="E19" s="124" t="s">
        <v>249</v>
      </c>
      <c r="F19" s="124" t="s">
        <v>225</v>
      </c>
      <c r="G19" s="86" t="s">
        <v>58</v>
      </c>
      <c r="H19" s="86" t="s">
        <v>82</v>
      </c>
      <c r="I19" s="104"/>
      <c r="J19" s="104"/>
      <c r="K19" s="104"/>
      <c r="L19" s="104"/>
      <c r="M19" s="104"/>
    </row>
    <row r="20" ht="14.25" customHeight="1">
      <c r="A20" s="124">
        <v>1.0</v>
      </c>
      <c r="B20" s="101" t="s">
        <v>250</v>
      </c>
      <c r="C20" s="125">
        <v>20.0</v>
      </c>
      <c r="D20" s="57">
        <v>40000.0</v>
      </c>
      <c r="E20" s="86">
        <f t="shared" ref="E20:E29" si="4">C20*D20</f>
        <v>800000</v>
      </c>
      <c r="F20" s="126" t="str">
        <f t="shared" ref="F20:F29" si="5">IF(E20&gt;500000,"EXPENSIVE", "LETS BUY IT")</f>
        <v>EXPENSIVE</v>
      </c>
      <c r="G20" s="127" t="s">
        <v>251</v>
      </c>
      <c r="H20" s="128">
        <f>COUNTA(B20:B29)</f>
        <v>10</v>
      </c>
      <c r="I20" s="104"/>
      <c r="J20" s="104"/>
      <c r="K20" s="104"/>
      <c r="L20" s="104"/>
      <c r="M20" s="104"/>
    </row>
    <row r="21" ht="14.25" customHeight="1">
      <c r="A21" s="124">
        <v>2.0</v>
      </c>
      <c r="B21" s="101" t="s">
        <v>252</v>
      </c>
      <c r="C21" s="125">
        <v>30.0</v>
      </c>
      <c r="D21" s="57">
        <v>20000.0</v>
      </c>
      <c r="E21" s="86">
        <f t="shared" si="4"/>
        <v>600000</v>
      </c>
      <c r="F21" s="126" t="str">
        <f t="shared" si="5"/>
        <v>EXPENSIVE</v>
      </c>
      <c r="G21" s="129"/>
      <c r="H21" s="130"/>
      <c r="I21" s="130"/>
      <c r="J21" s="130" t="s">
        <v>248</v>
      </c>
      <c r="K21" s="130" t="s">
        <v>247</v>
      </c>
      <c r="L21" s="130" t="s">
        <v>253</v>
      </c>
      <c r="M21" s="104"/>
    </row>
    <row r="22" ht="14.25" customHeight="1">
      <c r="A22" s="124">
        <v>3.0</v>
      </c>
      <c r="B22" s="101" t="s">
        <v>254</v>
      </c>
      <c r="C22" s="125">
        <v>15.0</v>
      </c>
      <c r="D22" s="57">
        <v>10000.0</v>
      </c>
      <c r="E22" s="86">
        <f t="shared" si="4"/>
        <v>150000</v>
      </c>
      <c r="F22" s="126" t="str">
        <f t="shared" si="5"/>
        <v>LETS BUY IT</v>
      </c>
      <c r="G22" s="98"/>
      <c r="H22" s="130">
        <v>1.0</v>
      </c>
      <c r="I22" s="130" t="s">
        <v>255</v>
      </c>
      <c r="J22" s="130">
        <f>SUMIF(B20:B29, "COMPUTER", D20:D29)</f>
        <v>25000</v>
      </c>
      <c r="K22" s="130">
        <f>SUMIF(B20:B29, "COMPUTER",C20:C29)</f>
        <v>10</v>
      </c>
      <c r="L22" s="130">
        <f>SUMIF(B20:B29, "COMPUTER", E20:E29)</f>
        <v>250000</v>
      </c>
      <c r="M22" s="104"/>
    </row>
    <row r="23" ht="14.25" customHeight="1">
      <c r="A23" s="124">
        <v>4.0</v>
      </c>
      <c r="B23" s="101" t="s">
        <v>256</v>
      </c>
      <c r="C23" s="125">
        <v>14.0</v>
      </c>
      <c r="D23" s="57">
        <v>15000.0</v>
      </c>
      <c r="E23" s="86">
        <f t="shared" si="4"/>
        <v>210000</v>
      </c>
      <c r="F23" s="126" t="str">
        <f t="shared" si="5"/>
        <v>LETS BUY IT</v>
      </c>
      <c r="G23" s="98"/>
      <c r="H23" s="104"/>
      <c r="I23" s="104"/>
      <c r="J23" s="104"/>
      <c r="K23" s="104"/>
      <c r="L23" s="104"/>
      <c r="M23" s="104"/>
    </row>
    <row r="24" ht="14.25" customHeight="1">
      <c r="A24" s="124">
        <v>5.0</v>
      </c>
      <c r="B24" s="101" t="s">
        <v>67</v>
      </c>
      <c r="C24" s="125">
        <v>18.0</v>
      </c>
      <c r="D24" s="57">
        <v>20000.0</v>
      </c>
      <c r="E24" s="86">
        <f t="shared" si="4"/>
        <v>360000</v>
      </c>
      <c r="F24" s="126" t="str">
        <f t="shared" si="5"/>
        <v>LETS BUY IT</v>
      </c>
      <c r="G24" s="98"/>
      <c r="H24" s="104"/>
      <c r="I24" s="104"/>
      <c r="J24" s="104"/>
      <c r="K24" s="104"/>
      <c r="L24" s="104"/>
      <c r="M24" s="104"/>
    </row>
    <row r="25" ht="14.25" customHeight="1">
      <c r="A25" s="124">
        <v>6.0</v>
      </c>
      <c r="B25" s="101" t="s">
        <v>257</v>
      </c>
      <c r="C25" s="125">
        <v>17.0</v>
      </c>
      <c r="D25" s="57">
        <v>2000.0</v>
      </c>
      <c r="E25" s="86">
        <f t="shared" si="4"/>
        <v>34000</v>
      </c>
      <c r="F25" s="126" t="str">
        <f t="shared" si="5"/>
        <v>LETS BUY IT</v>
      </c>
      <c r="G25" s="98"/>
      <c r="H25" s="104"/>
      <c r="I25" s="104"/>
      <c r="J25" s="104"/>
      <c r="K25" s="104"/>
      <c r="L25" s="104"/>
      <c r="M25" s="104"/>
    </row>
    <row r="26" ht="14.25" customHeight="1">
      <c r="A26" s="124">
        <v>7.0</v>
      </c>
      <c r="B26" s="101" t="s">
        <v>255</v>
      </c>
      <c r="C26" s="125">
        <v>10.0</v>
      </c>
      <c r="D26" s="57">
        <v>25000.0</v>
      </c>
      <c r="E26" s="86">
        <f t="shared" si="4"/>
        <v>250000</v>
      </c>
      <c r="F26" s="126" t="str">
        <f t="shared" si="5"/>
        <v>LETS BUY IT</v>
      </c>
      <c r="G26" s="98"/>
      <c r="H26" s="104"/>
      <c r="I26" s="104"/>
      <c r="J26" s="104"/>
      <c r="K26" s="104"/>
      <c r="L26" s="104"/>
      <c r="M26" s="104"/>
    </row>
    <row r="27" ht="14.25" customHeight="1">
      <c r="A27" s="124">
        <v>8.0</v>
      </c>
      <c r="B27" s="101" t="s">
        <v>258</v>
      </c>
      <c r="C27" s="125">
        <v>5.0</v>
      </c>
      <c r="D27" s="57">
        <v>250.0</v>
      </c>
      <c r="E27" s="86">
        <f t="shared" si="4"/>
        <v>1250</v>
      </c>
      <c r="F27" s="126" t="str">
        <f t="shared" si="5"/>
        <v>LETS BUY IT</v>
      </c>
      <c r="G27" s="98"/>
      <c r="H27" s="104"/>
      <c r="I27" s="104"/>
      <c r="J27" s="104"/>
      <c r="K27" s="104"/>
      <c r="L27" s="104"/>
      <c r="M27" s="104"/>
    </row>
    <row r="28" ht="14.25" customHeight="1">
      <c r="A28" s="124">
        <v>9.0</v>
      </c>
      <c r="B28" s="101" t="s">
        <v>259</v>
      </c>
      <c r="C28" s="125">
        <v>25.0</v>
      </c>
      <c r="D28" s="57">
        <v>100.0</v>
      </c>
      <c r="E28" s="86">
        <f t="shared" si="4"/>
        <v>2500</v>
      </c>
      <c r="F28" s="126" t="str">
        <f t="shared" si="5"/>
        <v>LETS BUY IT</v>
      </c>
      <c r="G28" s="98"/>
      <c r="H28" s="104"/>
      <c r="I28" s="104"/>
      <c r="J28" s="104"/>
      <c r="K28" s="104"/>
      <c r="L28" s="104"/>
      <c r="M28" s="104"/>
    </row>
    <row r="29" ht="14.25" customHeight="1">
      <c r="A29" s="124">
        <v>10.0</v>
      </c>
      <c r="B29" s="101" t="s">
        <v>260</v>
      </c>
      <c r="C29" s="125">
        <v>30.0</v>
      </c>
      <c r="D29" s="57">
        <v>12000.0</v>
      </c>
      <c r="E29" s="86">
        <f t="shared" si="4"/>
        <v>360000</v>
      </c>
      <c r="F29" s="126" t="str">
        <f t="shared" si="5"/>
        <v>LETS BUY IT</v>
      </c>
      <c r="G29" s="108"/>
      <c r="H29" s="104"/>
      <c r="I29" s="104"/>
      <c r="J29" s="104"/>
      <c r="K29" s="104"/>
      <c r="L29" s="104"/>
      <c r="M29" s="104"/>
    </row>
    <row r="30" ht="14.25" customHeight="1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</row>
    <row r="31" ht="14.25" customHeight="1"/>
    <row r="32" ht="14.25" customHeight="1"/>
    <row r="33" ht="14.25" customHeight="1">
      <c r="B33" s="131" t="s">
        <v>261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13"/>
    </row>
    <row r="34" ht="14.25" customHeight="1">
      <c r="B34" s="120"/>
      <c r="C34" s="121"/>
      <c r="D34" s="121"/>
      <c r="E34" s="121"/>
      <c r="F34" s="121"/>
      <c r="G34" s="121"/>
      <c r="H34" s="121"/>
      <c r="I34" s="121"/>
      <c r="J34" s="121"/>
      <c r="K34" s="121"/>
      <c r="L34" s="75"/>
    </row>
    <row r="35" ht="14.25" customHeight="1">
      <c r="B35" s="132" t="s">
        <v>262</v>
      </c>
      <c r="C35" s="132" t="s">
        <v>263</v>
      </c>
      <c r="D35" s="132" t="s">
        <v>264</v>
      </c>
      <c r="E35" s="132" t="s">
        <v>265</v>
      </c>
      <c r="F35" s="132" t="s">
        <v>266</v>
      </c>
      <c r="G35" s="132" t="s">
        <v>267</v>
      </c>
      <c r="H35" s="132" t="s">
        <v>268</v>
      </c>
    </row>
    <row r="36" ht="14.25" customHeight="1">
      <c r="B36" s="133" t="s">
        <v>269</v>
      </c>
      <c r="C36" s="134">
        <v>20.0</v>
      </c>
      <c r="D36" s="134">
        <v>15.0</v>
      </c>
      <c r="E36" s="134">
        <v>20.0</v>
      </c>
      <c r="F36" s="24">
        <f t="shared" ref="F36:F44" si="6">SUM(C36:E36)</f>
        <v>55</v>
      </c>
      <c r="G36" s="135">
        <f t="shared" ref="G36:G44" si="7">AVERAGE(C36:E36)</f>
        <v>18.33333333</v>
      </c>
      <c r="H36" s="136" t="str">
        <f t="shared" ref="H36:H44" si="8">IF(G36&gt;20,"A",IF(G36&gt;15,"B","C"))</f>
        <v>B</v>
      </c>
      <c r="K36" s="137" t="s">
        <v>270</v>
      </c>
    </row>
    <row r="37" ht="14.25" customHeight="1">
      <c r="B37" s="133" t="s">
        <v>271</v>
      </c>
      <c r="C37" s="134">
        <v>30.0</v>
      </c>
      <c r="D37" s="134">
        <v>12.0</v>
      </c>
      <c r="E37" s="134">
        <v>15.0</v>
      </c>
      <c r="F37" s="24">
        <f t="shared" si="6"/>
        <v>57</v>
      </c>
      <c r="G37" s="135">
        <f t="shared" si="7"/>
        <v>19</v>
      </c>
      <c r="H37" s="136" t="str">
        <f t="shared" si="8"/>
        <v>B</v>
      </c>
      <c r="K37" s="87">
        <f>COUNTA(B36:B44)</f>
        <v>9</v>
      </c>
    </row>
    <row r="38" ht="14.25" customHeight="1">
      <c r="B38" s="133" t="s">
        <v>272</v>
      </c>
      <c r="C38" s="134">
        <v>15.0</v>
      </c>
      <c r="D38" s="134">
        <v>14.0</v>
      </c>
      <c r="E38" s="134">
        <v>14.0</v>
      </c>
      <c r="F38" s="24">
        <f t="shared" si="6"/>
        <v>43</v>
      </c>
      <c r="G38" s="135">
        <f t="shared" si="7"/>
        <v>14.33333333</v>
      </c>
      <c r="H38" s="136" t="str">
        <f t="shared" si="8"/>
        <v>C</v>
      </c>
      <c r="K38" s="137" t="s">
        <v>273</v>
      </c>
    </row>
    <row r="39" ht="14.25" customHeight="1">
      <c r="B39" s="133" t="s">
        <v>274</v>
      </c>
      <c r="C39" s="134">
        <v>12.0</v>
      </c>
      <c r="D39" s="134">
        <v>17.0</v>
      </c>
      <c r="E39" s="134">
        <v>17.0</v>
      </c>
      <c r="F39" s="24">
        <f t="shared" si="6"/>
        <v>46</v>
      </c>
      <c r="G39" s="135">
        <f t="shared" si="7"/>
        <v>15.33333333</v>
      </c>
      <c r="H39" s="136" t="str">
        <f t="shared" si="8"/>
        <v>B</v>
      </c>
      <c r="K39" s="87">
        <f>COUNTIF(C36:E44,"&lt;20")</f>
        <v>16</v>
      </c>
    </row>
    <row r="40" ht="14.25" customHeight="1">
      <c r="B40" s="133" t="s">
        <v>275</v>
      </c>
      <c r="C40" s="134">
        <v>14.0</v>
      </c>
      <c r="D40" s="134">
        <v>18.0</v>
      </c>
      <c r="E40" s="134">
        <v>18.0</v>
      </c>
      <c r="F40" s="24">
        <f t="shared" si="6"/>
        <v>50</v>
      </c>
      <c r="G40" s="135">
        <f t="shared" si="7"/>
        <v>16.66666667</v>
      </c>
      <c r="H40" s="136" t="str">
        <f t="shared" si="8"/>
        <v>B</v>
      </c>
    </row>
    <row r="41" ht="14.25" customHeight="1">
      <c r="B41" s="133" t="s">
        <v>276</v>
      </c>
      <c r="C41" s="134">
        <v>16.0</v>
      </c>
      <c r="D41" s="134">
        <v>25.0</v>
      </c>
      <c r="E41" s="134">
        <v>20.0</v>
      </c>
      <c r="F41" s="24">
        <f t="shared" si="6"/>
        <v>61</v>
      </c>
      <c r="G41" s="135">
        <f t="shared" si="7"/>
        <v>20.33333333</v>
      </c>
      <c r="H41" s="136" t="str">
        <f t="shared" si="8"/>
        <v>A</v>
      </c>
      <c r="J41" s="138" t="s">
        <v>262</v>
      </c>
      <c r="K41" s="138" t="s">
        <v>266</v>
      </c>
      <c r="L41" s="138" t="s">
        <v>277</v>
      </c>
    </row>
    <row r="42" ht="14.25" customHeight="1">
      <c r="B42" s="133" t="s">
        <v>278</v>
      </c>
      <c r="C42" s="134">
        <v>18.0</v>
      </c>
      <c r="D42" s="134">
        <v>21.0</v>
      </c>
      <c r="E42" s="134">
        <v>22.0</v>
      </c>
      <c r="F42" s="24">
        <f t="shared" si="6"/>
        <v>61</v>
      </c>
      <c r="G42" s="135">
        <f t="shared" si="7"/>
        <v>20.33333333</v>
      </c>
      <c r="H42" s="136" t="str">
        <f t="shared" si="8"/>
        <v>A</v>
      </c>
      <c r="J42" s="87" t="s">
        <v>274</v>
      </c>
      <c r="K42" s="87">
        <f>VLOOKUP(J42,B36:H44,5,0)</f>
        <v>46</v>
      </c>
      <c r="L42" s="139">
        <f>VLOOKUP(J42,B36:H44,6,0)</f>
        <v>15.33333333</v>
      </c>
      <c r="M42" s="139"/>
    </row>
    <row r="43" ht="14.25" customHeight="1">
      <c r="B43" s="133" t="s">
        <v>279</v>
      </c>
      <c r="C43" s="134">
        <v>17.0</v>
      </c>
      <c r="D43" s="134">
        <v>23.0</v>
      </c>
      <c r="E43" s="134">
        <v>13.0</v>
      </c>
      <c r="F43" s="24">
        <f t="shared" si="6"/>
        <v>53</v>
      </c>
      <c r="G43" s="135">
        <f t="shared" si="7"/>
        <v>17.66666667</v>
      </c>
      <c r="H43" s="136" t="str">
        <f t="shared" si="8"/>
        <v>B</v>
      </c>
    </row>
    <row r="44" ht="14.25" customHeight="1">
      <c r="B44" s="133" t="s">
        <v>280</v>
      </c>
      <c r="C44" s="134">
        <v>20.0</v>
      </c>
      <c r="D44" s="134">
        <v>25.0</v>
      </c>
      <c r="E44" s="134">
        <v>25.0</v>
      </c>
      <c r="F44" s="24">
        <f t="shared" si="6"/>
        <v>70</v>
      </c>
      <c r="G44" s="135">
        <f t="shared" si="7"/>
        <v>23.33333333</v>
      </c>
      <c r="H44" s="136" t="str">
        <f t="shared" si="8"/>
        <v>A</v>
      </c>
    </row>
    <row r="45" ht="14.25" customHeight="1">
      <c r="J45" s="140"/>
    </row>
    <row r="46" ht="14.25" customHeight="1"/>
    <row r="47" ht="14.25" customHeight="1"/>
    <row r="48" ht="14.25" customHeight="1"/>
    <row r="49" ht="14.25" customHeight="1"/>
    <row r="50" ht="14.25" customHeight="1">
      <c r="B50" s="141" t="s">
        <v>281</v>
      </c>
      <c r="C50" s="112"/>
      <c r="D50" s="112"/>
      <c r="E50" s="112"/>
      <c r="F50" s="112"/>
      <c r="G50" s="112"/>
      <c r="H50" s="113"/>
    </row>
    <row r="51" ht="14.25" customHeight="1">
      <c r="B51" s="120"/>
      <c r="C51" s="121"/>
      <c r="D51" s="121"/>
      <c r="E51" s="121"/>
      <c r="F51" s="121"/>
      <c r="G51" s="121"/>
      <c r="H51" s="75"/>
    </row>
    <row r="52" ht="14.25" customHeight="1">
      <c r="B52" s="142" t="s">
        <v>282</v>
      </c>
      <c r="C52" s="142" t="s">
        <v>283</v>
      </c>
      <c r="D52" s="142" t="s">
        <v>284</v>
      </c>
      <c r="E52" s="142" t="s">
        <v>285</v>
      </c>
      <c r="F52" s="142" t="s">
        <v>286</v>
      </c>
      <c r="G52" s="142" t="s">
        <v>287</v>
      </c>
      <c r="H52" s="142" t="s">
        <v>288</v>
      </c>
      <c r="I52" s="142" t="s">
        <v>82</v>
      </c>
      <c r="J52" s="142" t="s">
        <v>225</v>
      </c>
      <c r="L52" s="142" t="s">
        <v>289</v>
      </c>
    </row>
    <row r="53" ht="14.25" customHeight="1">
      <c r="B53" s="143" t="s">
        <v>227</v>
      </c>
      <c r="C53" s="144" t="s">
        <v>255</v>
      </c>
      <c r="D53" s="132" t="s">
        <v>290</v>
      </c>
      <c r="E53" s="145">
        <v>5000.0</v>
      </c>
      <c r="F53" s="145">
        <f t="shared" ref="F53:F60" si="9">E53*2.5%</f>
        <v>125</v>
      </c>
      <c r="G53" s="145">
        <f t="shared" ref="G53:G60" si="10">E53*3.5%</f>
        <v>175</v>
      </c>
      <c r="H53" s="145">
        <v>75.0</v>
      </c>
      <c r="I53" s="24">
        <f t="shared" ref="I53:I60" si="11">SUM(E53:G53)-H53</f>
        <v>5225</v>
      </c>
      <c r="J53" s="146" t="str">
        <f t="shared" ref="J53:J60" si="12">IF(I53&gt;20000,"A",IF(I53&gt;10000,"B","C"))</f>
        <v>C</v>
      </c>
      <c r="L53" s="87">
        <f>COUNTIF(C53:C60,"computer")</f>
        <v>3</v>
      </c>
      <c r="P53" s="138" t="s">
        <v>291</v>
      </c>
    </row>
    <row r="54" ht="14.25" customHeight="1">
      <c r="B54" s="143" t="s">
        <v>292</v>
      </c>
      <c r="C54" s="144" t="s">
        <v>255</v>
      </c>
      <c r="D54" s="132" t="s">
        <v>293</v>
      </c>
      <c r="E54" s="145">
        <v>8000.0</v>
      </c>
      <c r="F54" s="145">
        <f t="shared" si="9"/>
        <v>200</v>
      </c>
      <c r="G54" s="145">
        <f t="shared" si="10"/>
        <v>280</v>
      </c>
      <c r="H54" s="145">
        <f t="shared" ref="H54:H60" si="13">E54*1.5%</f>
        <v>120</v>
      </c>
      <c r="I54" s="24">
        <f t="shared" si="11"/>
        <v>8360</v>
      </c>
      <c r="J54" s="146" t="str">
        <f t="shared" si="12"/>
        <v>C</v>
      </c>
      <c r="L54" s="87">
        <f>COUNTIF(C53:C60,"finance")</f>
        <v>2</v>
      </c>
      <c r="P54" s="87">
        <f>COUNTIF(D53:D60,"manager")</f>
        <v>2</v>
      </c>
    </row>
    <row r="55" ht="14.25" customHeight="1">
      <c r="B55" s="143" t="s">
        <v>231</v>
      </c>
      <c r="C55" s="144" t="s">
        <v>255</v>
      </c>
      <c r="D55" s="132" t="s">
        <v>294</v>
      </c>
      <c r="E55" s="145">
        <v>3000.0</v>
      </c>
      <c r="F55" s="145">
        <f t="shared" si="9"/>
        <v>75</v>
      </c>
      <c r="G55" s="145">
        <f t="shared" si="10"/>
        <v>105</v>
      </c>
      <c r="H55" s="145">
        <f t="shared" si="13"/>
        <v>45</v>
      </c>
      <c r="I55" s="24">
        <f t="shared" si="11"/>
        <v>3135</v>
      </c>
      <c r="J55" s="146" t="str">
        <f t="shared" si="12"/>
        <v>C</v>
      </c>
      <c r="L55" s="87">
        <f>COUNTIF(C53:C60,"Electrical")</f>
        <v>3</v>
      </c>
      <c r="P55" s="87">
        <f>COUNTIF(D53:D60,"guard")</f>
        <v>2</v>
      </c>
    </row>
    <row r="56" ht="14.25" customHeight="1">
      <c r="B56" s="143" t="s">
        <v>238</v>
      </c>
      <c r="C56" s="144" t="s">
        <v>295</v>
      </c>
      <c r="D56" s="132" t="s">
        <v>296</v>
      </c>
      <c r="E56" s="145">
        <v>6000.0</v>
      </c>
      <c r="F56" s="145">
        <f t="shared" si="9"/>
        <v>150</v>
      </c>
      <c r="G56" s="145">
        <f t="shared" si="10"/>
        <v>210</v>
      </c>
      <c r="H56" s="145">
        <f t="shared" si="13"/>
        <v>90</v>
      </c>
      <c r="I56" s="24">
        <f t="shared" si="11"/>
        <v>6270</v>
      </c>
      <c r="J56" s="146" t="str">
        <f t="shared" si="12"/>
        <v>C</v>
      </c>
      <c r="L56" s="138" t="s">
        <v>297</v>
      </c>
    </row>
    <row r="57" ht="14.25" customHeight="1">
      <c r="B57" s="143" t="s">
        <v>298</v>
      </c>
      <c r="C57" s="144" t="s">
        <v>295</v>
      </c>
      <c r="D57" s="132" t="s">
        <v>299</v>
      </c>
      <c r="E57" s="145">
        <v>8000.0</v>
      </c>
      <c r="F57" s="145">
        <f t="shared" si="9"/>
        <v>200</v>
      </c>
      <c r="G57" s="145">
        <f t="shared" si="10"/>
        <v>280</v>
      </c>
      <c r="H57" s="145">
        <f t="shared" si="13"/>
        <v>120</v>
      </c>
      <c r="I57" s="24">
        <f t="shared" si="11"/>
        <v>8360</v>
      </c>
      <c r="J57" s="146" t="str">
        <f t="shared" si="12"/>
        <v>C</v>
      </c>
      <c r="L57" s="87">
        <f>SUMIF(C53:C60,"computer",E53:E60)</f>
        <v>16000</v>
      </c>
    </row>
    <row r="58" ht="14.25" customHeight="1">
      <c r="B58" s="143" t="s">
        <v>300</v>
      </c>
      <c r="C58" s="144" t="s">
        <v>295</v>
      </c>
      <c r="D58" s="132" t="s">
        <v>301</v>
      </c>
      <c r="E58" s="145">
        <v>9000.0</v>
      </c>
      <c r="F58" s="145">
        <f t="shared" si="9"/>
        <v>225</v>
      </c>
      <c r="G58" s="145">
        <f t="shared" si="10"/>
        <v>315</v>
      </c>
      <c r="H58" s="145">
        <f t="shared" si="13"/>
        <v>135</v>
      </c>
      <c r="I58" s="24">
        <f t="shared" si="11"/>
        <v>9405</v>
      </c>
      <c r="J58" s="146" t="str">
        <f t="shared" si="12"/>
        <v>C</v>
      </c>
    </row>
    <row r="59" ht="14.25" customHeight="1">
      <c r="B59" s="143" t="s">
        <v>302</v>
      </c>
      <c r="C59" s="144" t="s">
        <v>303</v>
      </c>
      <c r="D59" s="132" t="s">
        <v>290</v>
      </c>
      <c r="E59" s="145">
        <v>10000.0</v>
      </c>
      <c r="F59" s="145">
        <f t="shared" si="9"/>
        <v>250</v>
      </c>
      <c r="G59" s="145">
        <f t="shared" si="10"/>
        <v>350</v>
      </c>
      <c r="H59" s="145">
        <f t="shared" si="13"/>
        <v>150</v>
      </c>
      <c r="I59" s="24">
        <f t="shared" si="11"/>
        <v>10450</v>
      </c>
      <c r="J59" s="146" t="str">
        <f t="shared" si="12"/>
        <v>B</v>
      </c>
      <c r="L59" s="138" t="s">
        <v>304</v>
      </c>
      <c r="M59" s="138" t="s">
        <v>284</v>
      </c>
      <c r="N59" s="138" t="s">
        <v>268</v>
      </c>
    </row>
    <row r="60" ht="14.25" customHeight="1">
      <c r="B60" s="143" t="s">
        <v>305</v>
      </c>
      <c r="C60" s="144" t="s">
        <v>303</v>
      </c>
      <c r="D60" s="132" t="s">
        <v>296</v>
      </c>
      <c r="E60" s="145">
        <v>5000.0</v>
      </c>
      <c r="F60" s="145">
        <f t="shared" si="9"/>
        <v>125</v>
      </c>
      <c r="G60" s="145">
        <f t="shared" si="10"/>
        <v>175</v>
      </c>
      <c r="H60" s="145">
        <f t="shared" si="13"/>
        <v>75</v>
      </c>
      <c r="I60" s="24">
        <f t="shared" si="11"/>
        <v>5225</v>
      </c>
      <c r="J60" s="146" t="str">
        <f t="shared" si="12"/>
        <v>C</v>
      </c>
      <c r="L60" s="87" t="s">
        <v>306</v>
      </c>
      <c r="M60" s="87" t="str">
        <f t="shared" ref="M60:M61" si="14">VLOOKUP(L60,B53:J60,3,0)</f>
        <v>PION</v>
      </c>
      <c r="N60" s="87" t="str">
        <f t="shared" ref="N60:N61" si="15">VLOOKUP(L60,B53:J60,9,0)</f>
        <v>C</v>
      </c>
    </row>
    <row r="61" ht="14.25" customHeight="1">
      <c r="L61" s="87" t="s">
        <v>307</v>
      </c>
      <c r="M61" s="87" t="str">
        <f t="shared" si="14"/>
        <v>MANAGER</v>
      </c>
      <c r="N61" s="87" t="str">
        <f t="shared" si="15"/>
        <v>B</v>
      </c>
    </row>
    <row r="62" ht="14.25" customHeight="1"/>
    <row r="63" ht="14.25" customHeight="1"/>
    <row r="64" ht="14.25" customHeight="1"/>
    <row r="65" ht="14.25" customHeight="1"/>
    <row r="66" ht="14.25" customHeight="1">
      <c r="B66" s="147" t="s">
        <v>308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3"/>
    </row>
    <row r="67" ht="14.25" customHeight="1">
      <c r="B67" s="120"/>
      <c r="C67" s="121"/>
      <c r="D67" s="121"/>
      <c r="E67" s="121"/>
      <c r="F67" s="121"/>
      <c r="G67" s="121"/>
      <c r="H67" s="121"/>
      <c r="I67" s="121"/>
      <c r="J67" s="121"/>
      <c r="K67" s="121"/>
      <c r="L67" s="75"/>
    </row>
    <row r="68" ht="14.25" customHeight="1">
      <c r="B68" s="148" t="s">
        <v>309</v>
      </c>
      <c r="C68" s="148" t="s">
        <v>107</v>
      </c>
      <c r="D68" s="148" t="s">
        <v>108</v>
      </c>
      <c r="E68" s="148" t="s">
        <v>109</v>
      </c>
      <c r="F68" s="148" t="s">
        <v>310</v>
      </c>
      <c r="G68" s="148" t="s">
        <v>112</v>
      </c>
      <c r="H68" s="148" t="s">
        <v>311</v>
      </c>
      <c r="I68" s="148" t="s">
        <v>153</v>
      </c>
      <c r="J68" s="148" t="s">
        <v>312</v>
      </c>
      <c r="K68" s="148" t="s">
        <v>313</v>
      </c>
    </row>
    <row r="69" ht="14.25" customHeight="1">
      <c r="B69" s="135" t="s">
        <v>314</v>
      </c>
      <c r="C69" s="149">
        <v>2000.0</v>
      </c>
      <c r="D69" s="150">
        <v>1500.0</v>
      </c>
      <c r="E69" s="151">
        <v>300.0</v>
      </c>
      <c r="F69" s="152">
        <v>1400.0</v>
      </c>
      <c r="G69" s="151">
        <v>1000.0</v>
      </c>
      <c r="H69" s="132">
        <v>1400.0</v>
      </c>
      <c r="I69" s="153">
        <f t="shared" ref="I69:I79" si="16">SUM(C69:H69)</f>
        <v>7600</v>
      </c>
      <c r="J69" s="154">
        <v>10000.0</v>
      </c>
      <c r="K69" s="24" t="str">
        <f t="shared" ref="K69:K79" si="17">IF(I69&gt;J69,"ACHIVED",IF(I69&lt;J69,"NOT ACHIVED"))</f>
        <v>NOT ACHIVED</v>
      </c>
      <c r="N69" s="138" t="s">
        <v>315</v>
      </c>
      <c r="O69" s="138"/>
    </row>
    <row r="70" ht="14.25" customHeight="1">
      <c r="B70" s="135" t="s">
        <v>300</v>
      </c>
      <c r="C70" s="149">
        <v>5000.0</v>
      </c>
      <c r="D70" s="150">
        <v>1200.0</v>
      </c>
      <c r="E70" s="151">
        <v>500.0</v>
      </c>
      <c r="F70" s="152">
        <v>1200.0</v>
      </c>
      <c r="G70" s="151">
        <v>1200.0</v>
      </c>
      <c r="H70" s="132">
        <v>2800.0</v>
      </c>
      <c r="I70" s="153">
        <f t="shared" si="16"/>
        <v>11900</v>
      </c>
      <c r="J70" s="154">
        <v>12000.0</v>
      </c>
      <c r="K70" s="24" t="str">
        <f t="shared" si="17"/>
        <v>NOT ACHIVED</v>
      </c>
      <c r="N70" s="87">
        <f>COUNTA(B69:B79)</f>
        <v>11</v>
      </c>
    </row>
    <row r="71" ht="14.25" customHeight="1">
      <c r="B71" s="135" t="s">
        <v>298</v>
      </c>
      <c r="C71" s="149">
        <v>3000.0</v>
      </c>
      <c r="D71" s="150">
        <v>800.0</v>
      </c>
      <c r="E71" s="151">
        <v>1200.0</v>
      </c>
      <c r="F71" s="152">
        <v>3000.0</v>
      </c>
      <c r="G71" s="151">
        <v>1500.0</v>
      </c>
      <c r="H71" s="132">
        <v>3500.0</v>
      </c>
      <c r="I71" s="153">
        <f t="shared" si="16"/>
        <v>13000</v>
      </c>
      <c r="J71" s="154">
        <v>18000.0</v>
      </c>
      <c r="K71" s="24" t="str">
        <f t="shared" si="17"/>
        <v>NOT ACHIVED</v>
      </c>
      <c r="N71" s="138" t="s">
        <v>316</v>
      </c>
      <c r="O71" s="138" t="s">
        <v>317</v>
      </c>
      <c r="P71" s="138" t="s">
        <v>318</v>
      </c>
    </row>
    <row r="72" ht="14.25" customHeight="1">
      <c r="B72" s="135" t="s">
        <v>238</v>
      </c>
      <c r="C72" s="149">
        <v>1000.0</v>
      </c>
      <c r="D72" s="150">
        <v>900.0</v>
      </c>
      <c r="E72" s="151">
        <v>1800.0</v>
      </c>
      <c r="F72" s="152">
        <v>5000.0</v>
      </c>
      <c r="G72" s="151">
        <v>1400.0</v>
      </c>
      <c r="H72" s="132">
        <v>1200.0</v>
      </c>
      <c r="I72" s="153">
        <f t="shared" si="16"/>
        <v>11300</v>
      </c>
      <c r="J72" s="154">
        <v>10000.0</v>
      </c>
      <c r="K72" s="132" t="str">
        <f t="shared" si="17"/>
        <v>ACHIVED</v>
      </c>
      <c r="N72" s="87" t="s">
        <v>319</v>
      </c>
      <c r="O72" s="87">
        <f t="shared" ref="O72:O74" si="18">VLOOKUP(N72,B69:K79,9,0)</f>
        <v>12000</v>
      </c>
      <c r="P72" s="87" t="str">
        <f t="shared" ref="P72:P74" si="19">VLOOKUP(N72,B69:K79,10,0)</f>
        <v>ACHIVED</v>
      </c>
    </row>
    <row r="73" ht="14.25" customHeight="1">
      <c r="B73" s="135" t="s">
        <v>231</v>
      </c>
      <c r="C73" s="149">
        <v>500.0</v>
      </c>
      <c r="D73" s="150">
        <v>1000.0</v>
      </c>
      <c r="E73" s="151">
        <v>2300.0</v>
      </c>
      <c r="F73" s="152">
        <v>8000.0</v>
      </c>
      <c r="G73" s="151">
        <v>1700.0</v>
      </c>
      <c r="H73" s="132">
        <v>1400.0</v>
      </c>
      <c r="I73" s="153">
        <f t="shared" si="16"/>
        <v>14900</v>
      </c>
      <c r="J73" s="154">
        <v>12000.0</v>
      </c>
      <c r="K73" s="132" t="str">
        <f t="shared" si="17"/>
        <v>ACHIVED</v>
      </c>
      <c r="N73" s="138" t="s">
        <v>320</v>
      </c>
      <c r="O73" s="87">
        <f t="shared" si="18"/>
        <v>10000</v>
      </c>
      <c r="P73" s="87" t="str">
        <f t="shared" si="19"/>
        <v>ACHIVED</v>
      </c>
    </row>
    <row r="74" ht="14.25" customHeight="1">
      <c r="B74" s="135" t="s">
        <v>229</v>
      </c>
      <c r="C74" s="149">
        <v>800.0</v>
      </c>
      <c r="D74" s="150">
        <v>500.0</v>
      </c>
      <c r="E74" s="151">
        <v>2400.0</v>
      </c>
      <c r="F74" s="152">
        <v>1900.0</v>
      </c>
      <c r="G74" s="151">
        <v>1800.0</v>
      </c>
      <c r="H74" s="132">
        <v>1800.0</v>
      </c>
      <c r="I74" s="153">
        <f t="shared" si="16"/>
        <v>9200</v>
      </c>
      <c r="J74" s="154">
        <v>10000.0</v>
      </c>
      <c r="K74" s="24" t="str">
        <f t="shared" si="17"/>
        <v>NOT ACHIVED</v>
      </c>
      <c r="N74" s="87" t="s">
        <v>321</v>
      </c>
      <c r="O74" s="87">
        <f t="shared" si="18"/>
        <v>10000</v>
      </c>
      <c r="P74" s="87" t="str">
        <f t="shared" si="19"/>
        <v>NOT ACHIVED</v>
      </c>
    </row>
    <row r="75" ht="14.25" customHeight="1">
      <c r="B75" s="135" t="s">
        <v>322</v>
      </c>
      <c r="C75" s="149">
        <v>1200.0</v>
      </c>
      <c r="D75" s="150">
        <v>1400.0</v>
      </c>
      <c r="E75" s="151">
        <v>1500.0</v>
      </c>
      <c r="F75" s="152">
        <v>700.0</v>
      </c>
      <c r="G75" s="151">
        <v>2500.0</v>
      </c>
      <c r="H75" s="132">
        <v>7000.0</v>
      </c>
      <c r="I75" s="153">
        <f t="shared" si="16"/>
        <v>14300</v>
      </c>
      <c r="J75" s="154">
        <v>12000.0</v>
      </c>
      <c r="K75" s="132" t="str">
        <f t="shared" si="17"/>
        <v>ACHIVED</v>
      </c>
      <c r="N75" s="138" t="s">
        <v>323</v>
      </c>
      <c r="O75" s="87">
        <f>VLOOKUP(N75,B69:K79,9,0)</f>
        <v>18000</v>
      </c>
      <c r="P75" s="87" t="str">
        <f>VLOOKUP(N75,B69:K79,10,0)</f>
        <v>NOT ACHIVED</v>
      </c>
    </row>
    <row r="76" ht="14.25" customHeight="1">
      <c r="B76" s="135" t="s">
        <v>324</v>
      </c>
      <c r="C76" s="149">
        <v>1500.0</v>
      </c>
      <c r="D76" s="150">
        <v>1800.0</v>
      </c>
      <c r="E76" s="151">
        <v>1800.0</v>
      </c>
      <c r="F76" s="152">
        <v>1800.0</v>
      </c>
      <c r="G76" s="151">
        <v>300.0</v>
      </c>
      <c r="H76" s="132">
        <v>1500.0</v>
      </c>
      <c r="I76" s="153">
        <f t="shared" si="16"/>
        <v>8700</v>
      </c>
      <c r="J76" s="154">
        <v>10000.0</v>
      </c>
      <c r="K76" s="24" t="str">
        <f t="shared" si="17"/>
        <v>NOT ACHIVED</v>
      </c>
    </row>
    <row r="77" ht="14.25" customHeight="1">
      <c r="B77" s="135" t="s">
        <v>325</v>
      </c>
      <c r="C77" s="149">
        <v>1800.0</v>
      </c>
      <c r="D77" s="150">
        <v>2500.0</v>
      </c>
      <c r="E77" s="151">
        <v>1700.0</v>
      </c>
      <c r="F77" s="152">
        <v>1500.0</v>
      </c>
      <c r="G77" s="151">
        <v>2800.0</v>
      </c>
      <c r="H77" s="132">
        <v>1800.0</v>
      </c>
      <c r="I77" s="153">
        <f t="shared" si="16"/>
        <v>12100</v>
      </c>
      <c r="J77" s="154">
        <v>12000.0</v>
      </c>
      <c r="K77" s="132" t="str">
        <f t="shared" si="17"/>
        <v>ACHIVED</v>
      </c>
      <c r="N77" s="138" t="s">
        <v>326</v>
      </c>
    </row>
    <row r="78" ht="14.25" customHeight="1">
      <c r="B78" s="135" t="s">
        <v>327</v>
      </c>
      <c r="C78" s="149">
        <v>200.0</v>
      </c>
      <c r="D78" s="150">
        <v>3000.0</v>
      </c>
      <c r="E78" s="151">
        <v>1900.0</v>
      </c>
      <c r="F78" s="152">
        <v>1200.0</v>
      </c>
      <c r="G78" s="151">
        <v>1500.0</v>
      </c>
      <c r="H78" s="132">
        <v>3000.0</v>
      </c>
      <c r="I78" s="153">
        <f t="shared" si="16"/>
        <v>10800</v>
      </c>
      <c r="J78" s="154">
        <v>10000.0</v>
      </c>
      <c r="K78" s="132" t="str">
        <f t="shared" si="17"/>
        <v>ACHIVED</v>
      </c>
      <c r="N78" s="87">
        <f>COUNTIF(K69:K79,"ACHIVED")</f>
        <v>5</v>
      </c>
    </row>
    <row r="79" ht="14.25" customHeight="1">
      <c r="B79" s="135" t="s">
        <v>328</v>
      </c>
      <c r="C79" s="149">
        <v>1600.0</v>
      </c>
      <c r="D79" s="150">
        <v>1200.0</v>
      </c>
      <c r="E79" s="151">
        <v>2000.0</v>
      </c>
      <c r="F79" s="152">
        <v>800.0</v>
      </c>
      <c r="G79" s="151">
        <v>1700.0</v>
      </c>
      <c r="H79" s="132">
        <v>800.0</v>
      </c>
      <c r="I79" s="153">
        <f t="shared" si="16"/>
        <v>8100</v>
      </c>
      <c r="J79" s="154">
        <v>10000.0</v>
      </c>
      <c r="K79" s="24" t="str">
        <f t="shared" si="17"/>
        <v>NOT ACHIVED</v>
      </c>
    </row>
    <row r="80" ht="14.25" customHeight="1">
      <c r="N80" s="87" t="s">
        <v>329</v>
      </c>
    </row>
    <row r="81" ht="14.25" customHeight="1">
      <c r="N81" s="87" t="s">
        <v>330</v>
      </c>
    </row>
    <row r="82" ht="14.25" customHeight="1"/>
    <row r="83" ht="14.25" customHeight="1">
      <c r="F83" s="8" t="s">
        <v>331</v>
      </c>
    </row>
    <row r="84" ht="14.25" customHeight="1"/>
    <row r="85" ht="14.25" customHeight="1"/>
    <row r="86" ht="14.25" customHeight="1">
      <c r="B86" s="155" t="s">
        <v>332</v>
      </c>
      <c r="C86" s="112"/>
      <c r="D86" s="112"/>
      <c r="E86" s="112"/>
      <c r="F86" s="112"/>
      <c r="G86" s="112"/>
      <c r="H86" s="112"/>
      <c r="I86" s="112"/>
      <c r="J86" s="113"/>
    </row>
    <row r="87" ht="14.25" customHeight="1">
      <c r="B87" s="120"/>
      <c r="C87" s="121"/>
      <c r="D87" s="121"/>
      <c r="E87" s="121"/>
      <c r="F87" s="121"/>
      <c r="G87" s="121"/>
      <c r="H87" s="121"/>
      <c r="I87" s="121"/>
      <c r="J87" s="75"/>
    </row>
    <row r="88" ht="14.25" customHeight="1">
      <c r="B88" s="156" t="s">
        <v>333</v>
      </c>
      <c r="C88" s="156" t="s">
        <v>334</v>
      </c>
      <c r="D88" s="156" t="s">
        <v>335</v>
      </c>
    </row>
    <row r="89" ht="14.25" customHeight="1">
      <c r="B89" s="152" t="s">
        <v>336</v>
      </c>
      <c r="C89" s="157">
        <v>42370.0</v>
      </c>
      <c r="D89" s="158">
        <v>800.0</v>
      </c>
      <c r="E89" s="159" t="s">
        <v>337</v>
      </c>
      <c r="F89" s="160"/>
      <c r="G89" s="160"/>
      <c r="H89" s="160"/>
      <c r="I89" s="160"/>
      <c r="J89" s="161"/>
    </row>
    <row r="90" ht="14.25" customHeight="1">
      <c r="B90" s="152" t="s">
        <v>338</v>
      </c>
      <c r="C90" s="157">
        <v>42502.0</v>
      </c>
      <c r="D90" s="158">
        <v>2000.0</v>
      </c>
      <c r="E90" s="8" t="s">
        <v>336</v>
      </c>
      <c r="F90" s="87">
        <f>COUNTIFS(B89:B107,"Brakes")</f>
        <v>4</v>
      </c>
    </row>
    <row r="91" ht="14.25" customHeight="1">
      <c r="B91" s="152" t="s">
        <v>336</v>
      </c>
      <c r="C91" s="157">
        <v>42508.0</v>
      </c>
      <c r="D91" s="158">
        <v>500.0</v>
      </c>
      <c r="E91" s="8" t="s">
        <v>339</v>
      </c>
      <c r="F91" s="87">
        <f>COUNTIFS(B89:B107,"Window")</f>
        <v>5</v>
      </c>
    </row>
    <row r="92" ht="14.25" customHeight="1">
      <c r="B92" s="152" t="s">
        <v>340</v>
      </c>
      <c r="C92" s="157">
        <v>42510.0</v>
      </c>
      <c r="D92" s="158">
        <v>800.0</v>
      </c>
      <c r="E92" s="8" t="s">
        <v>338</v>
      </c>
      <c r="F92" s="87">
        <f>COUNTIFS(B89:B107,"Tyres")</f>
        <v>5</v>
      </c>
    </row>
    <row r="93" ht="14.25" customHeight="1">
      <c r="B93" s="152" t="s">
        <v>340</v>
      </c>
      <c r="C93" s="157">
        <v>42410.0</v>
      </c>
      <c r="D93" s="158">
        <v>1000.0</v>
      </c>
    </row>
    <row r="94" ht="14.25" customHeight="1">
      <c r="B94" s="152" t="s">
        <v>339</v>
      </c>
      <c r="C94" s="157">
        <v>42498.0</v>
      </c>
      <c r="D94" s="158">
        <v>1000.0</v>
      </c>
      <c r="E94" s="138" t="s">
        <v>341</v>
      </c>
    </row>
    <row r="95" ht="14.25" customHeight="1">
      <c r="B95" s="152" t="s">
        <v>338</v>
      </c>
      <c r="C95" s="157">
        <v>42500.0</v>
      </c>
      <c r="D95" s="158">
        <v>1200.0</v>
      </c>
      <c r="E95" s="87">
        <f>COUNTA(B89:B107)</f>
        <v>19</v>
      </c>
    </row>
    <row r="96" ht="14.25" customHeight="1">
      <c r="B96" s="152" t="s">
        <v>338</v>
      </c>
      <c r="C96" s="157">
        <v>42515.0</v>
      </c>
      <c r="D96" s="158">
        <v>1500.0</v>
      </c>
      <c r="E96" s="162" t="s">
        <v>342</v>
      </c>
      <c r="F96" s="161"/>
    </row>
    <row r="97" ht="14.25" customHeight="1">
      <c r="B97" s="152" t="s">
        <v>343</v>
      </c>
      <c r="C97" s="157">
        <v>42561.0</v>
      </c>
      <c r="D97" s="158">
        <v>1800.0</v>
      </c>
      <c r="E97" s="87">
        <f>COUNTIF(D89:D107,"&gt;1000")</f>
        <v>12</v>
      </c>
      <c r="F97" s="87">
        <f>COUNTIF(D89:D108,"&lt;1000")</f>
        <v>3</v>
      </c>
    </row>
    <row r="98" ht="14.25" customHeight="1">
      <c r="B98" s="152" t="s">
        <v>338</v>
      </c>
      <c r="C98" s="157">
        <v>42379.0</v>
      </c>
      <c r="D98" s="158">
        <v>2000.0</v>
      </c>
    </row>
    <row r="99" ht="14.25" customHeight="1">
      <c r="B99" s="152" t="s">
        <v>343</v>
      </c>
      <c r="C99" s="157">
        <v>42536.0</v>
      </c>
      <c r="D99" s="158">
        <v>1500.0</v>
      </c>
      <c r="E99" s="87" t="s">
        <v>344</v>
      </c>
    </row>
    <row r="100" ht="14.25" customHeight="1">
      <c r="B100" s="152" t="s">
        <v>343</v>
      </c>
      <c r="C100" s="157">
        <v>42381.0</v>
      </c>
      <c r="D100" s="158">
        <v>1000.0</v>
      </c>
    </row>
    <row r="101" ht="14.25" customHeight="1">
      <c r="B101" s="152" t="s">
        <v>339</v>
      </c>
      <c r="C101" s="157">
        <v>42370.0</v>
      </c>
      <c r="D101" s="158">
        <v>1200.0</v>
      </c>
    </row>
    <row r="102" ht="14.25" customHeight="1">
      <c r="B102" s="152" t="s">
        <v>339</v>
      </c>
      <c r="C102" s="157">
        <v>42500.0</v>
      </c>
      <c r="D102" s="158">
        <v>1500.0</v>
      </c>
      <c r="E102" s="144" t="s">
        <v>345</v>
      </c>
    </row>
    <row r="103" ht="14.25" customHeight="1">
      <c r="B103" s="152" t="s">
        <v>339</v>
      </c>
      <c r="C103" s="157">
        <v>42500.0</v>
      </c>
      <c r="D103" s="158">
        <v>1800.0</v>
      </c>
      <c r="E103" s="87">
        <f>SUMIF(B89:B107,"window",D89:D107)</f>
        <v>7300</v>
      </c>
    </row>
    <row r="104" ht="14.25" customHeight="1">
      <c r="B104" s="152" t="s">
        <v>336</v>
      </c>
      <c r="C104" s="157">
        <v>42500.0</v>
      </c>
      <c r="D104" s="158">
        <v>1000.0</v>
      </c>
      <c r="E104" s="87">
        <f>SUMIF(B89:B107,"brakes",D89:D107)</f>
        <v>3500</v>
      </c>
    </row>
    <row r="105" ht="14.25" customHeight="1">
      <c r="B105" s="152" t="s">
        <v>336</v>
      </c>
      <c r="C105" s="157">
        <v>42596.0</v>
      </c>
      <c r="D105" s="158">
        <v>1200.0</v>
      </c>
    </row>
    <row r="106" ht="14.25" customHeight="1">
      <c r="B106" s="152" t="s">
        <v>338</v>
      </c>
      <c r="C106" s="157">
        <v>42597.0</v>
      </c>
      <c r="D106" s="158">
        <v>1500.0</v>
      </c>
      <c r="E106" s="87">
        <v>15.0</v>
      </c>
      <c r="F106" s="144" t="str">
        <f>HLOOKUP(B88,B88:B107,15,0)</f>
        <v>Window</v>
      </c>
    </row>
    <row r="107" ht="14.25" customHeight="1">
      <c r="B107" s="152" t="s">
        <v>339</v>
      </c>
      <c r="C107" s="157">
        <v>42602.0</v>
      </c>
      <c r="D107" s="158">
        <v>1800.0</v>
      </c>
      <c r="E107" s="87">
        <v>18.0</v>
      </c>
      <c r="F107" s="144" t="str">
        <f>HLOOKUP(B88,B88:B107,18,0)</f>
        <v>Brakes</v>
      </c>
    </row>
    <row r="108" ht="14.25" customHeight="1">
      <c r="B108" s="152"/>
      <c r="E108" s="87">
        <v>20.0</v>
      </c>
      <c r="F108" s="144" t="str">
        <f>HLOOKUP(B88,B88:B107,20,0)</f>
        <v>Window</v>
      </c>
    </row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>
      <c r="B115" s="163" t="s">
        <v>346</v>
      </c>
      <c r="C115" s="112"/>
      <c r="D115" s="112"/>
      <c r="E115" s="112"/>
      <c r="F115" s="112"/>
      <c r="G115" s="112"/>
      <c r="H115" s="112"/>
      <c r="I115" s="113"/>
    </row>
    <row r="116" ht="14.25" customHeight="1">
      <c r="B116" s="120"/>
      <c r="C116" s="121"/>
      <c r="D116" s="121"/>
      <c r="E116" s="121"/>
      <c r="F116" s="121"/>
      <c r="G116" s="121"/>
      <c r="H116" s="121"/>
      <c r="I116" s="75"/>
      <c r="K116" s="137" t="s">
        <v>347</v>
      </c>
    </row>
    <row r="117" ht="14.25" customHeight="1">
      <c r="B117" s="164" t="s">
        <v>282</v>
      </c>
      <c r="C117" s="164" t="s">
        <v>348</v>
      </c>
      <c r="D117" s="164" t="s">
        <v>349</v>
      </c>
      <c r="E117" s="164" t="s">
        <v>350</v>
      </c>
      <c r="F117" s="164" t="s">
        <v>351</v>
      </c>
      <c r="G117" s="164" t="s">
        <v>352</v>
      </c>
      <c r="K117" s="87">
        <f>COUNTA(B118:B128)</f>
        <v>11</v>
      </c>
    </row>
    <row r="118" ht="14.25" customHeight="1">
      <c r="B118" s="135" t="s">
        <v>314</v>
      </c>
      <c r="C118" s="165">
        <v>29356.0</v>
      </c>
      <c r="D118" s="8">
        <f t="shared" ref="D118:D128" si="20">DATEDIF(C118,TODAY(),"md")</f>
        <v>21</v>
      </c>
      <c r="E118" s="8">
        <f t="shared" ref="E118:E128" si="21">DATEDIF(C118,TODAY(),"YM")</f>
        <v>5</v>
      </c>
      <c r="F118" s="87">
        <f t="shared" ref="F118:F128" si="22">DATEDIF(C118,TODAY(),"Y")</f>
        <v>44</v>
      </c>
      <c r="G118" s="87" t="str">
        <f t="shared" ref="G118:G128" si="23">IF(F118:F128&gt;20,"ADULT",IF(F118:F128&lt;20,"CHILD"))</f>
        <v>ADULT</v>
      </c>
    </row>
    <row r="119" ht="14.25" customHeight="1">
      <c r="B119" s="135" t="s">
        <v>300</v>
      </c>
      <c r="C119" s="166">
        <v>29818.0</v>
      </c>
      <c r="D119" s="8">
        <f t="shared" si="20"/>
        <v>16</v>
      </c>
      <c r="E119" s="8">
        <f t="shared" si="21"/>
        <v>2</v>
      </c>
      <c r="F119" s="87">
        <f t="shared" si="22"/>
        <v>43</v>
      </c>
      <c r="G119" s="87" t="str">
        <f t="shared" si="23"/>
        <v>ADULT</v>
      </c>
      <c r="K119" s="144" t="s">
        <v>353</v>
      </c>
    </row>
    <row r="120" ht="14.25" customHeight="1">
      <c r="B120" s="135" t="s">
        <v>298</v>
      </c>
      <c r="C120" s="165">
        <v>37909.0</v>
      </c>
      <c r="D120" s="8">
        <f t="shared" si="20"/>
        <v>21</v>
      </c>
      <c r="E120" s="8">
        <f t="shared" si="21"/>
        <v>0</v>
      </c>
      <c r="F120" s="87">
        <f t="shared" si="22"/>
        <v>21</v>
      </c>
      <c r="G120" s="87" t="str">
        <f t="shared" si="23"/>
        <v>ADULT</v>
      </c>
      <c r="K120" s="87">
        <f>SUMIF(B118:B128,"SURENDRA",F118:F128)</f>
        <v>14</v>
      </c>
    </row>
    <row r="121" ht="14.25" customHeight="1">
      <c r="B121" s="135" t="s">
        <v>238</v>
      </c>
      <c r="C121" s="166">
        <v>33018.0</v>
      </c>
      <c r="D121" s="8">
        <f t="shared" si="20"/>
        <v>11</v>
      </c>
      <c r="E121" s="8">
        <f t="shared" si="21"/>
        <v>5</v>
      </c>
      <c r="F121" s="87">
        <f t="shared" si="22"/>
        <v>34</v>
      </c>
      <c r="G121" s="87" t="str">
        <f t="shared" si="23"/>
        <v>ADULT</v>
      </c>
    </row>
    <row r="122" ht="14.25" customHeight="1">
      <c r="B122" s="135" t="s">
        <v>231</v>
      </c>
      <c r="C122" s="166">
        <v>33840.0</v>
      </c>
      <c r="D122" s="8">
        <f t="shared" si="20"/>
        <v>12</v>
      </c>
      <c r="E122" s="8">
        <f t="shared" si="21"/>
        <v>2</v>
      </c>
      <c r="F122" s="87">
        <f t="shared" si="22"/>
        <v>32</v>
      </c>
      <c r="G122" s="87" t="str">
        <f t="shared" si="23"/>
        <v>ADULT</v>
      </c>
      <c r="K122" s="144" t="s">
        <v>354</v>
      </c>
    </row>
    <row r="123" ht="14.25" customHeight="1">
      <c r="B123" s="135" t="s">
        <v>229</v>
      </c>
      <c r="C123" s="166">
        <v>36030.0</v>
      </c>
      <c r="D123" s="8">
        <f t="shared" si="20"/>
        <v>13</v>
      </c>
      <c r="E123" s="8">
        <f t="shared" si="21"/>
        <v>2</v>
      </c>
      <c r="F123" s="87">
        <f t="shared" si="22"/>
        <v>26</v>
      </c>
      <c r="G123" s="87" t="str">
        <f t="shared" si="23"/>
        <v>ADULT</v>
      </c>
      <c r="K123" s="87">
        <f>COUNTIF(F118:F128,"&gt;20")</f>
        <v>8</v>
      </c>
    </row>
    <row r="124" ht="14.25" customHeight="1">
      <c r="B124" s="135" t="s">
        <v>322</v>
      </c>
      <c r="C124" s="166">
        <v>29353.0</v>
      </c>
      <c r="D124" s="8">
        <f t="shared" si="20"/>
        <v>24</v>
      </c>
      <c r="E124" s="8">
        <f t="shared" si="21"/>
        <v>5</v>
      </c>
      <c r="F124" s="87">
        <f t="shared" si="22"/>
        <v>44</v>
      </c>
      <c r="G124" s="87" t="str">
        <f t="shared" si="23"/>
        <v>ADULT</v>
      </c>
    </row>
    <row r="125" ht="14.25" customHeight="1">
      <c r="B125" s="135" t="s">
        <v>355</v>
      </c>
      <c r="C125" s="166">
        <v>38429.0</v>
      </c>
      <c r="D125" s="8">
        <f t="shared" si="20"/>
        <v>18</v>
      </c>
      <c r="E125" s="8">
        <f t="shared" si="21"/>
        <v>7</v>
      </c>
      <c r="F125" s="87">
        <f t="shared" si="22"/>
        <v>19</v>
      </c>
      <c r="G125" s="87" t="str">
        <f t="shared" si="23"/>
        <v>CHILD</v>
      </c>
      <c r="K125" s="144" t="s">
        <v>356</v>
      </c>
    </row>
    <row r="126" ht="14.25" customHeight="1">
      <c r="B126" s="135" t="s">
        <v>325</v>
      </c>
      <c r="C126" s="166">
        <v>39309.0</v>
      </c>
      <c r="D126" s="8">
        <f t="shared" si="20"/>
        <v>21</v>
      </c>
      <c r="E126" s="8">
        <f t="shared" si="21"/>
        <v>2</v>
      </c>
      <c r="F126" s="87">
        <f t="shared" si="22"/>
        <v>17</v>
      </c>
      <c r="G126" s="87" t="str">
        <f t="shared" si="23"/>
        <v>CHILD</v>
      </c>
      <c r="K126" s="87">
        <f>COUNTIF(F118:F128,"&gt;25")</f>
        <v>7</v>
      </c>
    </row>
    <row r="127" ht="14.25" customHeight="1">
      <c r="B127" s="135" t="s">
        <v>327</v>
      </c>
      <c r="C127" s="166">
        <v>40323.0</v>
      </c>
      <c r="D127" s="8">
        <f t="shared" si="20"/>
        <v>11</v>
      </c>
      <c r="E127" s="8">
        <f t="shared" si="21"/>
        <v>5</v>
      </c>
      <c r="F127" s="87">
        <f t="shared" si="22"/>
        <v>14</v>
      </c>
      <c r="G127" s="87" t="str">
        <f t="shared" si="23"/>
        <v>CHILD</v>
      </c>
    </row>
    <row r="128" ht="14.25" customHeight="1">
      <c r="B128" s="135" t="s">
        <v>328</v>
      </c>
      <c r="C128" s="166">
        <v>34206.0</v>
      </c>
      <c r="D128" s="8">
        <f t="shared" si="20"/>
        <v>11</v>
      </c>
      <c r="E128" s="8">
        <f t="shared" si="21"/>
        <v>2</v>
      </c>
      <c r="F128" s="87">
        <f t="shared" si="22"/>
        <v>31</v>
      </c>
      <c r="G128" s="87" t="str">
        <f t="shared" si="23"/>
        <v>ADULT</v>
      </c>
    </row>
    <row r="129" ht="14.25" customHeight="1"/>
    <row r="130" ht="14.25" customHeight="1"/>
    <row r="131" ht="14.25" customHeight="1">
      <c r="B131" s="167" t="s">
        <v>357</v>
      </c>
      <c r="C131" s="112"/>
      <c r="D131" s="112"/>
      <c r="E131" s="112"/>
      <c r="F131" s="112"/>
      <c r="G131" s="112"/>
      <c r="H131" s="112"/>
      <c r="I131" s="113"/>
    </row>
    <row r="132" ht="14.25" customHeight="1">
      <c r="B132" s="120"/>
      <c r="C132" s="121"/>
      <c r="D132" s="121"/>
      <c r="E132" s="121"/>
      <c r="F132" s="121"/>
      <c r="G132" s="121"/>
      <c r="H132" s="121"/>
      <c r="I132" s="75"/>
    </row>
    <row r="133" ht="14.25" customHeight="1">
      <c r="B133" s="168" t="s">
        <v>358</v>
      </c>
      <c r="C133" s="161"/>
      <c r="D133" s="168" t="s">
        <v>262</v>
      </c>
      <c r="E133" s="160"/>
      <c r="F133" s="161"/>
      <c r="G133" s="168" t="s">
        <v>318</v>
      </c>
      <c r="H133" s="160"/>
      <c r="I133" s="161"/>
      <c r="L133" s="137" t="s">
        <v>359</v>
      </c>
    </row>
    <row r="134" ht="14.25" customHeight="1">
      <c r="B134" s="169" t="s">
        <v>282</v>
      </c>
      <c r="C134" s="169" t="s">
        <v>360</v>
      </c>
      <c r="D134" s="169" t="s">
        <v>271</v>
      </c>
      <c r="E134" s="169" t="s">
        <v>274</v>
      </c>
      <c r="F134" s="169" t="s">
        <v>82</v>
      </c>
      <c r="G134" s="169" t="s">
        <v>361</v>
      </c>
      <c r="H134" s="169" t="s">
        <v>268</v>
      </c>
      <c r="L134" s="87">
        <f>COUNTA(B135:B144)</f>
        <v>10</v>
      </c>
    </row>
    <row r="135" ht="14.25" customHeight="1">
      <c r="B135" s="170" t="s">
        <v>362</v>
      </c>
      <c r="C135" s="151">
        <v>80.0</v>
      </c>
      <c r="D135" s="171">
        <v>75.0</v>
      </c>
      <c r="E135" s="143">
        <v>85.0</v>
      </c>
      <c r="F135" s="172">
        <f t="shared" ref="F135:F144" si="24">SUM(C135:E135)</f>
        <v>240</v>
      </c>
      <c r="G135" s="173">
        <f t="shared" ref="G135:G144" si="25">F135/300</f>
        <v>0.8</v>
      </c>
      <c r="H135" s="87" t="str">
        <f t="shared" ref="H135:H144" si="26">IF(G135&gt;70%,"EXCELLENT",IF(G135&gt;50%,"GOOD","BAD"))</f>
        <v>EXCELLENT</v>
      </c>
    </row>
    <row r="136" ht="14.25" customHeight="1">
      <c r="B136" s="170" t="s">
        <v>363</v>
      </c>
      <c r="C136" s="151">
        <v>50.0</v>
      </c>
      <c r="D136" s="171">
        <v>30.0</v>
      </c>
      <c r="E136" s="143">
        <v>40.0</v>
      </c>
      <c r="F136" s="172">
        <f t="shared" si="24"/>
        <v>120</v>
      </c>
      <c r="G136" s="173">
        <f t="shared" si="25"/>
        <v>0.4</v>
      </c>
      <c r="H136" s="87" t="str">
        <f t="shared" si="26"/>
        <v>BAD</v>
      </c>
      <c r="K136" s="138" t="s">
        <v>364</v>
      </c>
    </row>
    <row r="137" ht="14.25" customHeight="1">
      <c r="B137" s="170" t="s">
        <v>365</v>
      </c>
      <c r="C137" s="151">
        <v>60.0</v>
      </c>
      <c r="D137" s="171">
        <v>70.0</v>
      </c>
      <c r="E137" s="143" t="s">
        <v>366</v>
      </c>
      <c r="F137" s="172">
        <f t="shared" si="24"/>
        <v>130</v>
      </c>
      <c r="G137" s="173">
        <f t="shared" si="25"/>
        <v>0.4333333333</v>
      </c>
      <c r="H137" s="87" t="str">
        <f t="shared" si="26"/>
        <v>BAD</v>
      </c>
      <c r="K137" s="87">
        <f>COUNTIF(G135:G144,"&lt;50")</f>
        <v>10</v>
      </c>
    </row>
    <row r="138" ht="14.25" customHeight="1">
      <c r="B138" s="170" t="s">
        <v>367</v>
      </c>
      <c r="C138" s="151">
        <v>90.0</v>
      </c>
      <c r="D138" s="171">
        <v>85.0</v>
      </c>
      <c r="E138" s="143">
        <v>95.0</v>
      </c>
      <c r="F138" s="172">
        <f t="shared" si="24"/>
        <v>270</v>
      </c>
      <c r="G138" s="173">
        <f t="shared" si="25"/>
        <v>0.9</v>
      </c>
      <c r="H138" s="87" t="str">
        <f t="shared" si="26"/>
        <v>EXCELLENT</v>
      </c>
    </row>
    <row r="139" ht="14.25" customHeight="1">
      <c r="B139" s="170" t="s">
        <v>368</v>
      </c>
      <c r="C139" s="151">
        <v>20.0</v>
      </c>
      <c r="D139" s="171">
        <v>30.0</v>
      </c>
      <c r="E139" s="143" t="s">
        <v>369</v>
      </c>
      <c r="F139" s="172">
        <f t="shared" si="24"/>
        <v>50</v>
      </c>
      <c r="G139" s="173">
        <f t="shared" si="25"/>
        <v>0.1666666667</v>
      </c>
      <c r="H139" s="87" t="str">
        <f t="shared" si="26"/>
        <v>BAD</v>
      </c>
      <c r="K139" s="174" t="s">
        <v>48</v>
      </c>
      <c r="L139" s="174" t="s">
        <v>370</v>
      </c>
    </row>
    <row r="140" ht="14.25" customHeight="1">
      <c r="B140" s="170" t="s">
        <v>371</v>
      </c>
      <c r="C140" s="151">
        <v>40.0</v>
      </c>
      <c r="D140" s="171">
        <v>60.0</v>
      </c>
      <c r="E140" s="143">
        <v>80.0</v>
      </c>
      <c r="F140" s="172">
        <f t="shared" si="24"/>
        <v>180</v>
      </c>
      <c r="G140" s="173">
        <f t="shared" si="25"/>
        <v>0.6</v>
      </c>
      <c r="H140" s="87" t="str">
        <f t="shared" si="26"/>
        <v>GOOD</v>
      </c>
      <c r="K140" s="8" t="s">
        <v>372</v>
      </c>
      <c r="L140" s="87">
        <f>SUMIF(B135:B144,"BOB",F135:F144)</f>
        <v>120</v>
      </c>
    </row>
    <row r="141" ht="14.25" customHeight="1">
      <c r="B141" s="170" t="s">
        <v>373</v>
      </c>
      <c r="C141" s="151">
        <v>10.0</v>
      </c>
      <c r="D141" s="171">
        <v>90.0</v>
      </c>
      <c r="E141" s="143">
        <v>80.0</v>
      </c>
      <c r="F141" s="172">
        <f t="shared" si="24"/>
        <v>180</v>
      </c>
      <c r="G141" s="173">
        <f t="shared" si="25"/>
        <v>0.6</v>
      </c>
      <c r="H141" s="87" t="str">
        <f t="shared" si="26"/>
        <v>GOOD</v>
      </c>
      <c r="K141" s="8" t="s">
        <v>374</v>
      </c>
      <c r="L141" s="87">
        <f>SUMIF(B135:B144,"ERIC",F135:F144)</f>
        <v>50</v>
      </c>
    </row>
    <row r="142" ht="14.25" customHeight="1">
      <c r="B142" s="170" t="s">
        <v>375</v>
      </c>
      <c r="C142" s="151">
        <v>80.0</v>
      </c>
      <c r="D142" s="171">
        <v>70.0</v>
      </c>
      <c r="E142" s="143">
        <v>60.0</v>
      </c>
      <c r="F142" s="172">
        <f t="shared" si="24"/>
        <v>210</v>
      </c>
      <c r="G142" s="173">
        <f t="shared" si="25"/>
        <v>0.7</v>
      </c>
      <c r="H142" s="87" t="str">
        <f t="shared" si="26"/>
        <v>GOOD</v>
      </c>
    </row>
    <row r="143" ht="14.25" customHeight="1">
      <c r="B143" s="170" t="s">
        <v>376</v>
      </c>
      <c r="C143" s="151">
        <v>30.0</v>
      </c>
      <c r="D143" s="171">
        <v>10.0</v>
      </c>
      <c r="E143" s="143">
        <v>20.0</v>
      </c>
      <c r="F143" s="172">
        <f t="shared" si="24"/>
        <v>60</v>
      </c>
      <c r="G143" s="173">
        <f t="shared" si="25"/>
        <v>0.2</v>
      </c>
      <c r="H143" s="87" t="str">
        <f t="shared" si="26"/>
        <v>BAD</v>
      </c>
      <c r="K143" s="174" t="s">
        <v>377</v>
      </c>
    </row>
    <row r="144" ht="14.25" customHeight="1">
      <c r="B144" s="170" t="s">
        <v>378</v>
      </c>
      <c r="C144" s="151">
        <v>10.0</v>
      </c>
      <c r="D144" s="171">
        <v>20.0</v>
      </c>
      <c r="E144" s="143">
        <v>30.0</v>
      </c>
      <c r="F144" s="172">
        <f t="shared" si="24"/>
        <v>60</v>
      </c>
      <c r="G144" s="173">
        <f t="shared" si="25"/>
        <v>0.2</v>
      </c>
      <c r="H144" s="87" t="str">
        <f t="shared" si="26"/>
        <v>BAD</v>
      </c>
      <c r="K144" s="87">
        <f>COUNTIF(H135:H144,"GOOD")</f>
        <v>3</v>
      </c>
    </row>
    <row r="145" ht="14.25" customHeight="1">
      <c r="K145" s="87">
        <f>COUNTIF(H135:H144,"BAD")</f>
        <v>5</v>
      </c>
    </row>
    <row r="146" ht="14.25" customHeight="1"/>
    <row r="147" ht="14.25" customHeight="1">
      <c r="B147" s="175" t="s">
        <v>379</v>
      </c>
      <c r="C147" s="112"/>
      <c r="D147" s="112"/>
      <c r="E147" s="112"/>
      <c r="F147" s="112"/>
      <c r="G147" s="112"/>
      <c r="H147" s="112"/>
      <c r="I147" s="113"/>
    </row>
    <row r="148" ht="14.25" customHeight="1">
      <c r="B148" s="120"/>
      <c r="C148" s="121"/>
      <c r="D148" s="121"/>
      <c r="E148" s="121"/>
      <c r="F148" s="121"/>
      <c r="G148" s="121"/>
      <c r="H148" s="121"/>
      <c r="I148" s="75"/>
    </row>
    <row r="149" ht="14.25" customHeight="1">
      <c r="B149" s="176" t="s">
        <v>380</v>
      </c>
      <c r="C149" s="176" t="s">
        <v>381</v>
      </c>
      <c r="D149" s="176" t="s">
        <v>382</v>
      </c>
      <c r="F149" s="177" t="s">
        <v>380</v>
      </c>
      <c r="G149" s="177" t="s">
        <v>383</v>
      </c>
      <c r="H149" s="177" t="s">
        <v>384</v>
      </c>
      <c r="I149" s="177" t="s">
        <v>385</v>
      </c>
    </row>
    <row r="150" ht="14.25" customHeight="1">
      <c r="B150" s="8">
        <v>110608.0</v>
      </c>
      <c r="C150" s="8" t="s">
        <v>386</v>
      </c>
      <c r="D150" s="8" t="s">
        <v>387</v>
      </c>
      <c r="F150" s="8">
        <v>602693.0</v>
      </c>
      <c r="G150" s="178">
        <v>84289.0</v>
      </c>
      <c r="H150" s="87" t="str">
        <f>VLOOKUP(F150,B150:D162,3,0)</f>
        <v>Micheal</v>
      </c>
      <c r="I150" s="87" t="str">
        <f>VLOOKUP(F150,B150:D162,2,0)</f>
        <v>Vick</v>
      </c>
    </row>
    <row r="151" ht="14.25" customHeight="1">
      <c r="B151" s="8">
        <v>253072.0</v>
      </c>
      <c r="C151" s="8" t="s">
        <v>388</v>
      </c>
      <c r="D151" s="8" t="s">
        <v>389</v>
      </c>
      <c r="F151" s="8">
        <v>611810.0</v>
      </c>
      <c r="G151" s="178">
        <v>137670.0</v>
      </c>
      <c r="H151" s="87" t="str">
        <f>VLOOKUP(F151,B150:D162,3,0)</f>
        <v>Tiger</v>
      </c>
      <c r="I151" s="87" t="str">
        <f>VLOOKUP(F151,B150:D162,2,0)</f>
        <v>Woods</v>
      </c>
    </row>
    <row r="152" ht="14.25" customHeight="1">
      <c r="B152" s="8">
        <v>352711.0</v>
      </c>
      <c r="C152" s="8" t="s">
        <v>390</v>
      </c>
      <c r="D152" s="8" t="s">
        <v>387</v>
      </c>
      <c r="F152" s="8">
        <v>549457.0</v>
      </c>
      <c r="G152" s="178">
        <v>190024.0</v>
      </c>
      <c r="H152" s="87" t="str">
        <f>VLOOKUP(F152,B150:D162,3,0)</f>
        <v>John</v>
      </c>
      <c r="I152" s="87" t="str">
        <f>VLOOKUP(F152,B150:D162,2,0)</f>
        <v>Elway</v>
      </c>
    </row>
    <row r="153" ht="14.25" customHeight="1">
      <c r="B153" s="8">
        <v>391006.0</v>
      </c>
      <c r="C153" s="8" t="s">
        <v>391</v>
      </c>
      <c r="D153" s="8" t="s">
        <v>392</v>
      </c>
      <c r="F153" s="8">
        <v>612235.0</v>
      </c>
      <c r="G153" s="178">
        <v>122604.0</v>
      </c>
      <c r="H153" s="87" t="str">
        <f>VLOOKUP(F153,B150:D162,3,0)</f>
        <v>Micheal</v>
      </c>
      <c r="I153" s="87" t="str">
        <f>VLOOKUP(F153,B150:D162,2,0)</f>
        <v>Jordan</v>
      </c>
    </row>
    <row r="154" ht="14.25" customHeight="1">
      <c r="B154" s="8">
        <v>392128.0</v>
      </c>
      <c r="C154" s="8" t="s">
        <v>393</v>
      </c>
      <c r="D154" s="8" t="s">
        <v>394</v>
      </c>
      <c r="F154" s="8">
        <v>580622.0</v>
      </c>
      <c r="G154" s="178">
        <v>111709.0</v>
      </c>
      <c r="H154" s="87" t="str">
        <f>VLOOKUP(F154,B150:D162,3,0)</f>
        <v>Eli</v>
      </c>
      <c r="I154" s="87" t="str">
        <f>VLOOKUP(F154,B154:D166,2,0)</f>
        <v>Manning</v>
      </c>
    </row>
    <row r="155" ht="14.25" customHeight="1">
      <c r="B155" s="8">
        <v>549457.0</v>
      </c>
      <c r="C155" s="8" t="s">
        <v>395</v>
      </c>
      <c r="D155" s="8" t="s">
        <v>387</v>
      </c>
      <c r="F155" s="8">
        <v>830385.0</v>
      </c>
      <c r="G155" s="178">
        <v>85931.0</v>
      </c>
      <c r="H155" s="87" t="str">
        <f>VLOOKUP(F155,B150:D162,3,0)</f>
        <v>Prince</v>
      </c>
      <c r="I155" s="87" t="str">
        <f>VLOOKUP(F155,B150:D162,2,0)</f>
        <v>Williams</v>
      </c>
    </row>
    <row r="156" ht="14.25" customHeight="1">
      <c r="B156" s="8">
        <v>580622.0</v>
      </c>
      <c r="C156" s="8" t="s">
        <v>396</v>
      </c>
      <c r="D156" s="8" t="s">
        <v>397</v>
      </c>
      <c r="F156" s="8">
        <v>253072.0</v>
      </c>
      <c r="G156" s="178">
        <v>168114.0</v>
      </c>
      <c r="H156" s="87" t="str">
        <f>VLOOKUP(F156,B150:D162,3,0)</f>
        <v>Andy</v>
      </c>
      <c r="I156" s="87" t="str">
        <f>VLOOKUP(F156,B150:D162,2,0)</f>
        <v>Cline</v>
      </c>
    </row>
    <row r="157" ht="14.25" customHeight="1">
      <c r="B157" s="8">
        <v>602693.0</v>
      </c>
      <c r="C157" s="8" t="s">
        <v>398</v>
      </c>
      <c r="D157" s="8" t="s">
        <v>399</v>
      </c>
      <c r="F157" s="8">
        <v>391006.0</v>
      </c>
      <c r="G157" s="178">
        <v>89627.0</v>
      </c>
      <c r="H157" s="87" t="str">
        <f>VLOOKUP(F157,B150:D162,3,0)</f>
        <v>peter</v>
      </c>
      <c r="I157" s="87" t="str">
        <f>VLOOKUP(F157,B150:D162,2,0)</f>
        <v>Pan</v>
      </c>
    </row>
    <row r="158" ht="14.25" customHeight="1">
      <c r="B158" s="8">
        <v>611810.0</v>
      </c>
      <c r="C158" s="8" t="s">
        <v>400</v>
      </c>
      <c r="D158" s="8" t="s">
        <v>401</v>
      </c>
      <c r="F158" s="8">
        <v>990678.0</v>
      </c>
      <c r="G158" s="178">
        <v>149946.0</v>
      </c>
      <c r="H158" s="87" t="str">
        <f>VLOOKUP(F158,B158:D170,3,0)</f>
        <v>Brad</v>
      </c>
      <c r="I158" s="87" t="str">
        <f>VLOOKUP(F158,B150:D162,2,0)</f>
        <v>Pitt</v>
      </c>
    </row>
    <row r="159" ht="14.25" customHeight="1">
      <c r="B159" s="8">
        <v>612235.0</v>
      </c>
      <c r="C159" s="8" t="s">
        <v>402</v>
      </c>
      <c r="D159" s="8" t="s">
        <v>399</v>
      </c>
      <c r="F159" s="8">
        <v>795574.0</v>
      </c>
      <c r="G159" s="178">
        <v>145893.0</v>
      </c>
      <c r="H159" s="87" t="str">
        <f>VLOOKUP(F159,B150:D162,3,0)</f>
        <v>Tony</v>
      </c>
      <c r="I159" s="87" t="str">
        <f>VLOOKUP(F159,B150:D162,2,0)</f>
        <v>Stark</v>
      </c>
    </row>
    <row r="160" ht="14.25" customHeight="1">
      <c r="B160" s="8">
        <v>795574.0</v>
      </c>
      <c r="C160" s="8" t="s">
        <v>403</v>
      </c>
      <c r="D160" s="8" t="s">
        <v>404</v>
      </c>
      <c r="F160" s="8">
        <v>392128.0</v>
      </c>
      <c r="G160" s="178">
        <v>64757.0</v>
      </c>
      <c r="H160" s="87" t="str">
        <f>VLOOKUP(F160,B150:D162,3,0)</f>
        <v>Bret</v>
      </c>
      <c r="I160" s="87" t="str">
        <f>VLOOKUP(F160,B150:D162,2,0)</f>
        <v>Favre</v>
      </c>
    </row>
    <row r="161" ht="14.25" customHeight="1">
      <c r="B161" s="8">
        <v>830385.0</v>
      </c>
      <c r="C161" s="8" t="s">
        <v>405</v>
      </c>
      <c r="D161" s="8" t="s">
        <v>406</v>
      </c>
      <c r="F161" s="8">
        <v>352711.0</v>
      </c>
      <c r="G161" s="178">
        <v>71478.0</v>
      </c>
      <c r="H161" s="87" t="str">
        <f>VLOOKUP(F161,B150:D162,3,0)</f>
        <v>John</v>
      </c>
      <c r="I161" s="87" t="str">
        <f>VLOOKUP(F161,B150:D162,2,0)</f>
        <v>Smith</v>
      </c>
    </row>
    <row r="162" ht="14.25" customHeight="1">
      <c r="B162" s="8">
        <v>990678.0</v>
      </c>
      <c r="C162" s="8" t="s">
        <v>407</v>
      </c>
      <c r="D162" s="8" t="s">
        <v>408</v>
      </c>
      <c r="F162" s="8">
        <v>110608.0</v>
      </c>
      <c r="G162" s="178">
        <v>121444.0</v>
      </c>
      <c r="H162" s="87" t="str">
        <f>VLOOKUP(F162,B150:D162,3,0)</f>
        <v>John</v>
      </c>
      <c r="I162" s="87" t="str">
        <f>VLOOKUP(F162,B150:D162,2,0)</f>
        <v>Doe</v>
      </c>
    </row>
    <row r="163" ht="14.25" customHeight="1"/>
    <row r="164" ht="14.25" customHeight="1"/>
    <row r="165" ht="14.25" customHeight="1"/>
    <row r="166" ht="14.25" customHeight="1"/>
    <row r="167" ht="14.25" customHeight="1">
      <c r="B167" s="179" t="s">
        <v>409</v>
      </c>
      <c r="C167" s="112"/>
      <c r="D167" s="112"/>
      <c r="E167" s="112"/>
      <c r="F167" s="112"/>
      <c r="G167" s="112"/>
      <c r="H167" s="112"/>
      <c r="I167" s="113"/>
    </row>
    <row r="168" ht="14.25" customHeight="1">
      <c r="B168" s="120"/>
      <c r="C168" s="121"/>
      <c r="D168" s="121"/>
      <c r="E168" s="121"/>
      <c r="F168" s="121"/>
      <c r="G168" s="121"/>
      <c r="H168" s="121"/>
      <c r="I168" s="75"/>
    </row>
    <row r="169" ht="14.25" customHeight="1">
      <c r="B169" s="180" t="s">
        <v>410</v>
      </c>
      <c r="C169" s="180" t="s">
        <v>411</v>
      </c>
      <c r="D169" s="180" t="s">
        <v>412</v>
      </c>
      <c r="E169" s="180" t="s">
        <v>283</v>
      </c>
      <c r="F169" s="180" t="s">
        <v>413</v>
      </c>
      <c r="G169" s="180" t="s">
        <v>414</v>
      </c>
    </row>
    <row r="170" ht="14.25" customHeight="1">
      <c r="B170" s="8" t="s">
        <v>415</v>
      </c>
      <c r="C170" s="87" t="str">
        <f>VLOOKUP(B170,B175:G188,2,0)</f>
        <v>faith K. Macias</v>
      </c>
      <c r="D170" s="87" t="str">
        <f>VLOOKUP(B170,B175:G188,3,0)</f>
        <v>845-04-3962</v>
      </c>
      <c r="E170" s="87" t="str">
        <f>VLOOKUP(B170,B175:G188,4,0)</f>
        <v>Marketing</v>
      </c>
      <c r="F170" s="181">
        <f>VLOOKUP(B170,B175:G188,5,0)</f>
        <v>39474</v>
      </c>
      <c r="G170" s="182">
        <f>VLOOKUP(B170,B175:G188,6,0)</f>
        <v>73500</v>
      </c>
    </row>
    <row r="171" ht="14.25" customHeight="1">
      <c r="B171" s="8" t="s">
        <v>416</v>
      </c>
      <c r="C171" s="87" t="str">
        <f>VLOOKUP(B171,B175:G188,2,0)</f>
        <v>Lucian Q. Franklin</v>
      </c>
      <c r="D171" s="87" t="str">
        <f>VLOOKUP(B171,B175:G188,3,0)</f>
        <v>845-28-4935</v>
      </c>
      <c r="E171" s="87" t="str">
        <f>VLOOKUP(B171,B175:G188,4,0)</f>
        <v>IT/IS</v>
      </c>
      <c r="F171" s="181">
        <f>VLOOKUP(B171,B175:G188,5,0)</f>
        <v>39508</v>
      </c>
      <c r="G171" s="182">
        <f>VLOOKUP(B171,B175:G188,6,0)</f>
        <v>80000</v>
      </c>
    </row>
    <row r="172" ht="14.25" customHeight="1">
      <c r="B172" s="8" t="s">
        <v>417</v>
      </c>
      <c r="C172" s="87" t="str">
        <f>VLOOKUP(B172,B175:G188,2,0)</f>
        <v>Blaze V. Bridges</v>
      </c>
      <c r="D172" s="87" t="str">
        <f>VLOOKUP(B172,B175:G188,3,0)</f>
        <v>503-53-8350</v>
      </c>
      <c r="E172" s="87" t="str">
        <f>VLOOKUP(B172,B175:G188,4,0)</f>
        <v>Marketing</v>
      </c>
      <c r="F172" s="181">
        <f>VLOOKUP(B172,B175:G188,5,0)</f>
        <v>39554</v>
      </c>
      <c r="G172" s="182">
        <f>VLOOKUP(B172,B175:G188,6,0)</f>
        <v>95000</v>
      </c>
    </row>
    <row r="173" ht="14.25" customHeight="1">
      <c r="I173" s="183" t="s">
        <v>418</v>
      </c>
      <c r="J173" s="160"/>
      <c r="K173" s="161"/>
    </row>
    <row r="174" ht="14.25" customHeight="1">
      <c r="B174" s="184" t="s">
        <v>410</v>
      </c>
      <c r="C174" s="184" t="s">
        <v>411</v>
      </c>
      <c r="D174" s="184" t="s">
        <v>412</v>
      </c>
      <c r="E174" s="184" t="s">
        <v>283</v>
      </c>
      <c r="F174" s="184" t="s">
        <v>413</v>
      </c>
      <c r="G174" s="184" t="s">
        <v>419</v>
      </c>
      <c r="I174" s="25">
        <f>COUNTA(B175:B188)</f>
        <v>14</v>
      </c>
    </row>
    <row r="175" ht="14.25" customHeight="1">
      <c r="B175" s="135" t="s">
        <v>415</v>
      </c>
      <c r="C175" s="133" t="s">
        <v>420</v>
      </c>
      <c r="D175" s="185" t="s">
        <v>421</v>
      </c>
      <c r="E175" s="153" t="s">
        <v>422</v>
      </c>
      <c r="F175" s="186">
        <v>39474.0</v>
      </c>
      <c r="G175" s="187">
        <v>73500.0</v>
      </c>
    </row>
    <row r="176" ht="14.25" customHeight="1">
      <c r="B176" s="135" t="s">
        <v>416</v>
      </c>
      <c r="C176" s="133" t="s">
        <v>423</v>
      </c>
      <c r="D176" s="185" t="s">
        <v>424</v>
      </c>
      <c r="E176" s="153" t="s">
        <v>425</v>
      </c>
      <c r="F176" s="186">
        <v>39508.0</v>
      </c>
      <c r="G176" s="187">
        <v>80000.0</v>
      </c>
      <c r="I176" s="183" t="s">
        <v>426</v>
      </c>
      <c r="J176" s="160"/>
      <c r="K176" s="161"/>
    </row>
    <row r="177" ht="14.25" customHeight="1">
      <c r="B177" s="135" t="s">
        <v>417</v>
      </c>
      <c r="C177" s="133" t="s">
        <v>427</v>
      </c>
      <c r="D177" s="185" t="s">
        <v>428</v>
      </c>
      <c r="E177" s="153" t="s">
        <v>422</v>
      </c>
      <c r="F177" s="186">
        <v>39554.0</v>
      </c>
      <c r="G177" s="187">
        <v>95000.0</v>
      </c>
      <c r="I177" s="25">
        <f>COUNTIF(E175:E188,"FINANCE")</f>
        <v>2</v>
      </c>
      <c r="K177" s="87">
        <f>COUNTIF(E175:E188,"MARKETING")</f>
        <v>7</v>
      </c>
      <c r="L177" s="25">
        <f>COUNTIF(E175:E188,"FINANCE")</f>
        <v>2</v>
      </c>
    </row>
    <row r="178" ht="14.25" customHeight="1">
      <c r="B178" s="135" t="s">
        <v>429</v>
      </c>
      <c r="C178" s="133" t="s">
        <v>430</v>
      </c>
      <c r="D178" s="185" t="s">
        <v>431</v>
      </c>
      <c r="E178" s="153" t="s">
        <v>422</v>
      </c>
      <c r="F178" s="186">
        <v>39571.0</v>
      </c>
      <c r="G178" s="187" t="s">
        <v>432</v>
      </c>
    </row>
    <row r="179" ht="14.25" customHeight="1">
      <c r="B179" s="135" t="s">
        <v>433</v>
      </c>
      <c r="C179" s="133" t="s">
        <v>434</v>
      </c>
      <c r="D179" s="185" t="s">
        <v>435</v>
      </c>
      <c r="E179" s="153" t="s">
        <v>436</v>
      </c>
      <c r="F179" s="186">
        <v>39640.0</v>
      </c>
      <c r="G179" s="187" t="s">
        <v>437</v>
      </c>
      <c r="I179" s="183" t="s">
        <v>438</v>
      </c>
      <c r="J179" s="160"/>
      <c r="K179" s="161"/>
    </row>
    <row r="180" ht="14.25" customHeight="1">
      <c r="B180" s="135" t="s">
        <v>439</v>
      </c>
      <c r="C180" s="133" t="s">
        <v>440</v>
      </c>
      <c r="D180" s="185" t="s">
        <v>441</v>
      </c>
      <c r="E180" s="153" t="s">
        <v>442</v>
      </c>
      <c r="F180" s="186">
        <v>39646.0</v>
      </c>
      <c r="G180" s="187" t="s">
        <v>443</v>
      </c>
      <c r="I180" s="188">
        <f>SUMIF(E175:E188,"MARKETING",G175:G188)</f>
        <v>168500</v>
      </c>
    </row>
    <row r="181" ht="14.25" customHeight="1">
      <c r="B181" s="135" t="s">
        <v>444</v>
      </c>
      <c r="C181" s="133" t="s">
        <v>445</v>
      </c>
      <c r="D181" s="185" t="s">
        <v>446</v>
      </c>
      <c r="E181" s="153" t="s">
        <v>442</v>
      </c>
      <c r="F181" s="186">
        <v>39726.0</v>
      </c>
      <c r="G181" s="187" t="s">
        <v>447</v>
      </c>
    </row>
    <row r="182" ht="14.25" customHeight="1">
      <c r="B182" s="135" t="s">
        <v>448</v>
      </c>
      <c r="C182" s="133" t="s">
        <v>449</v>
      </c>
      <c r="D182" s="185" t="s">
        <v>450</v>
      </c>
      <c r="E182" s="153" t="s">
        <v>436</v>
      </c>
      <c r="F182" s="189">
        <v>39749.0</v>
      </c>
      <c r="G182" s="187" t="s">
        <v>451</v>
      </c>
    </row>
    <row r="183" ht="14.25" customHeight="1">
      <c r="B183" s="135" t="s">
        <v>452</v>
      </c>
      <c r="C183" s="133" t="s">
        <v>453</v>
      </c>
      <c r="D183" s="185" t="s">
        <v>454</v>
      </c>
      <c r="E183" s="153" t="s">
        <v>422</v>
      </c>
      <c r="F183" s="186">
        <v>39757.0</v>
      </c>
      <c r="G183" s="187" t="s">
        <v>455</v>
      </c>
    </row>
    <row r="184" ht="14.25" customHeight="1">
      <c r="B184" s="135" t="s">
        <v>456</v>
      </c>
      <c r="C184" s="133" t="s">
        <v>457</v>
      </c>
      <c r="D184" s="185" t="s">
        <v>458</v>
      </c>
      <c r="E184" s="153" t="s">
        <v>422</v>
      </c>
      <c r="F184" s="186">
        <v>39791.0</v>
      </c>
      <c r="G184" s="187" t="s">
        <v>459</v>
      </c>
    </row>
    <row r="185" ht="14.25" customHeight="1">
      <c r="B185" s="135" t="s">
        <v>460</v>
      </c>
      <c r="C185" s="133" t="s">
        <v>461</v>
      </c>
      <c r="D185" s="185" t="s">
        <v>462</v>
      </c>
      <c r="E185" s="153" t="s">
        <v>425</v>
      </c>
      <c r="F185" s="186">
        <v>39856.0</v>
      </c>
      <c r="G185" s="187" t="s">
        <v>463</v>
      </c>
    </row>
    <row r="186" ht="14.25" customHeight="1">
      <c r="B186" s="135" t="s">
        <v>464</v>
      </c>
      <c r="C186" s="133" t="s">
        <v>465</v>
      </c>
      <c r="D186" s="185" t="s">
        <v>466</v>
      </c>
      <c r="E186" s="153" t="s">
        <v>422</v>
      </c>
      <c r="F186" s="186">
        <v>39891.0</v>
      </c>
      <c r="G186" s="187" t="s">
        <v>467</v>
      </c>
    </row>
    <row r="187" ht="14.25" customHeight="1">
      <c r="B187" s="135" t="s">
        <v>468</v>
      </c>
      <c r="C187" s="133" t="s">
        <v>469</v>
      </c>
      <c r="D187" s="185" t="s">
        <v>470</v>
      </c>
      <c r="E187" s="153" t="s">
        <v>471</v>
      </c>
      <c r="F187" s="186">
        <v>39916.0</v>
      </c>
      <c r="G187" s="187" t="s">
        <v>472</v>
      </c>
    </row>
    <row r="188" ht="14.25" customHeight="1">
      <c r="B188" s="135" t="s">
        <v>473</v>
      </c>
      <c r="C188" s="133" t="s">
        <v>474</v>
      </c>
      <c r="D188" s="185" t="s">
        <v>475</v>
      </c>
      <c r="E188" s="153" t="s">
        <v>422</v>
      </c>
      <c r="F188" s="186">
        <v>39931.0</v>
      </c>
      <c r="G188" s="187" t="s">
        <v>476</v>
      </c>
    </row>
    <row r="189" ht="14.25" customHeight="1"/>
    <row r="190" ht="14.25" customHeight="1"/>
    <row r="191" ht="14.25" customHeight="1"/>
    <row r="192" ht="14.25" customHeight="1"/>
    <row r="193" ht="14.25" customHeight="1">
      <c r="B193" s="190" t="s">
        <v>477</v>
      </c>
      <c r="C193" s="112"/>
      <c r="D193" s="112"/>
      <c r="E193" s="112"/>
      <c r="F193" s="112"/>
      <c r="G193" s="112"/>
      <c r="H193" s="112"/>
      <c r="I193" s="112"/>
      <c r="J193" s="113"/>
    </row>
    <row r="194" ht="14.25" customHeight="1">
      <c r="B194" s="120"/>
      <c r="C194" s="121"/>
      <c r="D194" s="121"/>
      <c r="E194" s="121"/>
      <c r="F194" s="121"/>
      <c r="G194" s="121"/>
      <c r="H194" s="121"/>
      <c r="I194" s="121"/>
      <c r="J194" s="75"/>
    </row>
    <row r="195" ht="14.25" customHeight="1">
      <c r="B195" s="8" t="s">
        <v>478</v>
      </c>
      <c r="C195" s="8" t="s">
        <v>479</v>
      </c>
      <c r="D195" s="8" t="s">
        <v>480</v>
      </c>
      <c r="E195" s="8" t="s">
        <v>481</v>
      </c>
    </row>
    <row r="196" ht="14.25" customHeight="1">
      <c r="B196" s="8" t="s">
        <v>482</v>
      </c>
      <c r="C196" s="182">
        <v>2.95</v>
      </c>
      <c r="D196" s="182">
        <v>3.75</v>
      </c>
      <c r="E196" s="182">
        <v>4.15</v>
      </c>
    </row>
    <row r="197" ht="14.25" customHeight="1">
      <c r="B197" s="8" t="s">
        <v>483</v>
      </c>
      <c r="C197" s="182">
        <v>2.95</v>
      </c>
      <c r="D197" s="182">
        <v>3.65</v>
      </c>
      <c r="E197" s="182">
        <v>4.15</v>
      </c>
    </row>
    <row r="198" ht="14.25" customHeight="1">
      <c r="B198" s="8" t="s">
        <v>484</v>
      </c>
      <c r="C198" s="182">
        <v>3.75</v>
      </c>
      <c r="D198" s="182">
        <v>3.95</v>
      </c>
      <c r="E198" s="182">
        <v>4.25</v>
      </c>
    </row>
    <row r="199" ht="14.25" customHeight="1">
      <c r="B199" s="8" t="s">
        <v>485</v>
      </c>
      <c r="C199" s="182">
        <v>3.25</v>
      </c>
      <c r="D199" s="182">
        <v>3.95</v>
      </c>
      <c r="E199" s="182">
        <v>4.4</v>
      </c>
    </row>
    <row r="200" ht="14.25" customHeight="1">
      <c r="B200" s="8" t="s">
        <v>486</v>
      </c>
      <c r="C200" s="182">
        <v>3.45</v>
      </c>
      <c r="D200" s="182">
        <v>4.15</v>
      </c>
      <c r="E200" s="182">
        <v>4.55</v>
      </c>
    </row>
    <row r="201" ht="14.25" customHeight="1">
      <c r="B201" s="8" t="s">
        <v>487</v>
      </c>
      <c r="C201" s="182">
        <v>2.0</v>
      </c>
      <c r="D201" s="182">
        <v>2.4</v>
      </c>
      <c r="E201" s="182">
        <v>2.75</v>
      </c>
    </row>
    <row r="202" ht="14.25" customHeight="1">
      <c r="B202" s="8" t="s">
        <v>488</v>
      </c>
      <c r="C202" s="182">
        <v>3.95</v>
      </c>
      <c r="D202" s="182">
        <v>4.75</v>
      </c>
      <c r="E202" s="182">
        <v>5.15</v>
      </c>
    </row>
    <row r="203" ht="14.25" customHeight="1">
      <c r="B203" s="8" t="s">
        <v>489</v>
      </c>
      <c r="C203" s="182">
        <v>2.25</v>
      </c>
      <c r="D203" s="182">
        <v>2.5</v>
      </c>
      <c r="E203" s="182">
        <v>2.75</v>
      </c>
    </row>
    <row r="204" ht="14.25" customHeight="1">
      <c r="B204" s="8" t="s">
        <v>490</v>
      </c>
      <c r="C204" s="182">
        <v>1.75</v>
      </c>
      <c r="D204" s="182">
        <v>1.95</v>
      </c>
      <c r="E204" s="182">
        <v>2.75</v>
      </c>
    </row>
    <row r="205" ht="14.25" customHeight="1"/>
    <row r="206" ht="14.25" customHeight="1"/>
    <row r="207" ht="14.25" customHeight="1">
      <c r="B207" s="191" t="s">
        <v>491</v>
      </c>
    </row>
    <row r="208" ht="14.25" customHeight="1"/>
    <row r="209" ht="14.25" customHeight="1">
      <c r="B209" s="8" t="s">
        <v>480</v>
      </c>
      <c r="C209" s="192">
        <f>MATCH(B209,B195:E195,0)</f>
        <v>3</v>
      </c>
    </row>
    <row r="210" ht="14.25" customHeight="1">
      <c r="B210" s="8" t="s">
        <v>479</v>
      </c>
      <c r="C210" s="192">
        <f>MATCH(B210,B195:E195,0)</f>
        <v>2</v>
      </c>
    </row>
    <row r="211" ht="14.25" customHeight="1">
      <c r="B211" s="8" t="s">
        <v>481</v>
      </c>
      <c r="C211" s="192">
        <f>MATCH(B211,B195:E195,0)</f>
        <v>4</v>
      </c>
    </row>
    <row r="212" ht="14.25" customHeight="1"/>
    <row r="213" ht="14.25" customHeight="1"/>
    <row r="214" ht="14.25" customHeight="1">
      <c r="B214" s="193" t="s">
        <v>492</v>
      </c>
    </row>
    <row r="215" ht="14.25" customHeight="1"/>
    <row r="216" ht="14.25" customHeight="1">
      <c r="B216" s="8" t="s">
        <v>485</v>
      </c>
      <c r="C216" s="8" t="s">
        <v>480</v>
      </c>
      <c r="D216" s="194">
        <f>VLOOKUP(B216,B195:E204,MATCH(C216,B195:E195,0),0)</f>
        <v>3.95</v>
      </c>
    </row>
    <row r="217" ht="14.25" customHeight="1">
      <c r="B217" s="8" t="s">
        <v>493</v>
      </c>
      <c r="C217" s="8" t="s">
        <v>479</v>
      </c>
      <c r="D217" s="194">
        <f>VLOOKUP(B217,B196:E204,MATCH(C217,B195:E195))</f>
        <v>3.75</v>
      </c>
    </row>
    <row r="218" ht="14.25" customHeight="1">
      <c r="B218" s="8" t="s">
        <v>493</v>
      </c>
      <c r="C218" s="8" t="s">
        <v>481</v>
      </c>
      <c r="D218" s="194">
        <f>VLOOKUP(B218,B196:E204,MATCH(C218,B195:E195))</f>
        <v>4.15</v>
      </c>
    </row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>
      <c r="B228" s="195" t="s">
        <v>494</v>
      </c>
      <c r="C228" s="112"/>
      <c r="D228" s="112"/>
      <c r="E228" s="112"/>
      <c r="F228" s="112"/>
      <c r="G228" s="112"/>
      <c r="H228" s="112"/>
      <c r="I228" s="112"/>
      <c r="J228" s="112"/>
      <c r="K228" s="113"/>
    </row>
    <row r="229" ht="14.25" customHeight="1">
      <c r="B229" s="120"/>
      <c r="C229" s="121"/>
      <c r="D229" s="121"/>
      <c r="E229" s="121"/>
      <c r="F229" s="121"/>
      <c r="G229" s="121"/>
      <c r="H229" s="121"/>
      <c r="I229" s="121"/>
      <c r="J229" s="121"/>
      <c r="K229" s="75"/>
    </row>
    <row r="230" ht="14.25" customHeight="1">
      <c r="B230" s="196" t="s">
        <v>495</v>
      </c>
      <c r="C230" s="196" t="s">
        <v>496</v>
      </c>
      <c r="D230" s="196" t="s">
        <v>497</v>
      </c>
      <c r="E230" s="196" t="s">
        <v>498</v>
      </c>
      <c r="F230" s="196" t="s">
        <v>499</v>
      </c>
      <c r="G230" s="196" t="s">
        <v>500</v>
      </c>
      <c r="H230" s="196" t="s">
        <v>501</v>
      </c>
      <c r="I230" s="196" t="s">
        <v>502</v>
      </c>
      <c r="J230" s="196" t="s">
        <v>503</v>
      </c>
      <c r="K230" s="196" t="s">
        <v>504</v>
      </c>
      <c r="L230" s="197" t="s">
        <v>505</v>
      </c>
      <c r="M230" s="160"/>
      <c r="N230" s="160"/>
      <c r="O230" s="161"/>
    </row>
    <row r="231" ht="14.25" customHeight="1">
      <c r="B231" s="135" t="s">
        <v>506</v>
      </c>
      <c r="C231" s="198">
        <v>2773.0</v>
      </c>
      <c r="D231" s="198">
        <v>17462.0</v>
      </c>
      <c r="E231" s="198">
        <v>5954.0</v>
      </c>
      <c r="F231" s="198">
        <v>1348.0</v>
      </c>
      <c r="G231" s="198">
        <v>28158.0</v>
      </c>
      <c r="H231" s="198">
        <v>28799.0</v>
      </c>
      <c r="I231" s="198">
        <v>25415.0</v>
      </c>
      <c r="J231" s="198">
        <v>17227.0</v>
      </c>
      <c r="K231" s="199">
        <f t="shared" ref="K231:K238" si="27">SUM(C231:J231)</f>
        <v>127136</v>
      </c>
      <c r="L231" s="25">
        <f>COUNTA(B231:B238)</f>
        <v>8</v>
      </c>
    </row>
    <row r="232" ht="14.25" customHeight="1">
      <c r="B232" s="135" t="s">
        <v>507</v>
      </c>
      <c r="C232" s="198">
        <v>12908.0</v>
      </c>
      <c r="D232" s="198">
        <v>3083.0</v>
      </c>
      <c r="E232" s="198">
        <v>24492.0</v>
      </c>
      <c r="F232" s="198">
        <v>5825.0</v>
      </c>
      <c r="G232" s="198">
        <v>1080.0</v>
      </c>
      <c r="H232" s="198">
        <v>2188.0</v>
      </c>
      <c r="I232" s="198">
        <v>11087.0</v>
      </c>
      <c r="J232" s="198">
        <v>15544.0</v>
      </c>
      <c r="K232" s="199">
        <f t="shared" si="27"/>
        <v>76207</v>
      </c>
    </row>
    <row r="233" ht="14.25" customHeight="1">
      <c r="B233" s="135" t="s">
        <v>508</v>
      </c>
      <c r="C233" s="198">
        <v>6554.0</v>
      </c>
      <c r="D233" s="198">
        <v>14262.0</v>
      </c>
      <c r="E233" s="198">
        <v>8377.0</v>
      </c>
      <c r="F233" s="198">
        <v>24982.0</v>
      </c>
      <c r="G233" s="198">
        <v>12184.0</v>
      </c>
      <c r="H233" s="198">
        <v>6430.0</v>
      </c>
      <c r="I233" s="198">
        <v>21159.0</v>
      </c>
      <c r="J233" s="198">
        <v>18597.0</v>
      </c>
      <c r="K233" s="199">
        <f t="shared" si="27"/>
        <v>112545</v>
      </c>
    </row>
    <row r="234" ht="14.25" customHeight="1">
      <c r="B234" s="135" t="s">
        <v>509</v>
      </c>
      <c r="C234" s="198">
        <v>28913.0</v>
      </c>
      <c r="D234" s="198">
        <v>1437.0</v>
      </c>
      <c r="E234" s="198">
        <v>20019.0</v>
      </c>
      <c r="F234" s="198">
        <v>13026.0</v>
      </c>
      <c r="G234" s="198">
        <v>26952.0</v>
      </c>
      <c r="H234" s="198">
        <v>27076.0</v>
      </c>
      <c r="I234" s="198">
        <v>7040.0</v>
      </c>
      <c r="J234" s="198">
        <v>10884.0</v>
      </c>
      <c r="K234" s="199">
        <f t="shared" si="27"/>
        <v>135347</v>
      </c>
      <c r="L234" s="197" t="s">
        <v>510</v>
      </c>
      <c r="M234" s="160"/>
      <c r="N234" s="160"/>
      <c r="O234" s="161"/>
    </row>
    <row r="235" ht="14.25" customHeight="1">
      <c r="B235" s="135" t="s">
        <v>511</v>
      </c>
      <c r="C235" s="198">
        <v>4768.0</v>
      </c>
      <c r="D235" s="198">
        <v>7622.0</v>
      </c>
      <c r="E235" s="198">
        <v>28918.0</v>
      </c>
      <c r="F235" s="198">
        <v>27141.0</v>
      </c>
      <c r="G235" s="198">
        <v>3578.0</v>
      </c>
      <c r="H235" s="198">
        <v>10092.0</v>
      </c>
      <c r="I235" s="198">
        <v>15207.0</v>
      </c>
      <c r="J235" s="198">
        <v>12771.0</v>
      </c>
      <c r="K235" s="199">
        <f t="shared" si="27"/>
        <v>110097</v>
      </c>
      <c r="L235" s="25" t="s">
        <v>512</v>
      </c>
      <c r="N235" s="178">
        <f>VLOOKUP(L235,B230:K238,4,E230:E238)</f>
        <v>6469</v>
      </c>
    </row>
    <row r="236" ht="14.25" customHeight="1">
      <c r="B236" s="135" t="s">
        <v>513</v>
      </c>
      <c r="C236" s="198">
        <v>13390.0</v>
      </c>
      <c r="D236" s="198">
        <v>3611.0</v>
      </c>
      <c r="E236" s="198">
        <v>6226.0</v>
      </c>
      <c r="F236" s="198">
        <v>27567.0</v>
      </c>
      <c r="G236" s="198">
        <v>29962.0</v>
      </c>
      <c r="H236" s="198">
        <v>2967.0</v>
      </c>
      <c r="I236" s="198">
        <v>5740.0</v>
      </c>
      <c r="J236" s="198">
        <v>2137.0</v>
      </c>
      <c r="K236" s="199">
        <f t="shared" si="27"/>
        <v>91600</v>
      </c>
      <c r="L236" s="87" t="s">
        <v>511</v>
      </c>
      <c r="M236" s="87" t="s">
        <v>500</v>
      </c>
      <c r="N236" s="178">
        <f>VLOOKUP(L236,B230:K238,MATCH(M236,B230:K230,0),0)</f>
        <v>3578</v>
      </c>
    </row>
    <row r="237" ht="14.25" customHeight="1">
      <c r="B237" s="135" t="s">
        <v>514</v>
      </c>
      <c r="C237" s="198">
        <v>17585.0</v>
      </c>
      <c r="D237" s="198">
        <v>28508.0</v>
      </c>
      <c r="E237" s="198">
        <v>9614.0</v>
      </c>
      <c r="F237" s="198">
        <v>17110.0</v>
      </c>
      <c r="G237" s="198">
        <v>12143.0</v>
      </c>
      <c r="H237" s="198">
        <v>7365.0</v>
      </c>
      <c r="I237" s="198">
        <v>24185.0</v>
      </c>
      <c r="J237" s="198">
        <v>1643.0</v>
      </c>
      <c r="K237" s="199">
        <f t="shared" si="27"/>
        <v>118153</v>
      </c>
    </row>
    <row r="238" ht="14.25" customHeight="1">
      <c r="B238" s="135" t="s">
        <v>515</v>
      </c>
      <c r="C238" s="198">
        <v>22579.0</v>
      </c>
      <c r="D238" s="198">
        <v>16301.0</v>
      </c>
      <c r="E238" s="198">
        <v>6469.0</v>
      </c>
      <c r="F238" s="198">
        <v>22050.0</v>
      </c>
      <c r="G238" s="198">
        <v>8740.0</v>
      </c>
      <c r="H238" s="198">
        <v>18806.0</v>
      </c>
      <c r="I238" s="198">
        <v>3334.0</v>
      </c>
      <c r="J238" s="198">
        <v>3597.0</v>
      </c>
      <c r="K238" s="199">
        <f t="shared" si="27"/>
        <v>101876</v>
      </c>
    </row>
    <row r="239" ht="14.25" customHeight="1"/>
    <row r="240" ht="14.25" customHeight="1">
      <c r="F240" s="200"/>
    </row>
    <row r="241" ht="14.25" customHeight="1"/>
    <row r="242" ht="14.25" customHeight="1"/>
    <row r="243" ht="14.25" customHeight="1"/>
    <row r="244" ht="14.25" customHeight="1">
      <c r="B244" s="201" t="s">
        <v>516</v>
      </c>
      <c r="C244" s="112"/>
      <c r="D244" s="112"/>
      <c r="E244" s="112"/>
      <c r="F244" s="112"/>
      <c r="G244" s="112"/>
      <c r="H244" s="112"/>
      <c r="I244" s="112"/>
      <c r="J244" s="112"/>
      <c r="K244" s="113"/>
    </row>
    <row r="245" ht="14.25" customHeight="1">
      <c r="B245" s="120"/>
      <c r="C245" s="121"/>
      <c r="D245" s="121"/>
      <c r="E245" s="121"/>
      <c r="F245" s="121"/>
      <c r="G245" s="121"/>
      <c r="H245" s="121"/>
      <c r="I245" s="121"/>
      <c r="J245" s="121"/>
      <c r="K245" s="75"/>
    </row>
    <row r="246" ht="14.25" customHeight="1">
      <c r="B246" s="202" t="s">
        <v>164</v>
      </c>
      <c r="C246" s="202" t="s">
        <v>517</v>
      </c>
      <c r="D246" s="202" t="s">
        <v>163</v>
      </c>
      <c r="E246" s="202" t="s">
        <v>165</v>
      </c>
    </row>
    <row r="247" ht="14.25" customHeight="1">
      <c r="B247" s="8" t="s">
        <v>174</v>
      </c>
      <c r="C247" s="200">
        <v>16753.0</v>
      </c>
      <c r="D247" s="8" t="s">
        <v>167</v>
      </c>
      <c r="E247" s="8" t="s">
        <v>175</v>
      </c>
    </row>
    <row r="248" ht="14.25" customHeight="1">
      <c r="B248" s="8" t="s">
        <v>168</v>
      </c>
      <c r="C248" s="200">
        <v>14808.0</v>
      </c>
      <c r="D248" s="8" t="s">
        <v>181</v>
      </c>
      <c r="E248" s="8" t="s">
        <v>178</v>
      </c>
    </row>
    <row r="249" ht="14.25" customHeight="1">
      <c r="B249" s="8" t="s">
        <v>177</v>
      </c>
      <c r="C249" s="200">
        <v>10644.0</v>
      </c>
      <c r="D249" s="8" t="s">
        <v>167</v>
      </c>
      <c r="E249" s="8" t="s">
        <v>169</v>
      </c>
    </row>
    <row r="250" ht="14.25" customHeight="1">
      <c r="B250" s="8" t="s">
        <v>171</v>
      </c>
      <c r="C250" s="200">
        <v>1390.0</v>
      </c>
      <c r="D250" s="8" t="s">
        <v>181</v>
      </c>
      <c r="E250" s="8" t="s">
        <v>175</v>
      </c>
    </row>
    <row r="251" ht="14.25" customHeight="1">
      <c r="B251" s="8" t="s">
        <v>182</v>
      </c>
      <c r="C251" s="200">
        <v>4865.0</v>
      </c>
      <c r="D251" s="8" t="s">
        <v>181</v>
      </c>
      <c r="E251" s="8" t="s">
        <v>178</v>
      </c>
    </row>
    <row r="252" ht="14.25" customHeight="1">
      <c r="B252" s="8" t="s">
        <v>177</v>
      </c>
      <c r="C252" s="200">
        <v>12438.0</v>
      </c>
      <c r="D252" s="8" t="s">
        <v>167</v>
      </c>
      <c r="E252" s="8" t="s">
        <v>172</v>
      </c>
    </row>
    <row r="253" ht="14.25" customHeight="1">
      <c r="B253" s="8" t="s">
        <v>168</v>
      </c>
      <c r="C253" s="200">
        <v>9339.0</v>
      </c>
      <c r="D253" s="8" t="s">
        <v>167</v>
      </c>
      <c r="E253" s="8" t="s">
        <v>169</v>
      </c>
    </row>
    <row r="254" ht="14.25" customHeight="1">
      <c r="B254" s="8" t="s">
        <v>174</v>
      </c>
      <c r="C254" s="200">
        <v>18919.0</v>
      </c>
      <c r="D254" s="8" t="s">
        <v>181</v>
      </c>
      <c r="E254" s="8" t="s">
        <v>175</v>
      </c>
      <c r="F254" s="87" t="s">
        <v>518</v>
      </c>
    </row>
    <row r="255" ht="14.25" customHeight="1">
      <c r="B255" s="8" t="s">
        <v>171</v>
      </c>
      <c r="C255" s="200">
        <v>9213.0</v>
      </c>
      <c r="D255" s="8" t="s">
        <v>181</v>
      </c>
      <c r="E255" s="8" t="s">
        <v>178</v>
      </c>
    </row>
    <row r="256" ht="14.25" customHeight="1">
      <c r="B256" s="8" t="s">
        <v>171</v>
      </c>
      <c r="C256" s="200">
        <v>7433.0</v>
      </c>
      <c r="D256" s="8" t="s">
        <v>167</v>
      </c>
      <c r="E256" s="8" t="s">
        <v>172</v>
      </c>
    </row>
    <row r="257" ht="14.25" customHeight="1">
      <c r="B257" s="8" t="s">
        <v>182</v>
      </c>
      <c r="C257" s="200">
        <v>3255.0</v>
      </c>
      <c r="D257" s="8" t="s">
        <v>181</v>
      </c>
      <c r="E257" s="8" t="s">
        <v>169</v>
      </c>
    </row>
    <row r="258" ht="14.25" customHeight="1">
      <c r="B258" s="8" t="s">
        <v>177</v>
      </c>
      <c r="C258" s="200">
        <v>14867.0</v>
      </c>
      <c r="D258" s="8" t="s">
        <v>185</v>
      </c>
      <c r="E258" s="8" t="s">
        <v>175</v>
      </c>
    </row>
    <row r="259" ht="14.25" customHeight="1">
      <c r="B259" s="8" t="s">
        <v>177</v>
      </c>
      <c r="C259" s="200">
        <v>19302.0</v>
      </c>
      <c r="D259" s="8" t="s">
        <v>167</v>
      </c>
      <c r="E259" s="8" t="s">
        <v>178</v>
      </c>
    </row>
    <row r="260" ht="14.25" customHeight="1">
      <c r="B260" s="8" t="s">
        <v>174</v>
      </c>
      <c r="C260" s="200">
        <v>9698.0</v>
      </c>
      <c r="D260" s="8" t="s">
        <v>181</v>
      </c>
      <c r="E260" s="8" t="s">
        <v>172</v>
      </c>
    </row>
    <row r="261" ht="14.25" customHeight="1"/>
    <row r="262" ht="14.25" customHeight="1"/>
    <row r="263" ht="14.25" customHeight="1"/>
    <row r="264" ht="14.25" customHeight="1">
      <c r="B264" s="203" t="s">
        <v>519</v>
      </c>
      <c r="C264" s="112"/>
      <c r="D264" s="112"/>
      <c r="E264" s="112"/>
      <c r="F264" s="112"/>
      <c r="G264" s="112"/>
      <c r="H264" s="112"/>
      <c r="I264" s="113"/>
    </row>
    <row r="265" ht="14.25" customHeight="1">
      <c r="B265" s="120"/>
      <c r="C265" s="121"/>
      <c r="D265" s="121"/>
      <c r="E265" s="121"/>
      <c r="F265" s="121"/>
      <c r="G265" s="121"/>
      <c r="H265" s="121"/>
      <c r="I265" s="75"/>
    </row>
    <row r="266" ht="14.25" customHeight="1">
      <c r="B266" s="154" t="s">
        <v>188</v>
      </c>
      <c r="C266" s="154" t="s">
        <v>351</v>
      </c>
      <c r="D266" s="154" t="s">
        <v>189</v>
      </c>
      <c r="E266" s="154" t="s">
        <v>190</v>
      </c>
      <c r="F266" s="154" t="s">
        <v>520</v>
      </c>
    </row>
    <row r="267" ht="14.25" customHeight="1">
      <c r="B267" s="8" t="s">
        <v>193</v>
      </c>
      <c r="C267" s="8">
        <v>1998.0</v>
      </c>
      <c r="D267" s="8" t="s">
        <v>194</v>
      </c>
      <c r="E267" s="8" t="s">
        <v>195</v>
      </c>
      <c r="F267" s="200">
        <v>554536.0</v>
      </c>
    </row>
    <row r="268" ht="14.25" customHeight="1">
      <c r="B268" s="8" t="s">
        <v>193</v>
      </c>
      <c r="C268" s="8">
        <v>1998.0</v>
      </c>
      <c r="D268" s="8" t="s">
        <v>199</v>
      </c>
      <c r="E268" s="8" t="s">
        <v>200</v>
      </c>
      <c r="F268" s="200">
        <v>540643.0</v>
      </c>
    </row>
    <row r="269" ht="14.25" customHeight="1">
      <c r="B269" s="8" t="s">
        <v>193</v>
      </c>
      <c r="C269" s="8">
        <v>1998.0</v>
      </c>
      <c r="D269" s="8" t="s">
        <v>202</v>
      </c>
      <c r="E269" s="8" t="s">
        <v>200</v>
      </c>
      <c r="F269" s="200">
        <v>577548.0</v>
      </c>
      <c r="G269" s="197" t="s">
        <v>521</v>
      </c>
      <c r="H269" s="160"/>
      <c r="I269" s="160"/>
      <c r="J269" s="160"/>
      <c r="K269" s="161"/>
    </row>
    <row r="270" ht="14.25" customHeight="1">
      <c r="B270" s="8" t="s">
        <v>193</v>
      </c>
      <c r="C270" s="8">
        <v>1998.0</v>
      </c>
      <c r="D270" s="8" t="s">
        <v>204</v>
      </c>
      <c r="E270" s="8" t="s">
        <v>200</v>
      </c>
      <c r="F270" s="200">
        <v>455905.0</v>
      </c>
      <c r="G270" s="204">
        <f>COUNTIF(B267:B302,"SPRING")</f>
        <v>18</v>
      </c>
      <c r="H270" s="160"/>
      <c r="I270" s="161"/>
      <c r="J270" s="205">
        <f>COUNTIF(B267:B302,"FALL")</f>
        <v>18</v>
      </c>
    </row>
    <row r="271" ht="14.25" customHeight="1">
      <c r="B271" s="8" t="s">
        <v>193</v>
      </c>
      <c r="C271" s="8">
        <v>1998.0</v>
      </c>
      <c r="D271" s="8" t="s">
        <v>209</v>
      </c>
      <c r="E271" s="8" t="s">
        <v>200</v>
      </c>
      <c r="F271" s="200">
        <v>490871.0</v>
      </c>
    </row>
    <row r="272" ht="14.25" customHeight="1">
      <c r="B272" s="8" t="s">
        <v>193</v>
      </c>
      <c r="C272" s="8">
        <v>1998.0</v>
      </c>
      <c r="D272" s="8" t="s">
        <v>211</v>
      </c>
      <c r="E272" s="8" t="s">
        <v>200</v>
      </c>
      <c r="F272" s="200">
        <v>446383.0</v>
      </c>
    </row>
    <row r="273" ht="14.25" customHeight="1">
      <c r="B273" s="8" t="s">
        <v>193</v>
      </c>
      <c r="C273" s="8">
        <v>1998.0</v>
      </c>
      <c r="D273" s="8" t="s">
        <v>194</v>
      </c>
      <c r="E273" s="8" t="s">
        <v>196</v>
      </c>
      <c r="F273" s="200">
        <v>457726.0</v>
      </c>
      <c r="G273" s="206" t="s">
        <v>522</v>
      </c>
      <c r="H273" s="160"/>
      <c r="I273" s="160"/>
      <c r="J273" s="160"/>
      <c r="K273" s="161"/>
    </row>
    <row r="274" ht="14.25" customHeight="1">
      <c r="B274" s="8" t="s">
        <v>193</v>
      </c>
      <c r="C274" s="8">
        <v>1998.0</v>
      </c>
      <c r="D274" s="8" t="s">
        <v>199</v>
      </c>
      <c r="E274" s="8" t="s">
        <v>196</v>
      </c>
      <c r="F274" s="200">
        <v>347696.0</v>
      </c>
      <c r="G274" s="207">
        <f>COUNTIFS(B267:B302,"fall",E267:E302,"califonia")</f>
        <v>7</v>
      </c>
      <c r="J274" s="208">
        <f>COUNTIFS(B267:B302,"fall",E267:E302,"Washington")</f>
        <v>6</v>
      </c>
    </row>
    <row r="275" ht="14.25" customHeight="1">
      <c r="B275" s="8" t="s">
        <v>193</v>
      </c>
      <c r="C275" s="8">
        <v>1998.0</v>
      </c>
      <c r="D275" s="8" t="s">
        <v>202</v>
      </c>
      <c r="E275" s="8" t="s">
        <v>196</v>
      </c>
      <c r="F275" s="200">
        <v>384541.0</v>
      </c>
    </row>
    <row r="276" ht="14.25" customHeight="1">
      <c r="B276" s="8" t="s">
        <v>193</v>
      </c>
      <c r="C276" s="8">
        <v>1998.0</v>
      </c>
      <c r="D276" s="8" t="s">
        <v>206</v>
      </c>
      <c r="E276" s="8" t="s">
        <v>207</v>
      </c>
      <c r="F276" s="200">
        <v>386420.0</v>
      </c>
      <c r="G276" s="209" t="s">
        <v>523</v>
      </c>
      <c r="H276" s="112"/>
      <c r="I276" s="112"/>
      <c r="J276" s="112"/>
      <c r="K276" s="113"/>
    </row>
    <row r="277" ht="14.25" customHeight="1">
      <c r="B277" s="8" t="s">
        <v>193</v>
      </c>
      <c r="C277" s="8">
        <v>1998.0</v>
      </c>
      <c r="D277" s="8" t="s">
        <v>209</v>
      </c>
      <c r="E277" s="8" t="s">
        <v>207</v>
      </c>
      <c r="F277" s="200">
        <v>370970.0</v>
      </c>
      <c r="G277" s="120"/>
      <c r="H277" s="121"/>
      <c r="I277" s="121"/>
      <c r="J277" s="121"/>
      <c r="K277" s="75"/>
    </row>
    <row r="278" ht="14.25" customHeight="1">
      <c r="B278" s="8" t="s">
        <v>193</v>
      </c>
      <c r="C278" s="8">
        <v>1998.0</v>
      </c>
      <c r="D278" s="8" t="s">
        <v>211</v>
      </c>
      <c r="E278" s="8" t="s">
        <v>197</v>
      </c>
      <c r="F278" s="200">
        <v>430754.0</v>
      </c>
      <c r="G278" s="210">
        <f>SUMIF(E267:E302,"washington",F267:F302)</f>
        <v>5927607</v>
      </c>
      <c r="J278" s="211">
        <f>SUMIF(E267:E302,"califonia",F267:F302)</f>
        <v>6084451</v>
      </c>
    </row>
    <row r="279" ht="14.25" customHeight="1">
      <c r="B279" s="8" t="s">
        <v>193</v>
      </c>
      <c r="C279" s="8">
        <v>1998.0</v>
      </c>
      <c r="D279" s="8" t="s">
        <v>194</v>
      </c>
      <c r="E279" s="8" t="s">
        <v>197</v>
      </c>
      <c r="F279" s="200">
        <v>500847.0</v>
      </c>
    </row>
    <row r="280" ht="14.25" customHeight="1">
      <c r="B280" s="8" t="s">
        <v>193</v>
      </c>
      <c r="C280" s="8">
        <v>1998.0</v>
      </c>
      <c r="D280" s="8" t="s">
        <v>199</v>
      </c>
      <c r="E280" s="8" t="s">
        <v>197</v>
      </c>
      <c r="F280" s="200">
        <v>507070.0</v>
      </c>
    </row>
    <row r="281" ht="14.25" customHeight="1">
      <c r="B281" s="8" t="s">
        <v>193</v>
      </c>
      <c r="C281" s="8">
        <v>1998.0</v>
      </c>
      <c r="D281" s="8" t="s">
        <v>202</v>
      </c>
      <c r="E281" s="8" t="s">
        <v>197</v>
      </c>
      <c r="F281" s="200">
        <v>482346.0</v>
      </c>
    </row>
    <row r="282" ht="14.25" customHeight="1">
      <c r="B282" s="8" t="s">
        <v>193</v>
      </c>
      <c r="C282" s="8">
        <v>1998.0</v>
      </c>
      <c r="D282" s="8" t="s">
        <v>215</v>
      </c>
      <c r="E282" s="8" t="s">
        <v>197</v>
      </c>
      <c r="F282" s="200">
        <v>608713.0</v>
      </c>
      <c r="G282" s="212" t="s">
        <v>524</v>
      </c>
      <c r="H282" s="160"/>
      <c r="I282" s="160"/>
      <c r="J282" s="160"/>
      <c r="K282" s="161"/>
    </row>
    <row r="283" ht="14.25" customHeight="1">
      <c r="B283" s="8" t="s">
        <v>193</v>
      </c>
      <c r="C283" s="8">
        <v>1998.0</v>
      </c>
      <c r="D283" s="8" t="s">
        <v>209</v>
      </c>
      <c r="E283" s="8" t="s">
        <v>197</v>
      </c>
      <c r="F283" s="200">
        <v>150000.0</v>
      </c>
      <c r="G283" s="213">
        <f>COUNTIFS(B267:B302,"spring",E267:E302,"washington")</f>
        <v>7</v>
      </c>
    </row>
    <row r="284" ht="14.25" customHeight="1">
      <c r="B284" s="8" t="s">
        <v>193</v>
      </c>
      <c r="C284" s="8">
        <v>1998.0</v>
      </c>
      <c r="D284" s="8" t="s">
        <v>211</v>
      </c>
      <c r="E284" s="8" t="s">
        <v>200</v>
      </c>
      <c r="F284" s="200">
        <v>500649.0</v>
      </c>
    </row>
    <row r="285" ht="14.25" customHeight="1">
      <c r="B285" s="8" t="s">
        <v>214</v>
      </c>
      <c r="C285" s="8">
        <v>1998.0</v>
      </c>
      <c r="D285" s="8" t="s">
        <v>194</v>
      </c>
      <c r="E285" s="8" t="s">
        <v>200</v>
      </c>
      <c r="F285" s="200">
        <v>545780.0</v>
      </c>
    </row>
    <row r="286" ht="14.25" customHeight="1">
      <c r="B286" s="8" t="s">
        <v>214</v>
      </c>
      <c r="C286" s="8">
        <v>1998.0</v>
      </c>
      <c r="D286" s="8" t="s">
        <v>199</v>
      </c>
      <c r="E286" s="8" t="s">
        <v>200</v>
      </c>
      <c r="F286" s="200">
        <v>440644.0</v>
      </c>
    </row>
    <row r="287" ht="14.25" customHeight="1">
      <c r="B287" s="8" t="s">
        <v>214</v>
      </c>
      <c r="C287" s="8">
        <v>1998.0</v>
      </c>
      <c r="D287" s="8" t="s">
        <v>202</v>
      </c>
      <c r="E287" s="8" t="s">
        <v>200</v>
      </c>
      <c r="F287" s="200">
        <v>580359.0</v>
      </c>
    </row>
    <row r="288" ht="14.25" customHeight="1">
      <c r="B288" s="8" t="s">
        <v>214</v>
      </c>
      <c r="C288" s="8">
        <v>1998.0</v>
      </c>
      <c r="D288" s="8" t="s">
        <v>215</v>
      </c>
      <c r="E288" s="8" t="s">
        <v>200</v>
      </c>
      <c r="F288" s="200">
        <v>536225.0</v>
      </c>
    </row>
    <row r="289" ht="14.25" customHeight="1">
      <c r="B289" s="8" t="s">
        <v>214</v>
      </c>
      <c r="C289" s="8">
        <v>1998.0</v>
      </c>
      <c r="D289" s="8" t="s">
        <v>209</v>
      </c>
      <c r="E289" s="8" t="s">
        <v>200</v>
      </c>
      <c r="F289" s="200">
        <v>414908.0</v>
      </c>
    </row>
    <row r="290" ht="14.25" customHeight="1">
      <c r="B290" s="8" t="s">
        <v>214</v>
      </c>
      <c r="C290" s="8">
        <v>1998.0</v>
      </c>
      <c r="D290" s="8" t="s">
        <v>211</v>
      </c>
      <c r="E290" s="8" t="s">
        <v>207</v>
      </c>
      <c r="F290" s="200">
        <v>377997.0</v>
      </c>
    </row>
    <row r="291" ht="14.25" customHeight="1">
      <c r="B291" s="8" t="s">
        <v>214</v>
      </c>
      <c r="C291" s="8">
        <v>1998.0</v>
      </c>
      <c r="D291" s="8" t="s">
        <v>525</v>
      </c>
      <c r="E291" s="8" t="s">
        <v>207</v>
      </c>
      <c r="F291" s="200">
        <v>331289.0</v>
      </c>
    </row>
    <row r="292" ht="14.25" customHeight="1">
      <c r="B292" s="8" t="s">
        <v>214</v>
      </c>
      <c r="C292" s="8">
        <v>1998.0</v>
      </c>
      <c r="D292" s="8" t="s">
        <v>199</v>
      </c>
      <c r="E292" s="8" t="s">
        <v>207</v>
      </c>
      <c r="F292" s="200">
        <v>384572.0</v>
      </c>
    </row>
    <row r="293" ht="14.25" customHeight="1">
      <c r="B293" s="8" t="s">
        <v>214</v>
      </c>
      <c r="C293" s="8">
        <v>1998.0</v>
      </c>
      <c r="D293" s="8" t="s">
        <v>202</v>
      </c>
      <c r="E293" s="8" t="s">
        <v>207</v>
      </c>
      <c r="F293" s="200">
        <v>365813.0</v>
      </c>
    </row>
    <row r="294" ht="14.25" customHeight="1">
      <c r="B294" s="8" t="s">
        <v>214</v>
      </c>
      <c r="C294" s="8">
        <v>1998.0</v>
      </c>
      <c r="D294" s="8" t="s">
        <v>215</v>
      </c>
      <c r="E294" s="8" t="s">
        <v>207</v>
      </c>
      <c r="F294" s="200">
        <v>396338.0</v>
      </c>
    </row>
    <row r="295" ht="14.25" customHeight="1">
      <c r="B295" s="8" t="s">
        <v>214</v>
      </c>
      <c r="C295" s="8">
        <v>1998.0</v>
      </c>
      <c r="D295" s="8" t="s">
        <v>526</v>
      </c>
      <c r="E295" s="8" t="s">
        <v>207</v>
      </c>
      <c r="F295" s="200">
        <v>453761.0</v>
      </c>
    </row>
    <row r="296" ht="14.25" customHeight="1">
      <c r="B296" s="8" t="s">
        <v>214</v>
      </c>
      <c r="C296" s="8">
        <v>1998.0</v>
      </c>
      <c r="D296" s="8" t="s">
        <v>211</v>
      </c>
      <c r="E296" s="8" t="s">
        <v>197</v>
      </c>
      <c r="F296" s="200">
        <v>356538.0</v>
      </c>
    </row>
    <row r="297" ht="14.25" customHeight="1">
      <c r="B297" s="8" t="s">
        <v>214</v>
      </c>
      <c r="C297" s="8">
        <v>1998.0</v>
      </c>
      <c r="D297" s="8" t="s">
        <v>525</v>
      </c>
      <c r="E297" s="8" t="s">
        <v>197</v>
      </c>
      <c r="F297" s="200">
        <v>606332.0</v>
      </c>
    </row>
    <row r="298" ht="14.25" customHeight="1">
      <c r="B298" s="8" t="s">
        <v>214</v>
      </c>
      <c r="C298" s="8">
        <v>1998.0</v>
      </c>
      <c r="D298" s="8" t="s">
        <v>199</v>
      </c>
      <c r="E298" s="8" t="s">
        <v>197</v>
      </c>
      <c r="F298" s="200">
        <v>535218.0</v>
      </c>
    </row>
    <row r="299" ht="14.25" customHeight="1">
      <c r="B299" s="8" t="s">
        <v>214</v>
      </c>
      <c r="C299" s="8">
        <v>1998.0</v>
      </c>
      <c r="D299" s="8" t="s">
        <v>202</v>
      </c>
      <c r="E299" s="8" t="s">
        <v>197</v>
      </c>
      <c r="F299" s="200">
        <v>493364.0</v>
      </c>
    </row>
    <row r="300" ht="14.25" customHeight="1">
      <c r="B300" s="8" t="s">
        <v>214</v>
      </c>
      <c r="C300" s="8">
        <v>1998.0</v>
      </c>
      <c r="D300" s="8" t="s">
        <v>215</v>
      </c>
      <c r="E300" s="8" t="s">
        <v>197</v>
      </c>
      <c r="F300" s="200">
        <v>559100.0</v>
      </c>
    </row>
    <row r="301" ht="14.25" customHeight="1">
      <c r="B301" s="8" t="s">
        <v>214</v>
      </c>
      <c r="C301" s="8">
        <v>1998.0</v>
      </c>
      <c r="D301" s="8" t="s">
        <v>526</v>
      </c>
      <c r="E301" s="8" t="s">
        <v>197</v>
      </c>
      <c r="F301" s="200">
        <v>220350.0</v>
      </c>
    </row>
    <row r="302" ht="14.25" customHeight="1">
      <c r="B302" s="8" t="s">
        <v>214</v>
      </c>
      <c r="C302" s="8">
        <v>1998.0</v>
      </c>
      <c r="D302" s="8" t="s">
        <v>211</v>
      </c>
      <c r="E302" s="8" t="s">
        <v>197</v>
      </c>
      <c r="F302" s="200">
        <v>476975.0</v>
      </c>
    </row>
    <row r="303" ht="14.25" customHeight="1"/>
    <row r="304" ht="14.25" customHeight="1"/>
    <row r="305" ht="14.25" customHeight="1"/>
    <row r="306" ht="14.25" customHeight="1">
      <c r="A306" s="214" t="s">
        <v>527</v>
      </c>
      <c r="B306" s="112"/>
      <c r="C306" s="112"/>
      <c r="D306" s="112"/>
      <c r="E306" s="112"/>
      <c r="F306" s="112"/>
      <c r="G306" s="112"/>
      <c r="H306" s="112"/>
      <c r="I306" s="113"/>
    </row>
    <row r="307" ht="14.25" customHeight="1">
      <c r="A307" s="120"/>
      <c r="B307" s="121"/>
      <c r="C307" s="121"/>
      <c r="D307" s="121"/>
      <c r="E307" s="121"/>
      <c r="F307" s="121"/>
      <c r="G307" s="121"/>
      <c r="H307" s="121"/>
      <c r="I307" s="75"/>
    </row>
    <row r="308" ht="14.25" customHeight="1">
      <c r="A308" s="215" t="s">
        <v>528</v>
      </c>
      <c r="B308" s="215" t="s">
        <v>529</v>
      </c>
      <c r="C308" s="215" t="s">
        <v>530</v>
      </c>
      <c r="D308" s="215" t="s">
        <v>531</v>
      </c>
      <c r="E308" s="215" t="s">
        <v>334</v>
      </c>
      <c r="F308" s="215" t="s">
        <v>148</v>
      </c>
    </row>
    <row r="309" ht="14.25" customHeight="1">
      <c r="A309" s="8">
        <v>1.0</v>
      </c>
      <c r="B309" s="8" t="s">
        <v>532</v>
      </c>
      <c r="C309" s="8" t="s">
        <v>533</v>
      </c>
      <c r="D309" s="8">
        <v>4270.0</v>
      </c>
      <c r="E309" s="166">
        <v>42375.0</v>
      </c>
      <c r="F309" s="8" t="s">
        <v>534</v>
      </c>
    </row>
    <row r="310" ht="14.25" customHeight="1">
      <c r="A310" s="8">
        <v>2.0</v>
      </c>
      <c r="B310" s="8" t="s">
        <v>535</v>
      </c>
      <c r="C310" s="8" t="s">
        <v>533</v>
      </c>
      <c r="D310" s="8">
        <v>8239.0</v>
      </c>
      <c r="E310" s="166">
        <v>42376.0</v>
      </c>
      <c r="F310" s="8" t="s">
        <v>536</v>
      </c>
    </row>
    <row r="311" ht="14.25" customHeight="1">
      <c r="A311" s="8">
        <v>3.0</v>
      </c>
      <c r="B311" s="8" t="s">
        <v>537</v>
      </c>
      <c r="C311" s="8" t="s">
        <v>538</v>
      </c>
      <c r="D311" s="8">
        <v>617.0</v>
      </c>
      <c r="E311" s="166">
        <v>42377.0</v>
      </c>
      <c r="F311" s="8" t="s">
        <v>534</v>
      </c>
    </row>
    <row r="312" ht="14.25" customHeight="1">
      <c r="A312" s="8">
        <v>4.0</v>
      </c>
      <c r="B312" s="8" t="s">
        <v>537</v>
      </c>
      <c r="C312" s="8" t="s">
        <v>538</v>
      </c>
      <c r="D312" s="8">
        <v>8384.0</v>
      </c>
      <c r="E312" s="166">
        <v>42379.0</v>
      </c>
      <c r="F312" s="8" t="s">
        <v>539</v>
      </c>
      <c r="H312" s="216" t="s">
        <v>540</v>
      </c>
    </row>
    <row r="313" ht="14.25" customHeight="1">
      <c r="A313" s="8">
        <v>5.0</v>
      </c>
      <c r="B313" s="8" t="s">
        <v>541</v>
      </c>
      <c r="C313" s="8" t="s">
        <v>533</v>
      </c>
      <c r="D313" s="8">
        <v>2626.0</v>
      </c>
      <c r="E313" s="166">
        <v>42380.0</v>
      </c>
      <c r="F313" s="8" t="s">
        <v>542</v>
      </c>
      <c r="H313" s="87">
        <f>countif(C309:C338,"vegetable")</f>
        <v>12</v>
      </c>
    </row>
    <row r="314" ht="14.25" customHeight="1">
      <c r="A314" s="8">
        <v>6.0</v>
      </c>
      <c r="B314" s="8" t="s">
        <v>543</v>
      </c>
      <c r="C314" s="8" t="s">
        <v>538</v>
      </c>
      <c r="D314" s="8">
        <v>3610.0</v>
      </c>
      <c r="E314" s="166">
        <v>42380.0</v>
      </c>
      <c r="F314" s="8" t="s">
        <v>544</v>
      </c>
    </row>
    <row r="315" ht="14.25" customHeight="1">
      <c r="A315" s="8">
        <v>7.0</v>
      </c>
      <c r="B315" s="8" t="s">
        <v>535</v>
      </c>
      <c r="C315" s="8" t="s">
        <v>533</v>
      </c>
      <c r="D315" s="8">
        <v>9062.0</v>
      </c>
      <c r="E315" s="166">
        <v>42385.0</v>
      </c>
      <c r="F315" s="8" t="s">
        <v>545</v>
      </c>
      <c r="H315" s="216" t="s">
        <v>546</v>
      </c>
    </row>
    <row r="316" ht="14.25" customHeight="1">
      <c r="A316" s="8">
        <v>8.0</v>
      </c>
      <c r="B316" s="8" t="s">
        <v>537</v>
      </c>
      <c r="C316" s="8" t="s">
        <v>538</v>
      </c>
      <c r="D316" s="8">
        <v>6906.0</v>
      </c>
      <c r="E316" s="166">
        <v>42385.0</v>
      </c>
      <c r="F316" s="8" t="s">
        <v>547</v>
      </c>
      <c r="H316" s="217">
        <f>sumif(B309:B338,"Apple",D309:D338)</f>
        <v>25557</v>
      </c>
      <c r="I316" s="218">
        <f>sumif(B309:B338,"Banana",D309:D338)</f>
        <v>38956</v>
      </c>
    </row>
    <row r="317" ht="14.25" customHeight="1">
      <c r="A317" s="8">
        <v>9.0</v>
      </c>
      <c r="B317" s="8" t="s">
        <v>548</v>
      </c>
      <c r="C317" s="8" t="s">
        <v>538</v>
      </c>
      <c r="D317" s="8">
        <v>2417.0</v>
      </c>
      <c r="E317" s="166">
        <v>42385.0</v>
      </c>
      <c r="F317" s="8" t="s">
        <v>549</v>
      </c>
    </row>
    <row r="318" ht="14.25" customHeight="1">
      <c r="A318" s="8">
        <v>10.0</v>
      </c>
      <c r="B318" s="8" t="s">
        <v>548</v>
      </c>
      <c r="C318" s="8" t="s">
        <v>538</v>
      </c>
      <c r="D318" s="8">
        <v>7431.0</v>
      </c>
      <c r="E318" s="166">
        <v>42385.0</v>
      </c>
      <c r="F318" s="8" t="s">
        <v>550</v>
      </c>
      <c r="H318" s="216" t="s">
        <v>551</v>
      </c>
    </row>
    <row r="319" ht="14.25" customHeight="1">
      <c r="A319" s="8">
        <v>11.0</v>
      </c>
      <c r="B319" s="8" t="s">
        <v>537</v>
      </c>
      <c r="C319" s="8" t="s">
        <v>538</v>
      </c>
      <c r="D319" s="8">
        <v>8250.0</v>
      </c>
      <c r="E319" s="166">
        <v>42387.0</v>
      </c>
      <c r="F319" s="8" t="s">
        <v>542</v>
      </c>
      <c r="H319" s="87">
        <f>counta(B309:B338)</f>
        <v>30</v>
      </c>
    </row>
    <row r="320" ht="14.25" customHeight="1">
      <c r="A320" s="8">
        <v>12.0</v>
      </c>
      <c r="B320" s="8" t="s">
        <v>535</v>
      </c>
      <c r="C320" s="8" t="s">
        <v>533</v>
      </c>
      <c r="D320" s="8">
        <v>7012.0</v>
      </c>
      <c r="E320" s="166">
        <v>42389.0</v>
      </c>
      <c r="F320" s="8" t="s">
        <v>534</v>
      </c>
    </row>
    <row r="321" ht="14.25" customHeight="1">
      <c r="A321" s="8">
        <v>13.0</v>
      </c>
      <c r="B321" s="8" t="s">
        <v>532</v>
      </c>
      <c r="C321" s="8" t="s">
        <v>533</v>
      </c>
      <c r="D321" s="8">
        <v>1903.0</v>
      </c>
      <c r="E321" s="166">
        <v>42391.0</v>
      </c>
      <c r="F321" s="8" t="s">
        <v>542</v>
      </c>
      <c r="H321" s="216" t="s">
        <v>552</v>
      </c>
    </row>
    <row r="322" ht="14.25" customHeight="1">
      <c r="A322" s="8">
        <v>14.0</v>
      </c>
      <c r="B322" s="8" t="s">
        <v>535</v>
      </c>
      <c r="C322" s="8" t="s">
        <v>533</v>
      </c>
      <c r="D322" s="8">
        <v>2824.0</v>
      </c>
      <c r="E322" s="166">
        <v>42393.0</v>
      </c>
      <c r="F322" s="8" t="s">
        <v>539</v>
      </c>
      <c r="H322" s="87">
        <f>countifs(B309:B338,"Apple",F309:F338,"Canada")</f>
        <v>1</v>
      </c>
      <c r="I322" s="87">
        <f>countifs(B309:B338,"Banana",F309:F338,"Canada")</f>
        <v>2</v>
      </c>
      <c r="J322" s="87">
        <f>countifs(B309:B338,"Apple",F309:F338,"United Kingdom")</f>
        <v>0</v>
      </c>
      <c r="K322" s="87">
        <f>countifs(B309:B338,"Banana",F309:F338,"United Kingdom")</f>
        <v>2</v>
      </c>
    </row>
    <row r="323" ht="14.25" customHeight="1">
      <c r="A323" s="8">
        <v>15.0</v>
      </c>
      <c r="B323" s="8" t="s">
        <v>548</v>
      </c>
      <c r="C323" s="8" t="s">
        <v>538</v>
      </c>
      <c r="D323" s="8">
        <v>6946.0</v>
      </c>
      <c r="E323" s="166">
        <v>42396.0</v>
      </c>
      <c r="F323" s="8" t="s">
        <v>549</v>
      </c>
    </row>
    <row r="324" ht="14.25" customHeight="1">
      <c r="A324" s="8">
        <v>16.0</v>
      </c>
      <c r="B324" s="8" t="s">
        <v>537</v>
      </c>
      <c r="C324" s="8" t="s">
        <v>538</v>
      </c>
      <c r="D324" s="8">
        <v>2320.0</v>
      </c>
      <c r="E324" s="166">
        <v>42397.0</v>
      </c>
      <c r="F324" s="8" t="s">
        <v>536</v>
      </c>
      <c r="H324" s="216" t="s">
        <v>553</v>
      </c>
    </row>
    <row r="325" ht="14.25" customHeight="1">
      <c r="A325" s="8">
        <v>17.0</v>
      </c>
      <c r="B325" s="8" t="s">
        <v>537</v>
      </c>
      <c r="C325" s="8" t="s">
        <v>538</v>
      </c>
      <c r="D325" s="8">
        <v>2116.0</v>
      </c>
      <c r="E325" s="166">
        <v>42399.0</v>
      </c>
      <c r="F325" s="8" t="s">
        <v>554</v>
      </c>
      <c r="H325" s="87" t="str">
        <f>sumifs(B309:B338,"Apple",D309:D338,F309:F338,"United States")</f>
        <v>#VALUE!</v>
      </c>
    </row>
    <row r="326" ht="14.25" customHeight="1">
      <c r="A326" s="8">
        <v>18.0</v>
      </c>
      <c r="B326" s="8" t="s">
        <v>537</v>
      </c>
      <c r="C326" s="8" t="s">
        <v>538</v>
      </c>
      <c r="D326" s="8">
        <v>1135.0</v>
      </c>
      <c r="E326" s="166">
        <v>42399.0</v>
      </c>
      <c r="F326" s="219" t="s">
        <v>536</v>
      </c>
    </row>
    <row r="327" ht="14.25" customHeight="1">
      <c r="A327" s="8">
        <v>19.0</v>
      </c>
      <c r="B327" s="8" t="s">
        <v>535</v>
      </c>
      <c r="C327" s="8" t="s">
        <v>533</v>
      </c>
      <c r="D327" s="8">
        <v>3595.0</v>
      </c>
      <c r="E327" s="166">
        <v>42402.0</v>
      </c>
      <c r="F327" s="219" t="s">
        <v>536</v>
      </c>
    </row>
    <row r="328" ht="14.25" customHeight="1">
      <c r="A328" s="8">
        <v>20.0</v>
      </c>
      <c r="B328" s="8" t="s">
        <v>548</v>
      </c>
      <c r="C328" s="8" t="s">
        <v>538</v>
      </c>
      <c r="D328" s="8">
        <v>1161.0</v>
      </c>
      <c r="E328" s="166">
        <v>42404.0</v>
      </c>
      <c r="F328" s="219" t="s">
        <v>544</v>
      </c>
    </row>
    <row r="329" ht="14.25" customHeight="1">
      <c r="A329" s="8">
        <v>21.0</v>
      </c>
      <c r="B329" s="8" t="s">
        <v>543</v>
      </c>
      <c r="C329" s="8" t="s">
        <v>538</v>
      </c>
      <c r="D329" s="8">
        <v>2256.0</v>
      </c>
      <c r="E329" s="166">
        <v>42411.0</v>
      </c>
      <c r="F329" s="219" t="s">
        <v>549</v>
      </c>
    </row>
    <row r="330" ht="14.25" customHeight="1">
      <c r="A330" s="8">
        <v>22.0</v>
      </c>
      <c r="B330" s="8" t="s">
        <v>537</v>
      </c>
      <c r="C330" s="8" t="s">
        <v>538</v>
      </c>
      <c r="D330" s="8">
        <v>1004.0</v>
      </c>
      <c r="E330" s="166">
        <v>42414.0</v>
      </c>
      <c r="F330" s="219" t="s">
        <v>547</v>
      </c>
    </row>
    <row r="331" ht="14.25" customHeight="1">
      <c r="A331" s="8">
        <v>23.0</v>
      </c>
      <c r="B331" s="8" t="s">
        <v>537</v>
      </c>
      <c r="C331" s="8" t="s">
        <v>538</v>
      </c>
      <c r="D331" s="8">
        <v>3642.0</v>
      </c>
      <c r="E331" s="166">
        <v>42417.0</v>
      </c>
      <c r="F331" s="219" t="s">
        <v>539</v>
      </c>
    </row>
    <row r="332" ht="14.25" customHeight="1">
      <c r="A332" s="8">
        <v>24.0</v>
      </c>
      <c r="B332" s="8" t="s">
        <v>537</v>
      </c>
      <c r="C332" s="8" t="s">
        <v>538</v>
      </c>
      <c r="D332" s="8">
        <v>4582.0</v>
      </c>
      <c r="E332" s="166">
        <v>42417.0</v>
      </c>
      <c r="F332" s="219" t="s">
        <v>544</v>
      </c>
    </row>
    <row r="333" ht="14.25" customHeight="1">
      <c r="A333" s="8">
        <v>25.0</v>
      </c>
      <c r="B333" s="8" t="s">
        <v>541</v>
      </c>
      <c r="C333" s="8" t="s">
        <v>533</v>
      </c>
      <c r="D333" s="8">
        <v>3559.0</v>
      </c>
      <c r="E333" s="166">
        <v>42417.0</v>
      </c>
      <c r="F333" s="219" t="s">
        <v>536</v>
      </c>
    </row>
    <row r="334" ht="14.25" customHeight="1">
      <c r="A334" s="8">
        <v>26.0</v>
      </c>
      <c r="B334" s="8" t="s">
        <v>532</v>
      </c>
      <c r="C334" s="8" t="s">
        <v>533</v>
      </c>
      <c r="D334" s="8">
        <v>5154.0</v>
      </c>
      <c r="E334" s="166">
        <v>42418.0</v>
      </c>
      <c r="F334" s="219" t="s">
        <v>545</v>
      </c>
    </row>
    <row r="335" ht="14.25" customHeight="1">
      <c r="A335" s="8">
        <v>27.0</v>
      </c>
      <c r="B335" s="8" t="s">
        <v>555</v>
      </c>
      <c r="C335" s="8" t="s">
        <v>538</v>
      </c>
      <c r="D335" s="8">
        <v>7388.0</v>
      </c>
      <c r="E335" s="166">
        <v>42418.0</v>
      </c>
      <c r="F335" s="216" t="s">
        <v>549</v>
      </c>
    </row>
    <row r="336" ht="14.25" customHeight="1">
      <c r="A336" s="8">
        <v>28.0</v>
      </c>
      <c r="B336" s="8" t="s">
        <v>541</v>
      </c>
      <c r="C336" s="8" t="s">
        <v>533</v>
      </c>
      <c r="D336" s="8">
        <v>7163.0</v>
      </c>
      <c r="E336" s="166">
        <v>42420.0</v>
      </c>
      <c r="F336" s="216" t="s">
        <v>544</v>
      </c>
    </row>
    <row r="337" ht="14.25" customHeight="1">
      <c r="A337" s="8">
        <v>29.0</v>
      </c>
      <c r="B337" s="8" t="s">
        <v>541</v>
      </c>
      <c r="C337" s="8" t="s">
        <v>533</v>
      </c>
      <c r="D337" s="8">
        <v>5101.0</v>
      </c>
      <c r="E337" s="166">
        <v>42421.0</v>
      </c>
      <c r="F337" s="216" t="s">
        <v>542</v>
      </c>
    </row>
    <row r="338" ht="14.25" customHeight="1">
      <c r="A338" s="8">
        <v>30.0</v>
      </c>
      <c r="B338" s="8" t="s">
        <v>548</v>
      </c>
      <c r="C338" s="8" t="s">
        <v>538</v>
      </c>
      <c r="D338" s="8">
        <v>7602.0</v>
      </c>
      <c r="E338" s="166">
        <v>42421.0</v>
      </c>
      <c r="F338" s="216" t="s">
        <v>549</v>
      </c>
    </row>
    <row r="339" ht="14.25" customHeight="1"/>
    <row r="340" ht="14.25" customHeight="1"/>
    <row r="341" ht="14.25" customHeight="1"/>
    <row r="342" ht="14.25" customHeight="1"/>
    <row r="343" ht="14.25" customHeight="1">
      <c r="A343" s="220" t="s">
        <v>556</v>
      </c>
      <c r="B343" s="112"/>
      <c r="C343" s="112"/>
      <c r="D343" s="112"/>
      <c r="E343" s="112"/>
      <c r="F343" s="112"/>
      <c r="G343" s="112"/>
      <c r="H343" s="112"/>
      <c r="I343" s="113"/>
    </row>
    <row r="344" ht="14.25" customHeight="1">
      <c r="A344" s="120"/>
      <c r="B344" s="121"/>
      <c r="C344" s="121"/>
      <c r="D344" s="121"/>
      <c r="E344" s="121"/>
      <c r="F344" s="121"/>
      <c r="G344" s="121"/>
      <c r="H344" s="121"/>
      <c r="I344" s="75"/>
    </row>
    <row r="345" ht="14.25" customHeight="1">
      <c r="A345" s="8" t="s">
        <v>282</v>
      </c>
      <c r="B345" s="8" t="s">
        <v>557</v>
      </c>
      <c r="C345" s="8" t="s">
        <v>148</v>
      </c>
      <c r="D345" s="8" t="s">
        <v>558</v>
      </c>
    </row>
    <row r="346" ht="14.25" customHeight="1">
      <c r="A346" s="8" t="s">
        <v>559</v>
      </c>
      <c r="B346" s="8" t="s">
        <v>560</v>
      </c>
      <c r="C346" s="8" t="s">
        <v>534</v>
      </c>
      <c r="D346" s="8">
        <v>74.0</v>
      </c>
      <c r="F346" s="216" t="s">
        <v>561</v>
      </c>
    </row>
    <row r="347" ht="14.25" customHeight="1">
      <c r="A347" s="8" t="s">
        <v>562</v>
      </c>
      <c r="B347" s="8" t="s">
        <v>563</v>
      </c>
      <c r="C347" s="8" t="s">
        <v>564</v>
      </c>
      <c r="D347" s="8">
        <v>92.0</v>
      </c>
      <c r="F347" s="221">
        <f>countif(B346:B356,"Male")</f>
        <v>5</v>
      </c>
      <c r="G347" s="222">
        <f>countif(B346:B356,"female")</f>
        <v>6</v>
      </c>
    </row>
    <row r="348" ht="14.25" customHeight="1">
      <c r="A348" s="8" t="s">
        <v>565</v>
      </c>
      <c r="B348" s="8" t="s">
        <v>560</v>
      </c>
      <c r="C348" s="8" t="s">
        <v>534</v>
      </c>
      <c r="D348" s="8">
        <v>65.0</v>
      </c>
    </row>
    <row r="349" ht="14.25" customHeight="1">
      <c r="A349" s="8" t="s">
        <v>566</v>
      </c>
      <c r="B349" s="8" t="s">
        <v>563</v>
      </c>
      <c r="C349" s="8" t="s">
        <v>550</v>
      </c>
      <c r="D349" s="8">
        <v>82.0</v>
      </c>
      <c r="F349" s="216" t="s">
        <v>567</v>
      </c>
    </row>
    <row r="350" ht="14.25" customHeight="1">
      <c r="A350" s="8" t="s">
        <v>568</v>
      </c>
      <c r="B350" s="8" t="s">
        <v>563</v>
      </c>
      <c r="C350" s="8" t="s">
        <v>545</v>
      </c>
      <c r="D350" s="8">
        <v>50.0</v>
      </c>
      <c r="F350" s="87">
        <f>countifs(B346:B356,"Male",C346:C356,"united States")</f>
        <v>4</v>
      </c>
    </row>
    <row r="351" ht="14.25" customHeight="1">
      <c r="A351" s="8" t="s">
        <v>569</v>
      </c>
      <c r="B351" s="8" t="s">
        <v>563</v>
      </c>
      <c r="C351" s="8" t="s">
        <v>550</v>
      </c>
      <c r="D351" s="8">
        <v>91.0</v>
      </c>
    </row>
    <row r="352" ht="14.25" customHeight="1">
      <c r="A352" s="8" t="s">
        <v>365</v>
      </c>
      <c r="B352" s="8" t="s">
        <v>563</v>
      </c>
      <c r="C352" s="8" t="s">
        <v>534</v>
      </c>
      <c r="D352" s="8">
        <v>96.0</v>
      </c>
      <c r="F352" s="216" t="s">
        <v>570</v>
      </c>
    </row>
    <row r="353" ht="14.25" customHeight="1">
      <c r="A353" s="8" t="s">
        <v>571</v>
      </c>
      <c r="B353" s="8" t="s">
        <v>560</v>
      </c>
      <c r="C353" s="8" t="s">
        <v>534</v>
      </c>
      <c r="D353" s="8">
        <v>58.0</v>
      </c>
      <c r="F353" s="216" t="s">
        <v>566</v>
      </c>
      <c r="G353" s="87" t="str">
        <f>vlookup(F353,A346:D356,3,0)</f>
        <v>Canada</v>
      </c>
    </row>
    <row r="354" ht="14.25" customHeight="1">
      <c r="A354" s="8" t="s">
        <v>387</v>
      </c>
      <c r="B354" s="8" t="s">
        <v>560</v>
      </c>
      <c r="C354" s="8" t="s">
        <v>550</v>
      </c>
      <c r="D354" s="8">
        <v>67.0</v>
      </c>
      <c r="F354" s="216" t="s">
        <v>367</v>
      </c>
      <c r="G354" s="87" t="str">
        <f>vlookup(F354,A346:D356,3,0)</f>
        <v>United States</v>
      </c>
    </row>
    <row r="355" ht="14.25" customHeight="1">
      <c r="A355" s="8" t="s">
        <v>572</v>
      </c>
      <c r="B355" s="8" t="s">
        <v>563</v>
      </c>
      <c r="C355" s="8" t="s">
        <v>564</v>
      </c>
      <c r="D355" s="8">
        <v>54.0</v>
      </c>
      <c r="F355" s="216" t="s">
        <v>573</v>
      </c>
    </row>
    <row r="356" ht="14.25" customHeight="1">
      <c r="A356" s="8" t="s">
        <v>367</v>
      </c>
      <c r="B356" s="8" t="s">
        <v>560</v>
      </c>
      <c r="C356" s="8" t="s">
        <v>534</v>
      </c>
      <c r="D356" s="8">
        <v>83.0</v>
      </c>
    </row>
    <row r="357" ht="14.25" customHeight="1"/>
    <row r="358" ht="14.25" customHeight="1">
      <c r="F358" s="216" t="s">
        <v>574</v>
      </c>
    </row>
    <row r="359" ht="14.25" customHeight="1"/>
    <row r="360" ht="14.25" customHeight="1"/>
    <row r="361" ht="14.25" customHeight="1"/>
    <row r="362" ht="14.25" customHeight="1"/>
    <row r="363" ht="14.25" customHeight="1">
      <c r="A363" s="223" t="s">
        <v>575</v>
      </c>
      <c r="B363" s="112"/>
      <c r="C363" s="112"/>
      <c r="D363" s="112"/>
      <c r="E363" s="112"/>
      <c r="F363" s="112"/>
      <c r="G363" s="112"/>
      <c r="H363" s="112"/>
      <c r="I363" s="113"/>
    </row>
    <row r="364" ht="14.25" customHeight="1">
      <c r="A364" s="120"/>
      <c r="B364" s="121"/>
      <c r="C364" s="121"/>
      <c r="D364" s="121"/>
      <c r="E364" s="121"/>
      <c r="F364" s="121"/>
      <c r="G364" s="121"/>
      <c r="H364" s="121"/>
      <c r="I364" s="75"/>
    </row>
    <row r="365" ht="14.25" customHeight="1">
      <c r="A365" s="144" t="s">
        <v>576</v>
      </c>
      <c r="B365" s="144" t="s">
        <v>577</v>
      </c>
      <c r="C365" s="144" t="s">
        <v>529</v>
      </c>
      <c r="D365" s="224"/>
      <c r="E365" s="144" t="s">
        <v>576</v>
      </c>
      <c r="F365" s="144" t="s">
        <v>577</v>
      </c>
      <c r="G365" s="144" t="s">
        <v>529</v>
      </c>
    </row>
    <row r="366" ht="14.25" customHeight="1">
      <c r="A366" s="8">
        <v>101.0</v>
      </c>
      <c r="B366" s="8" t="s">
        <v>578</v>
      </c>
      <c r="C366" s="8" t="s">
        <v>579</v>
      </c>
      <c r="E366" s="8">
        <v>104.0</v>
      </c>
      <c r="F366" s="8" t="s">
        <v>580</v>
      </c>
      <c r="G366" s="8" t="s">
        <v>581</v>
      </c>
    </row>
    <row r="367" ht="14.25" customHeight="1">
      <c r="A367" s="8">
        <v>102.0</v>
      </c>
      <c r="B367" s="8" t="s">
        <v>582</v>
      </c>
      <c r="C367" s="8" t="s">
        <v>583</v>
      </c>
      <c r="E367" s="8">
        <v>103.0</v>
      </c>
      <c r="F367" s="192" t="str">
        <f t="shared" ref="F367:F375" si="28">vlookup(E367,$A$366:$C$369,2,0)</f>
        <v>Logitech</v>
      </c>
      <c r="G367" s="192" t="str">
        <f t="shared" ref="G367:G375" si="29">vlookup(E367,$A$366:$C$369,3,0)</f>
        <v>Mouse</v>
      </c>
    </row>
    <row r="368" ht="14.25" customHeight="1">
      <c r="A368" s="8">
        <v>103.0</v>
      </c>
      <c r="B368" s="8" t="s">
        <v>582</v>
      </c>
      <c r="C368" s="8" t="s">
        <v>584</v>
      </c>
      <c r="E368" s="8">
        <v>104.0</v>
      </c>
      <c r="F368" s="192" t="str">
        <f t="shared" si="28"/>
        <v>HP</v>
      </c>
      <c r="G368" s="192" t="str">
        <f t="shared" si="29"/>
        <v>Printer</v>
      </c>
    </row>
    <row r="369" ht="14.25" customHeight="1">
      <c r="A369" s="8">
        <v>104.0</v>
      </c>
      <c r="B369" s="8" t="s">
        <v>580</v>
      </c>
      <c r="C369" s="8" t="s">
        <v>581</v>
      </c>
      <c r="E369" s="8">
        <v>101.0</v>
      </c>
      <c r="F369" s="192" t="str">
        <f t="shared" si="28"/>
        <v>Dell</v>
      </c>
      <c r="G369" s="192" t="str">
        <f t="shared" si="29"/>
        <v>Computer</v>
      </c>
    </row>
    <row r="370" ht="14.25" customHeight="1">
      <c r="E370" s="8">
        <v>102.0</v>
      </c>
      <c r="F370" s="192" t="str">
        <f t="shared" si="28"/>
        <v>Logitech</v>
      </c>
      <c r="G370" s="192" t="str">
        <f t="shared" si="29"/>
        <v>Keyboard</v>
      </c>
    </row>
    <row r="371" ht="14.25" customHeight="1">
      <c r="E371" s="8">
        <v>103.0</v>
      </c>
      <c r="F371" s="192" t="str">
        <f t="shared" si="28"/>
        <v>Logitech</v>
      </c>
      <c r="G371" s="192" t="str">
        <f t="shared" si="29"/>
        <v>Mouse</v>
      </c>
    </row>
    <row r="372" ht="14.25" customHeight="1">
      <c r="E372" s="8">
        <v>101.0</v>
      </c>
      <c r="F372" s="192" t="str">
        <f t="shared" si="28"/>
        <v>Dell</v>
      </c>
      <c r="G372" s="192" t="str">
        <f t="shared" si="29"/>
        <v>Computer</v>
      </c>
    </row>
    <row r="373" ht="14.25" customHeight="1">
      <c r="E373" s="8">
        <v>104.0</v>
      </c>
      <c r="F373" s="192" t="str">
        <f t="shared" si="28"/>
        <v>HP</v>
      </c>
      <c r="G373" s="192" t="str">
        <f t="shared" si="29"/>
        <v>Printer</v>
      </c>
    </row>
    <row r="374" ht="14.25" customHeight="1">
      <c r="E374" s="8">
        <v>101.0</v>
      </c>
      <c r="F374" s="192" t="str">
        <f t="shared" si="28"/>
        <v>Dell</v>
      </c>
      <c r="G374" s="192" t="str">
        <f t="shared" si="29"/>
        <v>Computer</v>
      </c>
    </row>
    <row r="375" ht="14.25" customHeight="1">
      <c r="E375" s="8">
        <v>102.0</v>
      </c>
      <c r="F375" s="192" t="str">
        <f t="shared" si="28"/>
        <v>Logitech</v>
      </c>
      <c r="G375" s="192" t="str">
        <f t="shared" si="29"/>
        <v>Keyboard</v>
      </c>
    </row>
    <row r="376" ht="14.25" customHeight="1"/>
    <row r="377" ht="14.25" customHeight="1"/>
    <row r="378" ht="14.25" customHeight="1"/>
    <row r="379" ht="14.25" customHeight="1"/>
    <row r="380" ht="14.25" customHeight="1">
      <c r="A380" s="225" t="s">
        <v>585</v>
      </c>
      <c r="B380" s="112"/>
      <c r="C380" s="112"/>
      <c r="D380" s="112"/>
      <c r="E380" s="112"/>
      <c r="F380" s="112"/>
      <c r="G380" s="112"/>
      <c r="H380" s="113"/>
    </row>
    <row r="381" ht="14.25" customHeight="1">
      <c r="A381" s="120"/>
      <c r="B381" s="121"/>
      <c r="C381" s="121"/>
      <c r="D381" s="121"/>
      <c r="E381" s="121"/>
      <c r="F381" s="121"/>
      <c r="G381" s="121"/>
      <c r="H381" s="75"/>
    </row>
    <row r="382" ht="14.25" customHeight="1">
      <c r="A382" s="226" t="s">
        <v>576</v>
      </c>
      <c r="B382" s="226">
        <v>101.0</v>
      </c>
      <c r="C382" s="226">
        <v>102.0</v>
      </c>
      <c r="D382" s="226">
        <v>103.0</v>
      </c>
      <c r="E382" s="226">
        <v>104.0</v>
      </c>
    </row>
    <row r="383" ht="14.25" customHeight="1">
      <c r="A383" s="227" t="s">
        <v>577</v>
      </c>
      <c r="B383" s="8" t="s">
        <v>578</v>
      </c>
      <c r="C383" s="8" t="s">
        <v>582</v>
      </c>
      <c r="D383" s="8" t="s">
        <v>582</v>
      </c>
      <c r="E383" s="8" t="s">
        <v>580</v>
      </c>
    </row>
    <row r="384" ht="14.25" customHeight="1">
      <c r="A384" s="227" t="s">
        <v>529</v>
      </c>
      <c r="B384" s="8" t="s">
        <v>579</v>
      </c>
      <c r="C384" s="8" t="s">
        <v>583</v>
      </c>
      <c r="D384" s="8" t="s">
        <v>584</v>
      </c>
      <c r="E384" s="8" t="s">
        <v>581</v>
      </c>
    </row>
    <row r="385" ht="14.25" customHeight="1"/>
    <row r="386" ht="14.25" customHeight="1">
      <c r="A386" s="153" t="s">
        <v>576</v>
      </c>
      <c r="B386" s="153" t="s">
        <v>529</v>
      </c>
      <c r="C386" s="153" t="s">
        <v>577</v>
      </c>
    </row>
    <row r="387" ht="14.25" customHeight="1">
      <c r="A387" s="8">
        <v>104.0</v>
      </c>
      <c r="B387" s="8" t="s">
        <v>581</v>
      </c>
      <c r="C387" s="8" t="s">
        <v>580</v>
      </c>
    </row>
    <row r="388" ht="14.25" customHeight="1">
      <c r="A388" s="8">
        <v>103.0</v>
      </c>
    </row>
    <row r="389" ht="14.25" customHeight="1">
      <c r="A389" s="8">
        <v>104.0</v>
      </c>
    </row>
    <row r="390" ht="14.25" customHeight="1">
      <c r="A390" s="8">
        <v>101.0</v>
      </c>
    </row>
    <row r="391" ht="14.25" customHeight="1">
      <c r="A391" s="8">
        <v>102.0</v>
      </c>
    </row>
    <row r="392" ht="14.25" customHeight="1">
      <c r="A392" s="8">
        <v>103.0</v>
      </c>
    </row>
    <row r="393" ht="14.25" customHeight="1">
      <c r="A393" s="8">
        <v>101.0</v>
      </c>
    </row>
    <row r="394" ht="14.25" customHeight="1">
      <c r="A394" s="8">
        <v>104.0</v>
      </c>
    </row>
    <row r="395" ht="14.25" customHeight="1">
      <c r="A395" s="8">
        <v>101.0</v>
      </c>
    </row>
    <row r="396" ht="14.25" customHeight="1">
      <c r="A396" s="8">
        <v>102.0</v>
      </c>
    </row>
    <row r="397" ht="14.25" customHeight="1"/>
    <row r="398" ht="14.25" customHeight="1"/>
    <row r="399" ht="14.25" customHeight="1"/>
    <row r="400" ht="14.25" customHeight="1">
      <c r="A400" s="228" t="s">
        <v>586</v>
      </c>
      <c r="B400" s="112"/>
      <c r="C400" s="112"/>
      <c r="D400" s="112"/>
      <c r="E400" s="112"/>
      <c r="F400" s="112"/>
      <c r="G400" s="113"/>
    </row>
    <row r="401" ht="14.25" customHeight="1">
      <c r="A401" s="120"/>
      <c r="B401" s="121"/>
      <c r="C401" s="121"/>
      <c r="D401" s="121"/>
      <c r="E401" s="121"/>
      <c r="F401" s="121"/>
      <c r="G401" s="75"/>
    </row>
    <row r="402" ht="14.25" customHeight="1">
      <c r="A402" s="226" t="s">
        <v>587</v>
      </c>
      <c r="B402" s="226" t="s">
        <v>496</v>
      </c>
      <c r="C402" s="226" t="s">
        <v>497</v>
      </c>
      <c r="D402" s="226" t="s">
        <v>498</v>
      </c>
    </row>
    <row r="403" ht="14.25" customHeight="1">
      <c r="A403" s="8" t="s">
        <v>588</v>
      </c>
      <c r="B403" s="8">
        <v>5535.0</v>
      </c>
      <c r="C403" s="8">
        <v>5414.0</v>
      </c>
      <c r="D403" s="8">
        <v>9027.0</v>
      </c>
    </row>
    <row r="404" ht="14.25" customHeight="1">
      <c r="A404" s="8" t="s">
        <v>589</v>
      </c>
      <c r="B404" s="8">
        <v>5013.0</v>
      </c>
      <c r="C404" s="8">
        <v>5107.0</v>
      </c>
      <c r="D404" s="8">
        <v>11667.0</v>
      </c>
    </row>
    <row r="405" ht="14.25" customHeight="1">
      <c r="A405" s="8" t="s">
        <v>139</v>
      </c>
      <c r="B405" s="8">
        <v>6597.0</v>
      </c>
      <c r="C405" s="8">
        <v>3858.0</v>
      </c>
      <c r="D405" s="8">
        <v>1507.0</v>
      </c>
    </row>
    <row r="406" ht="14.25" customHeight="1">
      <c r="A406" s="8" t="s">
        <v>590</v>
      </c>
      <c r="B406" s="8">
        <v>3195.0</v>
      </c>
      <c r="C406" s="8">
        <v>3654.0</v>
      </c>
      <c r="D406" s="8">
        <v>7225.0</v>
      </c>
    </row>
    <row r="407" ht="14.25" customHeight="1"/>
    <row r="408" ht="14.25" customHeight="1">
      <c r="A408" s="226" t="s">
        <v>139</v>
      </c>
      <c r="B408" s="226" t="s">
        <v>498</v>
      </c>
      <c r="C408" s="226">
        <v>1057.0</v>
      </c>
    </row>
    <row r="409" ht="14.25" customHeight="1">
      <c r="A409" s="8" t="s">
        <v>590</v>
      </c>
      <c r="B409" s="8" t="s">
        <v>497</v>
      </c>
    </row>
    <row r="410" ht="14.25" customHeight="1">
      <c r="A410" s="8" t="s">
        <v>589</v>
      </c>
      <c r="B410" s="8" t="s">
        <v>496</v>
      </c>
    </row>
    <row r="411" ht="14.25" customHeight="1">
      <c r="A411" s="8" t="s">
        <v>588</v>
      </c>
      <c r="B411" s="8" t="s">
        <v>498</v>
      </c>
    </row>
    <row r="412" ht="14.25" customHeight="1"/>
    <row r="413" ht="14.25" customHeight="1"/>
    <row r="414" ht="14.25" customHeight="1"/>
    <row r="415" ht="14.25" customHeight="1"/>
    <row r="416" ht="14.25" customHeight="1">
      <c r="A416" s="229" t="s">
        <v>591</v>
      </c>
      <c r="B416" s="112"/>
      <c r="C416" s="112"/>
      <c r="D416" s="112"/>
      <c r="E416" s="112"/>
      <c r="F416" s="112"/>
      <c r="G416" s="113"/>
    </row>
    <row r="417" ht="14.25" customHeight="1">
      <c r="A417" s="120"/>
      <c r="B417" s="121"/>
      <c r="C417" s="121"/>
      <c r="D417" s="121"/>
      <c r="E417" s="121"/>
      <c r="F417" s="121"/>
      <c r="G417" s="75"/>
    </row>
    <row r="418" ht="14.25" customHeight="1">
      <c r="A418" s="230" t="s">
        <v>592</v>
      </c>
      <c r="B418" s="230" t="s">
        <v>593</v>
      </c>
      <c r="C418" s="230" t="s">
        <v>283</v>
      </c>
      <c r="D418" s="230" t="s">
        <v>594</v>
      </c>
      <c r="E418" s="230"/>
      <c r="F418" s="230" t="s">
        <v>594</v>
      </c>
      <c r="G418" s="230" t="s">
        <v>595</v>
      </c>
    </row>
    <row r="419" ht="14.25" customHeight="1">
      <c r="A419" s="8" t="s">
        <v>596</v>
      </c>
      <c r="B419" s="231">
        <v>92671.0</v>
      </c>
      <c r="C419" s="8" t="s">
        <v>136</v>
      </c>
      <c r="D419" s="8" t="s">
        <v>597</v>
      </c>
      <c r="F419" s="8" t="s">
        <v>597</v>
      </c>
      <c r="G419" s="231">
        <v>92671.0</v>
      </c>
    </row>
    <row r="420" ht="14.25" customHeight="1">
      <c r="A420" s="8" t="s">
        <v>598</v>
      </c>
      <c r="B420" s="231">
        <v>84120.0</v>
      </c>
      <c r="C420" s="8" t="s">
        <v>599</v>
      </c>
      <c r="D420" s="8" t="s">
        <v>600</v>
      </c>
      <c r="F420" s="8" t="s">
        <v>600</v>
      </c>
    </row>
    <row r="421" ht="14.25" customHeight="1">
      <c r="A421" s="8" t="s">
        <v>601</v>
      </c>
      <c r="B421" s="231">
        <v>50793.0</v>
      </c>
      <c r="C421" s="8" t="s">
        <v>422</v>
      </c>
      <c r="D421" s="8" t="s">
        <v>602</v>
      </c>
      <c r="F421" s="8" t="s">
        <v>602</v>
      </c>
    </row>
    <row r="422" ht="14.25" customHeight="1">
      <c r="A422" s="8" t="s">
        <v>603</v>
      </c>
      <c r="B422" s="231">
        <v>77833.0</v>
      </c>
      <c r="C422" s="8" t="s">
        <v>604</v>
      </c>
      <c r="D422" s="8" t="s">
        <v>605</v>
      </c>
      <c r="F422" s="8" t="s">
        <v>605</v>
      </c>
    </row>
    <row r="423" ht="14.25" customHeight="1">
      <c r="A423" s="8" t="s">
        <v>606</v>
      </c>
      <c r="B423" s="231">
        <v>58914.0</v>
      </c>
      <c r="C423" s="8" t="s">
        <v>442</v>
      </c>
      <c r="D423" s="8" t="s">
        <v>607</v>
      </c>
      <c r="F423" s="8" t="s">
        <v>607</v>
      </c>
    </row>
    <row r="424" ht="14.25" customHeight="1">
      <c r="A424" s="8" t="s">
        <v>608</v>
      </c>
      <c r="B424" s="231">
        <v>51096.0</v>
      </c>
      <c r="C424" s="8" t="s">
        <v>609</v>
      </c>
      <c r="D424" s="8" t="s">
        <v>610</v>
      </c>
      <c r="F424" s="8" t="s">
        <v>610</v>
      </c>
    </row>
    <row r="425" ht="14.25" customHeight="1">
      <c r="A425" s="8" t="s">
        <v>611</v>
      </c>
      <c r="B425" s="231">
        <v>83735.0</v>
      </c>
      <c r="C425" s="8" t="s">
        <v>422</v>
      </c>
      <c r="D425" s="8" t="s">
        <v>612</v>
      </c>
      <c r="F425" s="8" t="s">
        <v>612</v>
      </c>
    </row>
    <row r="426" ht="14.25" customHeight="1">
      <c r="A426" s="8" t="s">
        <v>613</v>
      </c>
      <c r="B426" s="231">
        <v>74418.0</v>
      </c>
      <c r="C426" s="8" t="s">
        <v>609</v>
      </c>
      <c r="D426" s="8" t="s">
        <v>614</v>
      </c>
      <c r="F426" s="8" t="s">
        <v>614</v>
      </c>
    </row>
    <row r="427" ht="14.25" customHeight="1">
      <c r="A427" s="8" t="s">
        <v>615</v>
      </c>
      <c r="B427" s="231">
        <v>51366.0</v>
      </c>
      <c r="C427" s="8" t="s">
        <v>136</v>
      </c>
      <c r="D427" s="8" t="s">
        <v>616</v>
      </c>
      <c r="F427" s="8" t="s">
        <v>616</v>
      </c>
    </row>
    <row r="428" ht="14.25" customHeight="1">
      <c r="A428" s="8" t="s">
        <v>617</v>
      </c>
      <c r="B428" s="231">
        <v>54600.0</v>
      </c>
      <c r="C428" s="8" t="s">
        <v>442</v>
      </c>
      <c r="D428" s="8" t="s">
        <v>618</v>
      </c>
      <c r="F428" s="8" t="s">
        <v>618</v>
      </c>
    </row>
    <row r="429" ht="14.25" customHeight="1">
      <c r="A429" s="8" t="s">
        <v>619</v>
      </c>
      <c r="B429" s="231">
        <v>93509.0</v>
      </c>
      <c r="C429" s="8" t="s">
        <v>599</v>
      </c>
      <c r="D429" s="8" t="s">
        <v>620</v>
      </c>
      <c r="F429" s="8" t="s">
        <v>620</v>
      </c>
    </row>
    <row r="430" ht="14.25" customHeight="1">
      <c r="A430" s="8" t="s">
        <v>621</v>
      </c>
      <c r="B430" s="231">
        <v>80105.0</v>
      </c>
      <c r="C430" s="8" t="s">
        <v>442</v>
      </c>
      <c r="D430" s="8" t="s">
        <v>622</v>
      </c>
      <c r="F430" s="8" t="s">
        <v>622</v>
      </c>
    </row>
    <row r="431" ht="14.25" customHeight="1">
      <c r="A431" s="8" t="s">
        <v>623</v>
      </c>
      <c r="B431" s="231">
        <v>60802.0</v>
      </c>
      <c r="C431" s="8" t="s">
        <v>422</v>
      </c>
      <c r="D431" s="8" t="s">
        <v>624</v>
      </c>
      <c r="F431" s="8" t="s">
        <v>624</v>
      </c>
    </row>
    <row r="432" ht="14.25" customHeight="1">
      <c r="A432" s="8" t="s">
        <v>625</v>
      </c>
      <c r="B432" s="231">
        <v>76260.0</v>
      </c>
      <c r="C432" s="8" t="s">
        <v>517</v>
      </c>
      <c r="D432" s="8" t="s">
        <v>626</v>
      </c>
      <c r="F432" s="8" t="s">
        <v>626</v>
      </c>
    </row>
    <row r="433" ht="14.25" customHeight="1">
      <c r="A433" s="8" t="s">
        <v>627</v>
      </c>
      <c r="B433" s="231">
        <v>88965.0</v>
      </c>
      <c r="C433" s="8" t="s">
        <v>609</v>
      </c>
      <c r="D433" s="8" t="s">
        <v>628</v>
      </c>
      <c r="F433" s="8" t="s">
        <v>628</v>
      </c>
    </row>
    <row r="434" ht="14.25" customHeight="1">
      <c r="A434" s="8" t="s">
        <v>629</v>
      </c>
      <c r="B434" s="231">
        <v>63288.0</v>
      </c>
      <c r="C434" s="8" t="s">
        <v>599</v>
      </c>
      <c r="D434" s="8" t="s">
        <v>630</v>
      </c>
      <c r="F434" s="8" t="s">
        <v>630</v>
      </c>
    </row>
    <row r="435" ht="14.25" customHeight="1">
      <c r="A435" s="8" t="s">
        <v>631</v>
      </c>
      <c r="B435" s="231">
        <v>45742.0</v>
      </c>
      <c r="C435" s="8" t="s">
        <v>517</v>
      </c>
      <c r="D435" s="8" t="s">
        <v>632</v>
      </c>
      <c r="F435" s="8" t="s">
        <v>632</v>
      </c>
    </row>
    <row r="436" ht="14.25" customHeight="1">
      <c r="A436" s="8" t="s">
        <v>367</v>
      </c>
      <c r="B436" s="231">
        <v>88354.0</v>
      </c>
      <c r="C436" s="8" t="s">
        <v>422</v>
      </c>
      <c r="D436" s="8" t="s">
        <v>633</v>
      </c>
      <c r="F436" s="8" t="s">
        <v>633</v>
      </c>
    </row>
    <row r="437" ht="14.25" customHeight="1">
      <c r="A437" s="8" t="s">
        <v>634</v>
      </c>
      <c r="B437" s="231">
        <v>76641.0</v>
      </c>
      <c r="C437" s="8" t="s">
        <v>422</v>
      </c>
      <c r="D437" s="8" t="s">
        <v>635</v>
      </c>
      <c r="F437" s="8" t="s">
        <v>635</v>
      </c>
    </row>
    <row r="438" ht="14.25" customHeight="1">
      <c r="A438" s="8" t="s">
        <v>636</v>
      </c>
      <c r="B438" s="231">
        <v>61678.0</v>
      </c>
      <c r="C438" s="8" t="s">
        <v>517</v>
      </c>
      <c r="D438" s="8" t="s">
        <v>637</v>
      </c>
      <c r="F438" s="8" t="s">
        <v>637</v>
      </c>
    </row>
    <row r="439" ht="14.25" customHeight="1"/>
    <row r="440" ht="14.25" customHeight="1"/>
    <row r="441" ht="14.25" customHeight="1"/>
    <row r="442" ht="14.25" customHeight="1"/>
    <row r="443" ht="14.25" customHeight="1">
      <c r="A443" s="232" t="s">
        <v>638</v>
      </c>
      <c r="B443" s="112"/>
      <c r="C443" s="112"/>
      <c r="D443" s="112"/>
      <c r="E443" s="112"/>
      <c r="F443" s="112"/>
      <c r="G443" s="113"/>
    </row>
    <row r="444" ht="14.25" customHeight="1">
      <c r="A444" s="120"/>
      <c r="B444" s="121"/>
      <c r="C444" s="121"/>
      <c r="D444" s="121"/>
      <c r="E444" s="121"/>
      <c r="F444" s="121"/>
      <c r="G444" s="75"/>
    </row>
    <row r="445" ht="14.25" customHeight="1">
      <c r="A445" s="230" t="s">
        <v>592</v>
      </c>
      <c r="B445" s="230" t="s">
        <v>593</v>
      </c>
      <c r="C445" s="230" t="s">
        <v>283</v>
      </c>
      <c r="D445" s="230" t="s">
        <v>594</v>
      </c>
      <c r="E445" s="230"/>
      <c r="F445" s="230" t="s">
        <v>594</v>
      </c>
      <c r="G445" s="230" t="s">
        <v>595</v>
      </c>
    </row>
    <row r="446" ht="14.25" customHeight="1">
      <c r="A446" s="8" t="s">
        <v>596</v>
      </c>
      <c r="B446" s="231">
        <v>92671.0</v>
      </c>
      <c r="C446" s="8" t="s">
        <v>136</v>
      </c>
      <c r="D446" s="8" t="s">
        <v>597</v>
      </c>
      <c r="F446" s="8" t="s">
        <v>597</v>
      </c>
      <c r="G446" s="231">
        <v>92671.0</v>
      </c>
    </row>
    <row r="447" ht="14.25" customHeight="1">
      <c r="A447" s="8" t="s">
        <v>598</v>
      </c>
      <c r="B447" s="231">
        <v>84120.0</v>
      </c>
      <c r="C447" s="8" t="s">
        <v>599</v>
      </c>
      <c r="D447" s="8" t="s">
        <v>600</v>
      </c>
      <c r="F447" s="8" t="s">
        <v>600</v>
      </c>
    </row>
    <row r="448" ht="14.25" customHeight="1">
      <c r="A448" s="8" t="s">
        <v>601</v>
      </c>
      <c r="B448" s="231">
        <v>50793.0</v>
      </c>
      <c r="C448" s="8" t="s">
        <v>422</v>
      </c>
      <c r="D448" s="8" t="s">
        <v>602</v>
      </c>
      <c r="F448" s="8" t="s">
        <v>602</v>
      </c>
    </row>
    <row r="449" ht="14.25" customHeight="1">
      <c r="A449" s="8" t="s">
        <v>603</v>
      </c>
      <c r="B449" s="231">
        <v>77833.0</v>
      </c>
      <c r="C449" s="8" t="s">
        <v>604</v>
      </c>
      <c r="D449" s="8" t="s">
        <v>605</v>
      </c>
      <c r="F449" s="8" t="s">
        <v>605</v>
      </c>
    </row>
    <row r="450" ht="14.25" customHeight="1">
      <c r="A450" s="8" t="s">
        <v>606</v>
      </c>
      <c r="B450" s="231">
        <v>58914.0</v>
      </c>
      <c r="C450" s="8" t="s">
        <v>442</v>
      </c>
      <c r="D450" s="8" t="s">
        <v>607</v>
      </c>
      <c r="F450" s="8" t="s">
        <v>607</v>
      </c>
    </row>
    <row r="451" ht="14.25" customHeight="1">
      <c r="A451" s="8" t="s">
        <v>608</v>
      </c>
      <c r="B451" s="231">
        <v>51096.0</v>
      </c>
      <c r="C451" s="8" t="s">
        <v>609</v>
      </c>
      <c r="D451" s="8" t="s">
        <v>610</v>
      </c>
      <c r="F451" s="8" t="s">
        <v>610</v>
      </c>
    </row>
    <row r="452" ht="14.25" customHeight="1">
      <c r="A452" s="8" t="s">
        <v>611</v>
      </c>
      <c r="B452" s="231">
        <v>83735.0</v>
      </c>
      <c r="C452" s="8" t="s">
        <v>422</v>
      </c>
      <c r="D452" s="8" t="s">
        <v>612</v>
      </c>
      <c r="F452" s="8" t="s">
        <v>612</v>
      </c>
    </row>
    <row r="453" ht="14.25" customHeight="1">
      <c r="A453" s="8" t="s">
        <v>613</v>
      </c>
      <c r="B453" s="231">
        <v>74418.0</v>
      </c>
      <c r="C453" s="8" t="s">
        <v>609</v>
      </c>
      <c r="D453" s="8" t="s">
        <v>614</v>
      </c>
      <c r="F453" s="8" t="s">
        <v>614</v>
      </c>
    </row>
    <row r="454" ht="14.25" customHeight="1">
      <c r="A454" s="8" t="s">
        <v>615</v>
      </c>
      <c r="B454" s="231">
        <v>51366.0</v>
      </c>
      <c r="C454" s="8" t="s">
        <v>136</v>
      </c>
      <c r="D454" s="8" t="s">
        <v>616</v>
      </c>
      <c r="F454" s="8" t="s">
        <v>616</v>
      </c>
    </row>
    <row r="455" ht="14.25" customHeight="1">
      <c r="A455" s="8" t="s">
        <v>617</v>
      </c>
      <c r="B455" s="231">
        <v>54600.0</v>
      </c>
      <c r="C455" s="8" t="s">
        <v>442</v>
      </c>
      <c r="D455" s="8" t="s">
        <v>618</v>
      </c>
      <c r="F455" s="8" t="s">
        <v>618</v>
      </c>
    </row>
    <row r="456" ht="14.25" customHeight="1">
      <c r="A456" s="8" t="s">
        <v>619</v>
      </c>
      <c r="B456" s="231">
        <v>93509.0</v>
      </c>
      <c r="C456" s="8" t="s">
        <v>599</v>
      </c>
      <c r="D456" s="8" t="s">
        <v>620</v>
      </c>
      <c r="F456" s="8" t="s">
        <v>620</v>
      </c>
    </row>
    <row r="457" ht="14.25" customHeight="1">
      <c r="A457" s="8" t="s">
        <v>621</v>
      </c>
      <c r="B457" s="231">
        <v>80105.0</v>
      </c>
      <c r="C457" s="8" t="s">
        <v>442</v>
      </c>
      <c r="D457" s="8" t="s">
        <v>622</v>
      </c>
      <c r="F457" s="8" t="s">
        <v>622</v>
      </c>
    </row>
    <row r="458" ht="14.25" customHeight="1">
      <c r="A458" s="8" t="s">
        <v>623</v>
      </c>
      <c r="B458" s="231">
        <v>60802.0</v>
      </c>
      <c r="C458" s="8" t="s">
        <v>422</v>
      </c>
      <c r="D458" s="8" t="s">
        <v>624</v>
      </c>
      <c r="F458" s="8" t="s">
        <v>624</v>
      </c>
    </row>
    <row r="459" ht="14.25" customHeight="1">
      <c r="A459" s="8" t="s">
        <v>625</v>
      </c>
      <c r="B459" s="231">
        <v>76260.0</v>
      </c>
      <c r="C459" s="8" t="s">
        <v>517</v>
      </c>
      <c r="D459" s="8" t="s">
        <v>626</v>
      </c>
      <c r="F459" s="8" t="s">
        <v>626</v>
      </c>
    </row>
    <row r="460" ht="14.25" customHeight="1">
      <c r="A460" s="8" t="s">
        <v>627</v>
      </c>
      <c r="B460" s="231">
        <v>88965.0</v>
      </c>
      <c r="C460" s="8" t="s">
        <v>609</v>
      </c>
      <c r="D460" s="8" t="s">
        <v>628</v>
      </c>
      <c r="F460" s="8" t="s">
        <v>628</v>
      </c>
    </row>
    <row r="461" ht="14.25" customHeight="1">
      <c r="A461" s="8" t="s">
        <v>629</v>
      </c>
      <c r="B461" s="231">
        <v>63288.0</v>
      </c>
      <c r="C461" s="8" t="s">
        <v>599</v>
      </c>
      <c r="D461" s="8" t="s">
        <v>630</v>
      </c>
      <c r="F461" s="8" t="s">
        <v>630</v>
      </c>
    </row>
    <row r="462" ht="14.25" customHeight="1">
      <c r="A462" s="8" t="s">
        <v>631</v>
      </c>
      <c r="B462" s="231">
        <v>45742.0</v>
      </c>
      <c r="C462" s="8" t="s">
        <v>517</v>
      </c>
      <c r="D462" s="8" t="s">
        <v>632</v>
      </c>
      <c r="F462" s="8" t="s">
        <v>632</v>
      </c>
    </row>
    <row r="463" ht="14.25" customHeight="1">
      <c r="A463" s="8" t="s">
        <v>367</v>
      </c>
      <c r="B463" s="231">
        <v>88354.0</v>
      </c>
      <c r="C463" s="8" t="s">
        <v>422</v>
      </c>
      <c r="D463" s="8" t="s">
        <v>633</v>
      </c>
      <c r="F463" s="8" t="s">
        <v>633</v>
      </c>
    </row>
    <row r="464" ht="14.25" customHeight="1">
      <c r="A464" s="8" t="s">
        <v>634</v>
      </c>
      <c r="B464" s="231">
        <v>76641.0</v>
      </c>
      <c r="C464" s="8" t="s">
        <v>422</v>
      </c>
      <c r="D464" s="8" t="s">
        <v>635</v>
      </c>
      <c r="F464" s="8" t="s">
        <v>635</v>
      </c>
    </row>
    <row r="465" ht="14.25" customHeight="1">
      <c r="A465" s="8" t="s">
        <v>636</v>
      </c>
      <c r="B465" s="231">
        <v>61678.0</v>
      </c>
      <c r="C465" s="8" t="s">
        <v>517</v>
      </c>
      <c r="D465" s="8" t="s">
        <v>637</v>
      </c>
      <c r="F465" s="8" t="s">
        <v>637</v>
      </c>
    </row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>
      <c r="A471" s="233" t="s">
        <v>639</v>
      </c>
      <c r="B471" s="112"/>
      <c r="C471" s="112"/>
      <c r="D471" s="112"/>
      <c r="E471" s="112"/>
      <c r="F471" s="113"/>
    </row>
    <row r="472" ht="14.25" customHeight="1">
      <c r="A472" s="120"/>
      <c r="B472" s="121"/>
      <c r="C472" s="121"/>
      <c r="D472" s="121"/>
      <c r="E472" s="121"/>
      <c r="F472" s="75"/>
    </row>
    <row r="473" ht="14.25" customHeight="1">
      <c r="A473" s="230" t="s">
        <v>282</v>
      </c>
      <c r="B473" s="230" t="s">
        <v>274</v>
      </c>
      <c r="C473" s="230" t="s">
        <v>275</v>
      </c>
      <c r="D473" s="230" t="s">
        <v>360</v>
      </c>
      <c r="E473" s="230" t="s">
        <v>640</v>
      </c>
      <c r="F473" s="230" t="s">
        <v>641</v>
      </c>
    </row>
    <row r="474" ht="14.25" customHeight="1">
      <c r="A474" s="227" t="s">
        <v>642</v>
      </c>
      <c r="B474" s="8" t="s">
        <v>643</v>
      </c>
      <c r="C474" s="8" t="s">
        <v>643</v>
      </c>
      <c r="D474" s="8" t="s">
        <v>644</v>
      </c>
      <c r="E474" s="8" t="s">
        <v>643</v>
      </c>
    </row>
    <row r="475" ht="14.25" customHeight="1">
      <c r="A475" s="227" t="s">
        <v>645</v>
      </c>
      <c r="B475" s="8" t="s">
        <v>643</v>
      </c>
      <c r="C475" s="8" t="s">
        <v>643</v>
      </c>
      <c r="D475" s="8" t="s">
        <v>643</v>
      </c>
      <c r="E475" s="8" t="s">
        <v>643</v>
      </c>
    </row>
    <row r="476" ht="14.25" customHeight="1">
      <c r="A476" s="227" t="s">
        <v>646</v>
      </c>
      <c r="B476" s="8" t="s">
        <v>643</v>
      </c>
      <c r="C476" s="8" t="s">
        <v>644</v>
      </c>
      <c r="D476" s="8" t="s">
        <v>643</v>
      </c>
      <c r="E476" s="8" t="s">
        <v>643</v>
      </c>
    </row>
    <row r="477" ht="14.25" customHeight="1">
      <c r="A477" s="227" t="s">
        <v>647</v>
      </c>
      <c r="B477" s="8" t="s">
        <v>643</v>
      </c>
      <c r="C477" s="8" t="s">
        <v>643</v>
      </c>
      <c r="D477" s="8" t="s">
        <v>643</v>
      </c>
      <c r="E477" s="8" t="s">
        <v>643</v>
      </c>
    </row>
    <row r="478" ht="14.25" customHeight="1">
      <c r="A478" s="227" t="s">
        <v>62</v>
      </c>
      <c r="B478" s="8" t="s">
        <v>643</v>
      </c>
      <c r="C478" s="8" t="s">
        <v>644</v>
      </c>
      <c r="D478" s="8" t="s">
        <v>643</v>
      </c>
      <c r="E478" s="8" t="s">
        <v>643</v>
      </c>
    </row>
    <row r="479" ht="14.25" customHeight="1">
      <c r="A479" s="227" t="s">
        <v>648</v>
      </c>
      <c r="B479" s="8" t="s">
        <v>644</v>
      </c>
      <c r="C479" s="8" t="s">
        <v>643</v>
      </c>
      <c r="D479" s="8" t="s">
        <v>643</v>
      </c>
      <c r="E479" s="8" t="s">
        <v>643</v>
      </c>
    </row>
    <row r="480" ht="14.25" customHeight="1">
      <c r="A480" s="227" t="s">
        <v>649</v>
      </c>
      <c r="B480" s="8" t="s">
        <v>643</v>
      </c>
      <c r="C480" s="8" t="s">
        <v>643</v>
      </c>
      <c r="D480" s="8" t="s">
        <v>643</v>
      </c>
      <c r="E480" s="8" t="s">
        <v>644</v>
      </c>
    </row>
    <row r="481" ht="14.25" customHeight="1">
      <c r="A481" s="227" t="s">
        <v>650</v>
      </c>
      <c r="B481" s="8" t="s">
        <v>643</v>
      </c>
      <c r="C481" s="8" t="s">
        <v>643</v>
      </c>
      <c r="D481" s="8" t="s">
        <v>644</v>
      </c>
      <c r="E481" s="8" t="s">
        <v>643</v>
      </c>
    </row>
    <row r="482" ht="14.25" customHeight="1">
      <c r="A482" s="227" t="s">
        <v>302</v>
      </c>
      <c r="B482" s="8" t="s">
        <v>643</v>
      </c>
      <c r="C482" s="8" t="s">
        <v>643</v>
      </c>
      <c r="D482" s="8" t="s">
        <v>643</v>
      </c>
      <c r="E482" s="8" t="s">
        <v>643</v>
      </c>
    </row>
    <row r="483" ht="14.25" customHeight="1"/>
    <row r="484" ht="14.25" customHeight="1"/>
    <row r="485" ht="14.25" customHeight="1">
      <c r="A485" s="234" t="s">
        <v>651</v>
      </c>
      <c r="B485" s="112"/>
      <c r="C485" s="112"/>
      <c r="D485" s="112"/>
      <c r="E485" s="112"/>
      <c r="F485" s="112"/>
      <c r="G485" s="113"/>
    </row>
    <row r="486" ht="14.25" customHeight="1">
      <c r="A486" s="120"/>
      <c r="B486" s="121"/>
      <c r="C486" s="121"/>
      <c r="D486" s="121"/>
      <c r="E486" s="121"/>
      <c r="F486" s="121"/>
      <c r="G486" s="75"/>
    </row>
    <row r="487" ht="14.25" customHeight="1"/>
    <row r="488" ht="14.25" customHeight="1">
      <c r="A488" s="180" t="s">
        <v>495</v>
      </c>
      <c r="B488" s="180" t="s">
        <v>652</v>
      </c>
      <c r="C488" s="180"/>
      <c r="D488" s="180" t="s">
        <v>653</v>
      </c>
      <c r="E488" s="180" t="s">
        <v>654</v>
      </c>
      <c r="F488" s="180" t="s">
        <v>655</v>
      </c>
    </row>
    <row r="489" ht="14.25" customHeight="1">
      <c r="A489" s="8" t="s">
        <v>0</v>
      </c>
      <c r="B489" s="235">
        <v>250.0</v>
      </c>
      <c r="D489" s="8" t="s">
        <v>387</v>
      </c>
      <c r="E489" s="8" t="s">
        <v>656</v>
      </c>
      <c r="F489" s="8">
        <v>90.0</v>
      </c>
    </row>
    <row r="490" ht="14.25" customHeight="1">
      <c r="A490" s="8" t="s">
        <v>3</v>
      </c>
      <c r="B490" s="235">
        <v>110.0</v>
      </c>
      <c r="D490" s="8" t="s">
        <v>657</v>
      </c>
      <c r="E490" s="8" t="s">
        <v>658</v>
      </c>
      <c r="F490" s="8">
        <v>77.0</v>
      </c>
    </row>
    <row r="491" ht="14.25" customHeight="1">
      <c r="A491" s="8" t="s">
        <v>4</v>
      </c>
      <c r="B491" s="235">
        <v>300.0</v>
      </c>
      <c r="D491" s="8" t="s">
        <v>659</v>
      </c>
      <c r="E491" s="8" t="s">
        <v>656</v>
      </c>
      <c r="F491" s="8">
        <v>80.0</v>
      </c>
    </row>
    <row r="492" ht="14.25" customHeight="1">
      <c r="A492" s="8" t="s">
        <v>1</v>
      </c>
      <c r="B492" s="235">
        <v>50.0</v>
      </c>
      <c r="D492" s="8" t="s">
        <v>660</v>
      </c>
      <c r="E492" s="8" t="s">
        <v>656</v>
      </c>
      <c r="F492" s="8">
        <v>65.0</v>
      </c>
    </row>
    <row r="493" ht="14.25" customHeight="1">
      <c r="A493" s="8" t="s">
        <v>2</v>
      </c>
      <c r="B493" s="235">
        <v>45.0</v>
      </c>
      <c r="D493" s="8" t="s">
        <v>661</v>
      </c>
      <c r="E493" s="8" t="s">
        <v>658</v>
      </c>
      <c r="F493" s="8">
        <v>45.0</v>
      </c>
    </row>
    <row r="494" ht="14.25" customHeight="1">
      <c r="A494" s="8" t="s">
        <v>3</v>
      </c>
      <c r="B494" s="235">
        <v>23.0</v>
      </c>
      <c r="D494" s="8" t="s">
        <v>662</v>
      </c>
      <c r="E494" s="8" t="s">
        <v>658</v>
      </c>
      <c r="F494" s="8">
        <v>55.0</v>
      </c>
    </row>
    <row r="495" ht="14.25" customHeight="1">
      <c r="A495" s="8" t="s">
        <v>5</v>
      </c>
      <c r="B495" s="235">
        <v>25.0</v>
      </c>
    </row>
    <row r="496" ht="14.25" customHeight="1">
      <c r="A496" s="8" t="s">
        <v>0</v>
      </c>
      <c r="B496" s="235">
        <v>90.0</v>
      </c>
      <c r="D496" s="153" t="s">
        <v>656</v>
      </c>
      <c r="E496" s="8"/>
    </row>
    <row r="497" ht="14.25" customHeight="1">
      <c r="A497" s="8" t="s">
        <v>3</v>
      </c>
      <c r="B497" s="235">
        <v>450.0</v>
      </c>
      <c r="D497" s="153" t="s">
        <v>658</v>
      </c>
      <c r="E497" s="8"/>
    </row>
    <row r="498" ht="14.25" customHeight="1">
      <c r="A498" s="8" t="s">
        <v>2</v>
      </c>
      <c r="B498" s="235">
        <v>23.0</v>
      </c>
    </row>
    <row r="499" ht="14.25" customHeight="1">
      <c r="A499" s="8" t="s">
        <v>0</v>
      </c>
      <c r="B499" s="235">
        <v>250.0</v>
      </c>
    </row>
    <row r="500" ht="14.25" customHeight="1">
      <c r="A500" s="8" t="s">
        <v>1</v>
      </c>
      <c r="B500" s="235">
        <v>25.0</v>
      </c>
    </row>
    <row r="501" ht="14.25" customHeight="1"/>
    <row r="502" ht="14.25" customHeight="1"/>
    <row r="503" ht="14.25" customHeight="1">
      <c r="A503" s="236" t="s">
        <v>663</v>
      </c>
    </row>
    <row r="504" ht="14.25" customHeight="1">
      <c r="A504" s="236" t="s">
        <v>664</v>
      </c>
    </row>
    <row r="505" ht="14.25" customHeight="1"/>
    <row r="506" ht="14.25" customHeight="1">
      <c r="A506" s="237" t="s">
        <v>665</v>
      </c>
      <c r="B506" s="237" t="s">
        <v>666</v>
      </c>
      <c r="C506" s="237" t="s">
        <v>517</v>
      </c>
      <c r="D506" s="237"/>
      <c r="E506" s="237" t="s">
        <v>495</v>
      </c>
      <c r="F506" s="237" t="s">
        <v>652</v>
      </c>
    </row>
    <row r="507" ht="14.25" customHeight="1">
      <c r="A507" s="8" t="s">
        <v>589</v>
      </c>
      <c r="E507" s="8" t="s">
        <v>0</v>
      </c>
      <c r="F507" s="8">
        <v>250.0</v>
      </c>
    </row>
    <row r="508" ht="14.25" customHeight="1">
      <c r="A508" s="8" t="s">
        <v>139</v>
      </c>
      <c r="E508" s="8" t="s">
        <v>3</v>
      </c>
      <c r="F508" s="8">
        <v>110.0</v>
      </c>
    </row>
    <row r="509" ht="14.25" customHeight="1">
      <c r="A509" s="8" t="s">
        <v>588</v>
      </c>
      <c r="E509" s="8" t="s">
        <v>4</v>
      </c>
      <c r="F509" s="8">
        <v>300.0</v>
      </c>
    </row>
    <row r="510" ht="14.25" customHeight="1">
      <c r="A510" s="8" t="s">
        <v>588</v>
      </c>
      <c r="E510" s="8" t="s">
        <v>1</v>
      </c>
      <c r="F510" s="8">
        <v>50.0</v>
      </c>
    </row>
    <row r="511" ht="14.25" customHeight="1">
      <c r="A511" s="8" t="s">
        <v>590</v>
      </c>
      <c r="E511" s="8" t="s">
        <v>2</v>
      </c>
      <c r="F511" s="8">
        <v>45.0</v>
      </c>
    </row>
    <row r="512" ht="14.25" customHeight="1">
      <c r="A512" s="8" t="s">
        <v>139</v>
      </c>
      <c r="E512" s="8" t="s">
        <v>3</v>
      </c>
      <c r="F512" s="8">
        <v>23.0</v>
      </c>
    </row>
    <row r="513" ht="14.25" customHeight="1">
      <c r="A513" s="8" t="s">
        <v>589</v>
      </c>
      <c r="E513" s="8" t="s">
        <v>5</v>
      </c>
      <c r="F513" s="8">
        <v>25.0</v>
      </c>
    </row>
    <row r="514" ht="14.25" customHeight="1">
      <c r="A514" s="8" t="s">
        <v>588</v>
      </c>
      <c r="E514" s="8" t="s">
        <v>0</v>
      </c>
      <c r="F514" s="8">
        <v>90.0</v>
      </c>
    </row>
    <row r="515" ht="14.25" customHeight="1">
      <c r="A515" s="8" t="s">
        <v>590</v>
      </c>
      <c r="E515" s="8" t="s">
        <v>3</v>
      </c>
      <c r="F515" s="8">
        <v>450.0</v>
      </c>
    </row>
    <row r="516" ht="14.25" customHeight="1">
      <c r="A516" s="8" t="s">
        <v>589</v>
      </c>
      <c r="E516" s="8" t="s">
        <v>2</v>
      </c>
      <c r="F516" s="8">
        <v>23.0</v>
      </c>
    </row>
    <row r="517" ht="14.25" customHeight="1">
      <c r="A517" s="8" t="s">
        <v>588</v>
      </c>
      <c r="E517" s="8" t="s">
        <v>0</v>
      </c>
      <c r="F517" s="8">
        <v>250.0</v>
      </c>
    </row>
    <row r="518" ht="14.25" customHeight="1">
      <c r="A518" s="8" t="s">
        <v>590</v>
      </c>
      <c r="E518" s="8" t="s">
        <v>1</v>
      </c>
      <c r="F518" s="8">
        <v>25.0</v>
      </c>
    </row>
    <row r="519" ht="14.25" customHeight="1">
      <c r="F519" s="8" t="s">
        <v>667</v>
      </c>
    </row>
    <row r="520" ht="14.25" customHeight="1"/>
    <row r="521" ht="14.25" customHeight="1">
      <c r="E521" s="238" t="s">
        <v>668</v>
      </c>
    </row>
    <row r="522" ht="14.25" customHeight="1">
      <c r="E522" s="238" t="s">
        <v>669</v>
      </c>
    </row>
    <row r="523" ht="14.25" customHeight="1"/>
    <row r="524" ht="14.25" customHeight="1"/>
    <row r="525" ht="14.25" customHeight="1">
      <c r="A525" s="239" t="s">
        <v>670</v>
      </c>
    </row>
    <row r="526" ht="14.25" customHeight="1"/>
    <row r="527" ht="14.25" customHeight="1"/>
    <row r="528" ht="14.25" customHeight="1">
      <c r="A528" s="240" t="s">
        <v>671</v>
      </c>
      <c r="B528" s="240" t="s">
        <v>672</v>
      </c>
      <c r="C528" s="241" t="s">
        <v>673</v>
      </c>
      <c r="E528" s="240" t="s">
        <v>671</v>
      </c>
      <c r="F528" s="240" t="s">
        <v>672</v>
      </c>
      <c r="G528" s="242" t="s">
        <v>318</v>
      </c>
    </row>
    <row r="529" ht="14.25" customHeight="1">
      <c r="A529" s="216" t="s">
        <v>674</v>
      </c>
      <c r="B529" s="216" t="s">
        <v>675</v>
      </c>
      <c r="E529" s="216">
        <v>343749.0</v>
      </c>
      <c r="F529" s="216">
        <v>160466.0</v>
      </c>
    </row>
    <row r="530" ht="14.25" customHeight="1">
      <c r="A530" s="216" t="s">
        <v>676</v>
      </c>
      <c r="B530" s="216" t="s">
        <v>676</v>
      </c>
      <c r="E530" s="216">
        <v>183257.0</v>
      </c>
      <c r="F530" s="216">
        <v>183258.0</v>
      </c>
    </row>
    <row r="531" ht="14.25" customHeight="1">
      <c r="A531" s="216" t="s">
        <v>677</v>
      </c>
      <c r="B531" s="216" t="s">
        <v>678</v>
      </c>
      <c r="E531" s="216">
        <v>160466.0</v>
      </c>
      <c r="F531" s="216">
        <v>249447.0</v>
      </c>
    </row>
    <row r="532" ht="14.25" customHeight="1">
      <c r="A532" s="216" t="s">
        <v>679</v>
      </c>
      <c r="B532" s="216" t="s">
        <v>680</v>
      </c>
      <c r="E532" s="216">
        <v>249447.0</v>
      </c>
      <c r="F532" s="216">
        <v>343749.0</v>
      </c>
    </row>
    <row r="533" ht="14.25" customHeight="1">
      <c r="A533" s="216" t="s">
        <v>681</v>
      </c>
      <c r="B533" s="216" t="s">
        <v>682</v>
      </c>
      <c r="E533" s="216">
        <v>532765.0</v>
      </c>
      <c r="F533" s="216">
        <v>356160.0</v>
      </c>
    </row>
    <row r="534" ht="14.25" customHeight="1">
      <c r="E534" s="216">
        <v>356163.0</v>
      </c>
      <c r="F534" s="216">
        <v>379391.0</v>
      </c>
    </row>
    <row r="535" ht="14.25" customHeight="1">
      <c r="E535" s="216">
        <v>455292.0</v>
      </c>
      <c r="F535" s="216">
        <v>455292.0</v>
      </c>
    </row>
    <row r="536" ht="14.25" customHeight="1">
      <c r="E536" s="216">
        <v>379391.0</v>
      </c>
      <c r="F536" s="216">
        <v>532765.0</v>
      </c>
    </row>
    <row r="537" ht="14.25" customHeight="1"/>
    <row r="538" ht="14.25" customHeight="1"/>
    <row r="539" ht="14.25" customHeight="1"/>
    <row r="540" ht="14.25" customHeight="1">
      <c r="A540" s="243" t="s">
        <v>683</v>
      </c>
      <c r="C540" s="243" t="s">
        <v>318</v>
      </c>
      <c r="E540" s="243" t="s">
        <v>684</v>
      </c>
    </row>
    <row r="541" ht="14.25" customHeight="1">
      <c r="A541" s="216" t="s">
        <v>685</v>
      </c>
      <c r="C541" s="216" t="s">
        <v>685</v>
      </c>
      <c r="E541" s="216" t="s">
        <v>685</v>
      </c>
    </row>
    <row r="542" ht="14.25" customHeight="1">
      <c r="A542" s="216" t="s">
        <v>686</v>
      </c>
      <c r="C542" s="216" t="s">
        <v>686</v>
      </c>
      <c r="E542" s="216" t="s">
        <v>686</v>
      </c>
    </row>
    <row r="543" ht="14.25" customHeight="1">
      <c r="A543" s="216" t="s">
        <v>687</v>
      </c>
      <c r="C543" s="216" t="s">
        <v>687</v>
      </c>
      <c r="E543" s="216" t="s">
        <v>688</v>
      </c>
    </row>
    <row r="544" ht="14.25" customHeight="1">
      <c r="A544" s="216" t="s">
        <v>689</v>
      </c>
      <c r="E544" s="216" t="s">
        <v>687</v>
      </c>
    </row>
    <row r="545" ht="14.25" customHeight="1">
      <c r="A545" s="216" t="s">
        <v>543</v>
      </c>
      <c r="E545" s="216" t="s">
        <v>543</v>
      </c>
    </row>
    <row r="546" ht="14.25" customHeight="1">
      <c r="A546" s="216" t="s">
        <v>690</v>
      </c>
      <c r="E546" s="216" t="s">
        <v>691</v>
      </c>
    </row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>
      <c r="A552" s="244" t="s">
        <v>692</v>
      </c>
    </row>
    <row r="553" ht="14.25" customHeight="1"/>
    <row r="554" ht="14.25" customHeight="1">
      <c r="A554" s="240" t="s">
        <v>594</v>
      </c>
      <c r="B554" s="240" t="s">
        <v>382</v>
      </c>
      <c r="C554" s="240" t="s">
        <v>381</v>
      </c>
      <c r="D554" s="240" t="s">
        <v>411</v>
      </c>
    </row>
    <row r="555" ht="14.25" customHeight="1">
      <c r="A555" s="216" t="s">
        <v>693</v>
      </c>
      <c r="B555" s="216" t="s">
        <v>694</v>
      </c>
      <c r="C555" s="216" t="s">
        <v>695</v>
      </c>
      <c r="D555" s="216" t="s">
        <v>696</v>
      </c>
    </row>
    <row r="556" ht="14.25" customHeight="1">
      <c r="A556" s="216" t="s">
        <v>697</v>
      </c>
      <c r="B556" s="216" t="s">
        <v>387</v>
      </c>
      <c r="C556" s="216" t="s">
        <v>698</v>
      </c>
      <c r="D556" s="216" t="s">
        <v>699</v>
      </c>
    </row>
    <row r="557" ht="14.25" customHeight="1">
      <c r="A557" s="216" t="s">
        <v>700</v>
      </c>
      <c r="B557" s="216" t="s">
        <v>701</v>
      </c>
      <c r="C557" s="216" t="s">
        <v>702</v>
      </c>
      <c r="D557" s="216" t="s">
        <v>703</v>
      </c>
    </row>
    <row r="558" ht="14.25" customHeight="1">
      <c r="A558" s="216" t="s">
        <v>704</v>
      </c>
      <c r="B558" s="216" t="s">
        <v>705</v>
      </c>
      <c r="C558" s="216" t="s">
        <v>706</v>
      </c>
      <c r="D558" s="216" t="s">
        <v>707</v>
      </c>
    </row>
    <row r="559" ht="14.25" customHeight="1">
      <c r="A559" s="216" t="s">
        <v>708</v>
      </c>
      <c r="B559" s="216" t="s">
        <v>636</v>
      </c>
      <c r="C559" s="216" t="s">
        <v>709</v>
      </c>
      <c r="D559" s="216" t="s">
        <v>710</v>
      </c>
    </row>
    <row r="560" ht="14.25" customHeight="1">
      <c r="A560" s="216" t="s">
        <v>711</v>
      </c>
      <c r="B560" s="216" t="s">
        <v>712</v>
      </c>
      <c r="C560" s="216" t="s">
        <v>713</v>
      </c>
      <c r="D560" s="216" t="s">
        <v>714</v>
      </c>
    </row>
    <row r="561" ht="14.25" customHeight="1"/>
    <row r="562" ht="14.25" customHeight="1">
      <c r="A562" s="240" t="s">
        <v>594</v>
      </c>
      <c r="B562" s="240" t="s">
        <v>382</v>
      </c>
      <c r="C562" s="240" t="s">
        <v>381</v>
      </c>
      <c r="D562" s="240" t="s">
        <v>411</v>
      </c>
    </row>
    <row r="563" ht="14.25" customHeight="1">
      <c r="A563" s="216" t="s">
        <v>693</v>
      </c>
      <c r="B563" s="216" t="s">
        <v>694</v>
      </c>
      <c r="C563" s="216" t="s">
        <v>695</v>
      </c>
      <c r="D563" s="216" t="s">
        <v>696</v>
      </c>
    </row>
    <row r="564" ht="14.25" customHeight="1">
      <c r="A564" s="216" t="s">
        <v>697</v>
      </c>
      <c r="B564" s="216" t="s">
        <v>387</v>
      </c>
      <c r="C564" s="216" t="s">
        <v>698</v>
      </c>
      <c r="D564" s="216" t="s">
        <v>699</v>
      </c>
    </row>
    <row r="565" ht="14.25" customHeight="1">
      <c r="A565" s="216" t="s">
        <v>700</v>
      </c>
      <c r="B565" s="216" t="s">
        <v>701</v>
      </c>
      <c r="C565" s="216" t="s">
        <v>702</v>
      </c>
      <c r="D565" s="216" t="s">
        <v>703</v>
      </c>
    </row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>
      <c r="A574" s="245" t="s">
        <v>715</v>
      </c>
    </row>
    <row r="575" ht="14.25" customHeight="1"/>
    <row r="576" ht="14.25" customHeight="1"/>
    <row r="577" ht="14.25" customHeight="1">
      <c r="A577" s="246" t="s">
        <v>716</v>
      </c>
    </row>
    <row r="578" ht="14.25" customHeight="1">
      <c r="A578" s="247" t="s">
        <v>334</v>
      </c>
      <c r="B578" s="247" t="s">
        <v>594</v>
      </c>
      <c r="C578" s="247" t="s">
        <v>282</v>
      </c>
      <c r="D578" s="247" t="s">
        <v>717</v>
      </c>
      <c r="E578" s="247" t="s">
        <v>718</v>
      </c>
    </row>
    <row r="579" ht="14.25" customHeight="1">
      <c r="A579" s="248">
        <v>43405.0</v>
      </c>
      <c r="B579" s="216">
        <v>1101.0</v>
      </c>
      <c r="C579" s="216" t="s">
        <v>719</v>
      </c>
      <c r="D579" s="216" t="s">
        <v>720</v>
      </c>
      <c r="E579" s="216" t="s">
        <v>153</v>
      </c>
    </row>
    <row r="580" ht="14.25" customHeight="1">
      <c r="A580" s="248">
        <v>43405.0</v>
      </c>
      <c r="B580" s="216">
        <v>1102.0</v>
      </c>
      <c r="C580" s="216" t="s">
        <v>229</v>
      </c>
      <c r="D580" s="216" t="s">
        <v>721</v>
      </c>
      <c r="E580" s="216" t="s">
        <v>722</v>
      </c>
    </row>
    <row r="581" ht="14.25" customHeight="1">
      <c r="A581" s="248">
        <v>43407.0</v>
      </c>
      <c r="B581" s="216">
        <v>1103.0</v>
      </c>
      <c r="C581" s="216" t="s">
        <v>723</v>
      </c>
      <c r="D581" s="216" t="s">
        <v>724</v>
      </c>
      <c r="E581" s="216" t="s">
        <v>725</v>
      </c>
    </row>
    <row r="582" ht="14.25" customHeight="1">
      <c r="A582" s="248">
        <v>43407.0</v>
      </c>
      <c r="B582" s="216">
        <v>1104.0</v>
      </c>
      <c r="C582" s="216" t="s">
        <v>726</v>
      </c>
      <c r="D582" s="216" t="s">
        <v>727</v>
      </c>
      <c r="E582" s="216" t="s">
        <v>728</v>
      </c>
    </row>
    <row r="583" ht="14.25" customHeight="1">
      <c r="A583" s="248">
        <v>43407.0</v>
      </c>
      <c r="B583" s="216">
        <v>1105.0</v>
      </c>
      <c r="C583" s="216" t="s">
        <v>729</v>
      </c>
      <c r="D583" s="216" t="s">
        <v>730</v>
      </c>
      <c r="E583" s="216" t="s">
        <v>731</v>
      </c>
    </row>
    <row r="584" ht="14.25" customHeight="1">
      <c r="A584" s="248">
        <v>43410.0</v>
      </c>
      <c r="B584" s="216">
        <v>1105.0</v>
      </c>
      <c r="C584" s="216" t="s">
        <v>732</v>
      </c>
      <c r="D584" s="216" t="s">
        <v>730</v>
      </c>
      <c r="E584" s="216" t="s">
        <v>733</v>
      </c>
    </row>
    <row r="585" ht="14.25" customHeight="1">
      <c r="A585" s="248">
        <v>43410.0</v>
      </c>
      <c r="B585" s="216">
        <v>1106.0</v>
      </c>
      <c r="C585" s="216" t="s">
        <v>734</v>
      </c>
      <c r="D585" s="216" t="s">
        <v>735</v>
      </c>
      <c r="E585" s="216" t="s">
        <v>736</v>
      </c>
    </row>
    <row r="586" ht="14.25" customHeight="1">
      <c r="A586" s="248">
        <v>43412.0</v>
      </c>
      <c r="B586" s="216">
        <v>1107.0</v>
      </c>
      <c r="C586" s="216" t="s">
        <v>737</v>
      </c>
      <c r="D586" s="216" t="s">
        <v>738</v>
      </c>
      <c r="E586" s="216" t="s">
        <v>739</v>
      </c>
    </row>
    <row r="587" ht="14.25" customHeight="1">
      <c r="A587" s="248">
        <v>43412.0</v>
      </c>
      <c r="B587" s="216">
        <v>1108.0</v>
      </c>
      <c r="C587" s="216" t="s">
        <v>740</v>
      </c>
      <c r="D587" s="216" t="s">
        <v>741</v>
      </c>
      <c r="E587" s="216" t="s">
        <v>153</v>
      </c>
    </row>
    <row r="588" ht="14.25" customHeight="1">
      <c r="A588" s="248">
        <v>43412.0</v>
      </c>
      <c r="B588" s="216">
        <v>1109.0</v>
      </c>
      <c r="C588" s="216" t="s">
        <v>742</v>
      </c>
      <c r="D588" s="216" t="s">
        <v>741</v>
      </c>
      <c r="E588" s="216" t="s">
        <v>743</v>
      </c>
    </row>
    <row r="589" ht="14.25" customHeight="1">
      <c r="A589" s="248">
        <v>43413.0</v>
      </c>
      <c r="B589" s="216">
        <v>1110.0</v>
      </c>
      <c r="C589" s="216" t="s">
        <v>744</v>
      </c>
      <c r="D589" s="216" t="s">
        <v>741</v>
      </c>
      <c r="E589" s="216" t="s">
        <v>743</v>
      </c>
    </row>
    <row r="590" ht="14.25" customHeight="1">
      <c r="A590" s="248">
        <v>43413.0</v>
      </c>
      <c r="B590" s="216">
        <v>1109.0</v>
      </c>
      <c r="C590" s="216" t="s">
        <v>740</v>
      </c>
      <c r="D590" s="216" t="s">
        <v>741</v>
      </c>
      <c r="E590" s="216" t="s">
        <v>743</v>
      </c>
    </row>
    <row r="591" ht="14.25" customHeight="1">
      <c r="A591" s="248">
        <v>43414.0</v>
      </c>
      <c r="B591" s="216">
        <v>1112.0</v>
      </c>
      <c r="C591" s="216" t="s">
        <v>745</v>
      </c>
      <c r="D591" s="216" t="s">
        <v>741</v>
      </c>
      <c r="E591" s="216" t="s">
        <v>746</v>
      </c>
    </row>
    <row r="592" ht="14.25" customHeight="1">
      <c r="A592" s="248">
        <v>43414.0</v>
      </c>
      <c r="B592" s="216">
        <v>1113.0</v>
      </c>
      <c r="C592" s="216" t="s">
        <v>747</v>
      </c>
      <c r="D592" s="216" t="s">
        <v>741</v>
      </c>
      <c r="E592" s="216" t="s">
        <v>748</v>
      </c>
    </row>
    <row r="593" ht="14.25" customHeight="1">
      <c r="A593" s="248">
        <v>43414.0</v>
      </c>
      <c r="B593" s="216">
        <v>1114.0</v>
      </c>
      <c r="C593" s="216" t="s">
        <v>749</v>
      </c>
      <c r="D593" s="216" t="s">
        <v>741</v>
      </c>
      <c r="E593" s="216" t="s">
        <v>748</v>
      </c>
    </row>
    <row r="594" ht="14.25" customHeight="1">
      <c r="A594" s="248">
        <v>43414.0</v>
      </c>
      <c r="B594" s="216">
        <v>1115.0</v>
      </c>
      <c r="C594" s="216" t="s">
        <v>750</v>
      </c>
      <c r="D594" s="216" t="s">
        <v>741</v>
      </c>
      <c r="E594" s="216" t="s">
        <v>751</v>
      </c>
    </row>
    <row r="595" ht="14.25" customHeight="1">
      <c r="A595" s="248">
        <v>43415.0</v>
      </c>
      <c r="B595" s="216">
        <v>1109.0</v>
      </c>
      <c r="C595" s="216" t="s">
        <v>740</v>
      </c>
      <c r="D595" s="216" t="s">
        <v>741</v>
      </c>
      <c r="E595" s="216" t="s">
        <v>743</v>
      </c>
    </row>
    <row r="596" ht="14.25" customHeight="1">
      <c r="A596" s="248">
        <v>43415.0</v>
      </c>
      <c r="B596" s="216">
        <v>1116.0</v>
      </c>
      <c r="C596" s="216" t="s">
        <v>752</v>
      </c>
      <c r="D596" s="216" t="s">
        <v>741</v>
      </c>
      <c r="E596" s="216" t="s">
        <v>751</v>
      </c>
    </row>
    <row r="597" ht="14.25" customHeight="1">
      <c r="A597" s="248">
        <v>43415.0</v>
      </c>
      <c r="B597" s="216">
        <v>1116.0</v>
      </c>
      <c r="C597" s="216" t="s">
        <v>752</v>
      </c>
      <c r="D597" s="216" t="s">
        <v>741</v>
      </c>
      <c r="E597" s="216" t="s">
        <v>751</v>
      </c>
    </row>
    <row r="598" ht="14.25" customHeight="1">
      <c r="A598" s="248">
        <v>43415.0</v>
      </c>
      <c r="B598" s="216">
        <v>1116.0</v>
      </c>
      <c r="C598" s="216" t="s">
        <v>752</v>
      </c>
      <c r="D598" s="216" t="s">
        <v>741</v>
      </c>
      <c r="E598" s="216" t="s">
        <v>751</v>
      </c>
    </row>
    <row r="599" ht="14.25" customHeight="1">
      <c r="A599" s="248">
        <v>43405.0</v>
      </c>
      <c r="B599" s="216">
        <v>1010.0</v>
      </c>
      <c r="C599" s="216" t="s">
        <v>753</v>
      </c>
      <c r="D599" s="216" t="s">
        <v>754</v>
      </c>
      <c r="E599" s="216" t="s">
        <v>755</v>
      </c>
    </row>
    <row r="600" ht="14.25" customHeight="1">
      <c r="A600" s="248"/>
    </row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>
      <c r="A611" s="249" t="s">
        <v>756</v>
      </c>
    </row>
    <row r="612" ht="14.25" customHeight="1"/>
    <row r="613" ht="14.25" customHeight="1"/>
    <row r="614" ht="14.25" customHeight="1">
      <c r="A614" s="250" t="s">
        <v>594</v>
      </c>
      <c r="B614" s="250" t="s">
        <v>382</v>
      </c>
      <c r="C614" s="250" t="s">
        <v>381</v>
      </c>
      <c r="D614" s="250" t="s">
        <v>283</v>
      </c>
      <c r="E614" s="250" t="s">
        <v>757</v>
      </c>
    </row>
    <row r="615" ht="14.25" customHeight="1">
      <c r="A615" s="216">
        <v>101.0</v>
      </c>
      <c r="B615" s="216" t="s">
        <v>758</v>
      </c>
      <c r="C615" s="216" t="s">
        <v>759</v>
      </c>
      <c r="D615" s="216" t="s">
        <v>442</v>
      </c>
      <c r="E615" s="216" t="s">
        <v>760</v>
      </c>
    </row>
    <row r="616" ht="14.25" customHeight="1">
      <c r="A616" s="216">
        <v>102.0</v>
      </c>
      <c r="B616" s="216" t="s">
        <v>761</v>
      </c>
      <c r="C616" s="216" t="s">
        <v>762</v>
      </c>
      <c r="D616" s="216" t="s">
        <v>422</v>
      </c>
      <c r="E616" s="216" t="s">
        <v>763</v>
      </c>
    </row>
    <row r="617" ht="14.25" customHeight="1">
      <c r="A617" s="216">
        <v>103.0</v>
      </c>
      <c r="B617" s="216" t="s">
        <v>376</v>
      </c>
      <c r="C617" s="216" t="s">
        <v>611</v>
      </c>
      <c r="D617" s="216" t="s">
        <v>442</v>
      </c>
      <c r="E617" s="216" t="s">
        <v>763</v>
      </c>
    </row>
    <row r="618" ht="14.25" customHeight="1">
      <c r="A618" s="216">
        <v>104.0</v>
      </c>
      <c r="B618" s="216" t="s">
        <v>367</v>
      </c>
      <c r="C618" s="216" t="s">
        <v>631</v>
      </c>
      <c r="D618" s="216" t="s">
        <v>422</v>
      </c>
      <c r="E618" s="216" t="s">
        <v>764</v>
      </c>
    </row>
    <row r="619" ht="14.25" customHeight="1">
      <c r="A619" s="216">
        <v>105.0</v>
      </c>
      <c r="B619" s="216" t="s">
        <v>376</v>
      </c>
      <c r="C619" s="216" t="s">
        <v>390</v>
      </c>
      <c r="D619" s="216" t="s">
        <v>422</v>
      </c>
      <c r="E619" s="216" t="s">
        <v>760</v>
      </c>
    </row>
    <row r="620" ht="14.25" customHeight="1">
      <c r="A620" s="216">
        <v>106.0</v>
      </c>
      <c r="B620" s="216" t="s">
        <v>765</v>
      </c>
      <c r="C620" s="216" t="s">
        <v>766</v>
      </c>
      <c r="D620" s="216" t="s">
        <v>609</v>
      </c>
      <c r="E620" s="216" t="s">
        <v>764</v>
      </c>
    </row>
    <row r="621" ht="14.25" customHeight="1">
      <c r="A621" s="216">
        <v>107.0</v>
      </c>
      <c r="B621" s="216" t="s">
        <v>767</v>
      </c>
      <c r="C621" s="216" t="s">
        <v>768</v>
      </c>
      <c r="D621" s="216" t="s">
        <v>442</v>
      </c>
      <c r="E621" s="216" t="s">
        <v>763</v>
      </c>
    </row>
    <row r="622" ht="14.25" customHeight="1">
      <c r="A622" s="216">
        <v>108.0</v>
      </c>
      <c r="B622" s="216" t="s">
        <v>769</v>
      </c>
      <c r="C622" s="216" t="s">
        <v>770</v>
      </c>
      <c r="D622" s="216" t="s">
        <v>422</v>
      </c>
      <c r="E622" s="216" t="s">
        <v>760</v>
      </c>
    </row>
    <row r="623" ht="14.25" customHeight="1">
      <c r="A623" s="216">
        <v>109.0</v>
      </c>
      <c r="B623" s="216" t="s">
        <v>771</v>
      </c>
      <c r="C623" s="216" t="s">
        <v>772</v>
      </c>
      <c r="D623" s="216" t="s">
        <v>609</v>
      </c>
      <c r="E623" s="216" t="s">
        <v>763</v>
      </c>
    </row>
    <row r="624" ht="14.25" customHeight="1">
      <c r="A624" s="216">
        <v>110.0</v>
      </c>
      <c r="B624" s="216" t="s">
        <v>773</v>
      </c>
      <c r="C624" s="216" t="s">
        <v>774</v>
      </c>
      <c r="D624" s="216" t="s">
        <v>609</v>
      </c>
      <c r="E624" s="216" t="s">
        <v>764</v>
      </c>
    </row>
    <row r="625" ht="14.25" customHeight="1"/>
    <row r="626" ht="14.25" customHeight="1"/>
    <row r="627" ht="14.25" customHeight="1"/>
    <row r="628" ht="14.25" customHeight="1">
      <c r="A628" s="250" t="s">
        <v>594</v>
      </c>
      <c r="B628" s="250" t="s">
        <v>382</v>
      </c>
      <c r="C628" s="250" t="s">
        <v>381</v>
      </c>
      <c r="D628" s="250" t="s">
        <v>283</v>
      </c>
      <c r="E628" s="250" t="s">
        <v>757</v>
      </c>
    </row>
    <row r="629" ht="14.25" customHeight="1">
      <c r="A629" s="216">
        <v>101.0</v>
      </c>
      <c r="B629" s="216" t="s">
        <v>758</v>
      </c>
      <c r="C629" s="216" t="s">
        <v>759</v>
      </c>
      <c r="D629" s="216" t="s">
        <v>442</v>
      </c>
      <c r="E629" s="216" t="s">
        <v>760</v>
      </c>
    </row>
    <row r="630" ht="14.25" customHeight="1">
      <c r="A630" s="216">
        <v>102.0</v>
      </c>
    </row>
    <row r="631" ht="14.25" customHeight="1">
      <c r="A631" s="216">
        <v>103.0</v>
      </c>
    </row>
    <row r="632" ht="14.25" customHeight="1">
      <c r="A632" s="216">
        <v>104.0</v>
      </c>
    </row>
    <row r="633" ht="14.25" customHeight="1">
      <c r="A633" s="216">
        <v>105.0</v>
      </c>
    </row>
    <row r="634" ht="14.25" customHeight="1">
      <c r="A634" s="216">
        <v>106.0</v>
      </c>
    </row>
    <row r="635" ht="14.25" customHeight="1">
      <c r="A635" s="216">
        <v>107.0</v>
      </c>
    </row>
    <row r="636" ht="14.25" customHeight="1">
      <c r="A636" s="216">
        <v>108.0</v>
      </c>
    </row>
    <row r="637" ht="14.25" customHeight="1">
      <c r="A637" s="216">
        <v>109.0</v>
      </c>
    </row>
    <row r="638" ht="14.25" customHeight="1">
      <c r="A638" s="216">
        <v>110.0</v>
      </c>
    </row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>
      <c r="A645" s="251" t="s">
        <v>775</v>
      </c>
    </row>
    <row r="646" ht="14.25" customHeight="1"/>
    <row r="647" ht="14.25" customHeight="1"/>
    <row r="648" ht="14.25" customHeight="1">
      <c r="A648" s="252" t="s">
        <v>776</v>
      </c>
      <c r="B648" s="252" t="s">
        <v>350</v>
      </c>
      <c r="C648" s="252" t="s">
        <v>777</v>
      </c>
    </row>
    <row r="649" ht="14.25" customHeight="1">
      <c r="A649" s="248">
        <v>43119.0</v>
      </c>
      <c r="B649" s="216" t="s">
        <v>778</v>
      </c>
      <c r="C649" s="253">
        <v>201440.0</v>
      </c>
    </row>
    <row r="650" ht="14.25" customHeight="1">
      <c r="A650" s="248">
        <v>43116.0</v>
      </c>
      <c r="B650" s="216" t="s">
        <v>778</v>
      </c>
      <c r="C650" s="253">
        <v>352519.0</v>
      </c>
    </row>
    <row r="651" ht="14.25" customHeight="1">
      <c r="A651" s="248">
        <v>43122.0</v>
      </c>
      <c r="B651" s="216" t="s">
        <v>778</v>
      </c>
      <c r="C651" s="253">
        <v>172406.0</v>
      </c>
      <c r="E651" s="254" t="s">
        <v>776</v>
      </c>
      <c r="F651" s="254" t="s">
        <v>779</v>
      </c>
    </row>
    <row r="652" ht="14.25" customHeight="1">
      <c r="A652" s="248">
        <v>43112.0</v>
      </c>
      <c r="B652" s="216" t="s">
        <v>778</v>
      </c>
      <c r="C652" s="253">
        <v>240000.0</v>
      </c>
      <c r="E652" s="248">
        <v>43112.0</v>
      </c>
      <c r="F652" s="255">
        <v>240000.0</v>
      </c>
    </row>
    <row r="653" ht="14.25" customHeight="1">
      <c r="A653" s="248">
        <v>43136.0</v>
      </c>
      <c r="B653" s="216" t="s">
        <v>780</v>
      </c>
      <c r="C653" s="253">
        <v>15205.0</v>
      </c>
      <c r="E653" s="248">
        <v>43116.0</v>
      </c>
      <c r="F653" s="255">
        <v>352519.0</v>
      </c>
    </row>
    <row r="654" ht="14.25" customHeight="1">
      <c r="A654" s="248">
        <v>43133.0</v>
      </c>
      <c r="B654" s="216" t="s">
        <v>780</v>
      </c>
      <c r="C654" s="253">
        <v>24327.0</v>
      </c>
      <c r="E654" s="248">
        <v>43119.0</v>
      </c>
      <c r="F654" s="255">
        <v>201440.0</v>
      </c>
    </row>
    <row r="655" ht="14.25" customHeight="1">
      <c r="A655" s="248">
        <v>43144.0</v>
      </c>
      <c r="B655" s="216" t="s">
        <v>780</v>
      </c>
      <c r="C655" s="253">
        <v>50549.0</v>
      </c>
      <c r="E655" s="248">
        <v>43122.0</v>
      </c>
      <c r="F655" s="255">
        <v>172406.0</v>
      </c>
    </row>
    <row r="656" ht="14.25" customHeight="1">
      <c r="A656" s="248">
        <v>43146.0</v>
      </c>
      <c r="B656" s="216" t="s">
        <v>780</v>
      </c>
      <c r="C656" s="253">
        <v>15106.0</v>
      </c>
      <c r="E656" s="248">
        <v>43133.0</v>
      </c>
      <c r="F656" s="255">
        <v>24327.0</v>
      </c>
    </row>
    <row r="657" ht="14.25" customHeight="1">
      <c r="A657" s="248">
        <v>43146.0</v>
      </c>
      <c r="B657" s="216" t="s">
        <v>780</v>
      </c>
      <c r="C657" s="253">
        <v>19901.0</v>
      </c>
      <c r="E657" s="248">
        <v>43136.0</v>
      </c>
      <c r="F657" s="255">
        <v>15205.0</v>
      </c>
    </row>
    <row r="658" ht="14.25" customHeight="1">
      <c r="A658" s="248">
        <v>43140.0</v>
      </c>
      <c r="B658" s="216" t="s">
        <v>780</v>
      </c>
      <c r="C658" s="253">
        <v>15205.0</v>
      </c>
      <c r="E658" s="248">
        <v>43140.0</v>
      </c>
      <c r="F658" s="255">
        <v>15205.0</v>
      </c>
    </row>
    <row r="659" ht="14.25" customHeight="1">
      <c r="A659" s="248">
        <v>43153.0</v>
      </c>
      <c r="B659" s="216" t="s">
        <v>780</v>
      </c>
      <c r="C659" s="253">
        <v>300000.0</v>
      </c>
      <c r="E659" s="248">
        <v>43144.0</v>
      </c>
      <c r="F659" s="255">
        <v>50549.0</v>
      </c>
    </row>
    <row r="660" ht="14.25" customHeight="1">
      <c r="A660" s="248">
        <v>43157.0</v>
      </c>
      <c r="B660" s="216" t="s">
        <v>780</v>
      </c>
      <c r="C660" s="253">
        <v>150000.0</v>
      </c>
      <c r="E660" s="248">
        <v>43146.0</v>
      </c>
      <c r="F660" s="255">
        <v>35007.0</v>
      </c>
    </row>
    <row r="661" ht="14.25" customHeight="1">
      <c r="A661" s="248">
        <v>43157.0</v>
      </c>
      <c r="B661" s="216" t="s">
        <v>780</v>
      </c>
      <c r="C661" s="253">
        <v>330553.0</v>
      </c>
      <c r="E661" s="248">
        <v>43153.0</v>
      </c>
      <c r="F661" s="255">
        <v>300000.0</v>
      </c>
    </row>
    <row r="662" ht="14.25" customHeight="1">
      <c r="A662" s="248">
        <v>43158.0</v>
      </c>
      <c r="B662" s="216" t="s">
        <v>780</v>
      </c>
      <c r="C662" s="253">
        <v>163282.0</v>
      </c>
      <c r="E662" s="248">
        <v>43157.0</v>
      </c>
      <c r="F662" s="255">
        <v>643835.0</v>
      </c>
    </row>
    <row r="663" ht="14.25" customHeight="1">
      <c r="A663" s="248">
        <v>43159.0</v>
      </c>
      <c r="B663" s="216" t="s">
        <v>780</v>
      </c>
      <c r="C663" s="253">
        <v>564030.0</v>
      </c>
      <c r="E663" s="248">
        <v>43158.0</v>
      </c>
      <c r="F663" s="255">
        <v>564030.0</v>
      </c>
    </row>
    <row r="664" ht="14.25" customHeight="1">
      <c r="A664" s="248">
        <v>43159.0</v>
      </c>
      <c r="B664" s="216" t="s">
        <v>780</v>
      </c>
      <c r="C664" s="253">
        <v>15218.0</v>
      </c>
      <c r="E664" s="248">
        <v>43159.0</v>
      </c>
      <c r="F664" s="255">
        <v>720256.0</v>
      </c>
    </row>
    <row r="665" ht="14.25" customHeight="1">
      <c r="A665" s="248">
        <v>43159.0</v>
      </c>
      <c r="B665" s="216" t="s">
        <v>780</v>
      </c>
      <c r="C665" s="253">
        <v>201440.0</v>
      </c>
      <c r="E665" s="256" t="s">
        <v>781</v>
      </c>
      <c r="F665" s="257">
        <f>SUM(F652:F664)</f>
        <v>3334779</v>
      </c>
    </row>
    <row r="666" ht="14.25" customHeight="1"/>
    <row r="667" ht="14.25" customHeight="1"/>
    <row r="668" ht="14.25" customHeight="1"/>
    <row r="669" ht="14.25" customHeight="1">
      <c r="A669" s="258" t="s">
        <v>782</v>
      </c>
    </row>
    <row r="670" ht="14.25" customHeight="1"/>
    <row r="671" ht="14.25" customHeight="1"/>
    <row r="672" ht="14.25" customHeight="1">
      <c r="A672" s="259" t="s">
        <v>783</v>
      </c>
      <c r="B672" s="216" t="s">
        <v>784</v>
      </c>
      <c r="C672" s="216" t="s">
        <v>780</v>
      </c>
      <c r="D672" s="216" t="s">
        <v>785</v>
      </c>
      <c r="E672" s="216" t="s">
        <v>786</v>
      </c>
      <c r="F672" s="216" t="s">
        <v>500</v>
      </c>
      <c r="G672" s="216" t="s">
        <v>787</v>
      </c>
    </row>
    <row r="673" ht="14.25" customHeight="1">
      <c r="A673" s="259" t="s">
        <v>788</v>
      </c>
      <c r="B673" s="216">
        <v>240.0</v>
      </c>
      <c r="C673" s="216">
        <v>180.0</v>
      </c>
      <c r="D673" s="216">
        <v>310.0</v>
      </c>
      <c r="E673" s="216">
        <v>445.0</v>
      </c>
      <c r="F673" s="216">
        <v>650.0</v>
      </c>
      <c r="G673" s="216">
        <v>700.0</v>
      </c>
    </row>
    <row r="674" ht="14.25" customHeight="1"/>
    <row r="675" ht="14.25" customHeight="1">
      <c r="A675" s="259" t="s">
        <v>783</v>
      </c>
      <c r="B675" s="216" t="s">
        <v>786</v>
      </c>
    </row>
    <row r="676" ht="14.25" customHeight="1">
      <c r="A676" s="259" t="s">
        <v>788</v>
      </c>
      <c r="B676" s="216" t="s">
        <v>789</v>
      </c>
    </row>
    <row r="677" ht="14.25" customHeight="1"/>
    <row r="678" ht="14.25" customHeight="1"/>
    <row r="679" ht="14.25" customHeight="1">
      <c r="A679" s="260" t="s">
        <v>282</v>
      </c>
      <c r="B679" s="256" t="s">
        <v>712</v>
      </c>
      <c r="C679" s="256" t="s">
        <v>790</v>
      </c>
      <c r="D679" s="256" t="s">
        <v>791</v>
      </c>
      <c r="E679" s="256" t="s">
        <v>792</v>
      </c>
      <c r="F679" s="256" t="s">
        <v>793</v>
      </c>
      <c r="G679" s="256" t="s">
        <v>794</v>
      </c>
    </row>
    <row r="680" ht="14.25" customHeight="1">
      <c r="A680" s="260" t="s">
        <v>795</v>
      </c>
      <c r="B680" s="256">
        <v>36.0</v>
      </c>
      <c r="C680" s="256">
        <v>45.0</v>
      </c>
      <c r="D680" s="256">
        <v>52.0</v>
      </c>
      <c r="E680" s="256">
        <v>66.0</v>
      </c>
      <c r="F680" s="256">
        <v>75.0</v>
      </c>
      <c r="G680" s="256">
        <v>40.0</v>
      </c>
    </row>
    <row r="681" ht="14.25" customHeight="1">
      <c r="A681" s="260" t="s">
        <v>271</v>
      </c>
      <c r="B681" s="256">
        <v>82.0</v>
      </c>
      <c r="C681" s="256">
        <v>71.0</v>
      </c>
      <c r="D681" s="256">
        <v>56.0</v>
      </c>
      <c r="E681" s="256">
        <v>32.0</v>
      </c>
      <c r="F681" s="256">
        <v>81.0</v>
      </c>
      <c r="G681" s="256">
        <v>66.0</v>
      </c>
    </row>
    <row r="682" ht="14.25" customHeight="1">
      <c r="A682" s="260" t="s">
        <v>360</v>
      </c>
      <c r="B682" s="256">
        <v>32.0</v>
      </c>
      <c r="C682" s="256">
        <v>45.0</v>
      </c>
      <c r="D682" s="256">
        <v>52.0</v>
      </c>
      <c r="E682" s="256">
        <v>51.0</v>
      </c>
      <c r="F682" s="256">
        <v>71.0</v>
      </c>
      <c r="G682" s="256">
        <v>74.0</v>
      </c>
    </row>
    <row r="683" ht="14.25" customHeight="1"/>
    <row r="684" ht="14.25" customHeight="1">
      <c r="A684" s="261" t="s">
        <v>796</v>
      </c>
      <c r="B684" s="216" t="s">
        <v>789</v>
      </c>
    </row>
    <row r="685" ht="14.25" customHeight="1"/>
    <row r="686" ht="14.25" customHeight="1"/>
    <row r="687" ht="14.25" customHeight="1">
      <c r="A687" s="260" t="s">
        <v>282</v>
      </c>
      <c r="B687" s="256" t="s">
        <v>712</v>
      </c>
      <c r="C687" s="256" t="s">
        <v>790</v>
      </c>
      <c r="D687" s="256" t="s">
        <v>791</v>
      </c>
      <c r="E687" s="256" t="s">
        <v>792</v>
      </c>
      <c r="F687" s="256" t="s">
        <v>793</v>
      </c>
      <c r="G687" s="256" t="s">
        <v>794</v>
      </c>
    </row>
    <row r="688" ht="14.25" customHeight="1">
      <c r="A688" s="260" t="s">
        <v>795</v>
      </c>
      <c r="B688" s="256">
        <v>36.0</v>
      </c>
      <c r="C688" s="256">
        <v>45.0</v>
      </c>
      <c r="D688" s="256">
        <v>52.0</v>
      </c>
      <c r="E688" s="256">
        <v>66.0</v>
      </c>
      <c r="F688" s="256">
        <v>75.0</v>
      </c>
      <c r="G688" s="256">
        <v>40.0</v>
      </c>
    </row>
    <row r="689" ht="14.25" customHeight="1">
      <c r="A689" s="260" t="s">
        <v>271</v>
      </c>
      <c r="B689" s="256">
        <v>82.0</v>
      </c>
      <c r="C689" s="256">
        <v>71.0</v>
      </c>
      <c r="D689" s="256">
        <v>56.0</v>
      </c>
      <c r="E689" s="256">
        <v>32.0</v>
      </c>
      <c r="F689" s="256">
        <v>81.0</v>
      </c>
      <c r="G689" s="256">
        <v>66.0</v>
      </c>
    </row>
    <row r="690" ht="14.25" customHeight="1">
      <c r="A690" s="260" t="s">
        <v>360</v>
      </c>
      <c r="B690" s="256">
        <v>32.0</v>
      </c>
      <c r="C690" s="256">
        <v>45.0</v>
      </c>
      <c r="D690" s="256">
        <v>52.0</v>
      </c>
      <c r="E690" s="256">
        <v>51.0</v>
      </c>
      <c r="F690" s="256">
        <v>71.0</v>
      </c>
      <c r="G690" s="256">
        <v>74.0</v>
      </c>
    </row>
    <row r="691" ht="14.25" customHeight="1"/>
    <row r="692" ht="14.25" customHeight="1"/>
    <row r="693" ht="14.25" customHeight="1">
      <c r="A693" s="241" t="s">
        <v>797</v>
      </c>
      <c r="B693" s="216" t="s">
        <v>789</v>
      </c>
    </row>
    <row r="694" ht="14.25" customHeight="1"/>
    <row r="695" ht="14.25" customHeight="1"/>
    <row r="696" ht="14.25" customHeight="1">
      <c r="A696" s="260" t="s">
        <v>798</v>
      </c>
      <c r="B696" s="256" t="s">
        <v>799</v>
      </c>
      <c r="C696" s="256" t="s">
        <v>800</v>
      </c>
      <c r="D696" s="256" t="s">
        <v>801</v>
      </c>
      <c r="E696" s="256" t="s">
        <v>802</v>
      </c>
      <c r="F696" s="256" t="s">
        <v>803</v>
      </c>
      <c r="G696" s="256"/>
    </row>
    <row r="697" ht="14.25" customHeight="1">
      <c r="A697" s="260" t="s">
        <v>804</v>
      </c>
      <c r="B697" s="216">
        <v>66.0</v>
      </c>
      <c r="C697" s="216">
        <v>43.0</v>
      </c>
      <c r="D697" s="216">
        <v>36.0</v>
      </c>
      <c r="E697" s="216">
        <v>82.0</v>
      </c>
      <c r="F697" s="216">
        <v>89.0</v>
      </c>
      <c r="G697" s="256"/>
    </row>
    <row r="698" ht="14.25" customHeight="1">
      <c r="A698" s="260" t="s">
        <v>805</v>
      </c>
      <c r="B698" s="216">
        <v>51.0</v>
      </c>
      <c r="C698" s="216">
        <v>83.0</v>
      </c>
      <c r="D698" s="216">
        <v>41.0</v>
      </c>
      <c r="E698" s="216">
        <v>125.0</v>
      </c>
      <c r="F698" s="216">
        <v>79.0</v>
      </c>
      <c r="G698" s="256"/>
    </row>
    <row r="699" ht="14.25" customHeight="1">
      <c r="A699" s="260" t="s">
        <v>806</v>
      </c>
      <c r="B699" s="216">
        <v>35.0</v>
      </c>
      <c r="C699" s="216">
        <v>97.0</v>
      </c>
      <c r="D699" s="216">
        <v>92.0</v>
      </c>
      <c r="E699" s="216">
        <v>41.0</v>
      </c>
      <c r="F699" s="216">
        <v>39.0</v>
      </c>
      <c r="G699" s="256"/>
    </row>
    <row r="700" ht="14.25" customHeight="1">
      <c r="A700" s="260" t="s">
        <v>807</v>
      </c>
      <c r="B700" s="216">
        <v>84.0</v>
      </c>
      <c r="C700" s="216">
        <v>76.0</v>
      </c>
      <c r="D700" s="216">
        <v>35.0</v>
      </c>
      <c r="E700" s="216">
        <v>48.0</v>
      </c>
      <c r="F700" s="216">
        <v>37.0</v>
      </c>
    </row>
    <row r="701" ht="14.25" customHeight="1">
      <c r="A701" s="260" t="s">
        <v>808</v>
      </c>
      <c r="B701" s="216">
        <v>110.0</v>
      </c>
      <c r="C701" s="216">
        <v>77.0</v>
      </c>
      <c r="D701" s="216">
        <v>90.0</v>
      </c>
      <c r="E701" s="216">
        <v>37.0</v>
      </c>
      <c r="F701" s="216">
        <v>34.0</v>
      </c>
    </row>
    <row r="702" ht="14.25" customHeight="1"/>
    <row r="703" ht="14.25" customHeight="1">
      <c r="A703" s="262" t="s">
        <v>798</v>
      </c>
      <c r="B703" s="216" t="s">
        <v>802</v>
      </c>
    </row>
    <row r="704" ht="14.25" customHeight="1">
      <c r="A704" s="263" t="s">
        <v>809</v>
      </c>
      <c r="B704" s="216" t="s">
        <v>789</v>
      </c>
    </row>
    <row r="705" ht="14.25" customHeight="1"/>
    <row r="706" ht="14.25" customHeight="1">
      <c r="A706" s="262" t="s">
        <v>810</v>
      </c>
      <c r="B706" s="216">
        <v>21.0</v>
      </c>
      <c r="C706" s="216">
        <v>33.0</v>
      </c>
      <c r="D706" s="216">
        <v>39.0</v>
      </c>
      <c r="E706" s="216">
        <v>42.0</v>
      </c>
      <c r="F706" s="216">
        <v>50.0</v>
      </c>
    </row>
    <row r="707" ht="14.25" customHeight="1">
      <c r="A707" s="262" t="s">
        <v>811</v>
      </c>
      <c r="B707" s="216" t="s">
        <v>812</v>
      </c>
      <c r="C707" s="216" t="s">
        <v>813</v>
      </c>
      <c r="D707" s="216" t="s">
        <v>814</v>
      </c>
      <c r="E707" s="216" t="s">
        <v>764</v>
      </c>
      <c r="F707" s="216" t="s">
        <v>815</v>
      </c>
    </row>
    <row r="708" ht="14.25" customHeight="1"/>
    <row r="709" ht="14.25" customHeight="1">
      <c r="A709" s="262" t="s">
        <v>810</v>
      </c>
      <c r="B709" s="216">
        <v>40.0</v>
      </c>
    </row>
    <row r="710" ht="14.25" customHeight="1">
      <c r="A710" s="263" t="s">
        <v>811</v>
      </c>
      <c r="B710" s="216" t="s">
        <v>789</v>
      </c>
    </row>
    <row r="711" ht="14.25" customHeight="1"/>
    <row r="712" ht="14.25" customHeight="1">
      <c r="A712" s="262" t="s">
        <v>816</v>
      </c>
      <c r="B712" s="216" t="s">
        <v>817</v>
      </c>
      <c r="C712" s="216" t="s">
        <v>818</v>
      </c>
      <c r="D712" s="216" t="s">
        <v>819</v>
      </c>
      <c r="E712" s="216" t="s">
        <v>820</v>
      </c>
      <c r="F712" s="216" t="s">
        <v>365</v>
      </c>
      <c r="G712" s="216" t="s">
        <v>821</v>
      </c>
    </row>
    <row r="713" ht="14.25" customHeight="1">
      <c r="A713" s="262" t="s">
        <v>517</v>
      </c>
      <c r="B713" s="216">
        <v>200.0</v>
      </c>
      <c r="C713" s="216">
        <v>125.0</v>
      </c>
      <c r="D713" s="216">
        <v>320.0</v>
      </c>
      <c r="E713" s="216">
        <v>250.0</v>
      </c>
      <c r="F713" s="216">
        <v>300.0</v>
      </c>
      <c r="G713" s="216">
        <v>421.0</v>
      </c>
    </row>
    <row r="714" ht="14.25" customHeight="1"/>
    <row r="715" ht="14.25" customHeight="1">
      <c r="A715" s="262" t="s">
        <v>816</v>
      </c>
      <c r="B715" s="216" t="s">
        <v>822</v>
      </c>
    </row>
    <row r="716" ht="14.25" customHeight="1">
      <c r="A716" s="263" t="s">
        <v>517</v>
      </c>
      <c r="B716" s="216" t="s">
        <v>789</v>
      </c>
    </row>
    <row r="717" ht="14.25" customHeight="1"/>
    <row r="718" ht="14.25" customHeight="1"/>
    <row r="719" ht="14.25" customHeight="1"/>
    <row r="720" ht="14.25" customHeight="1"/>
    <row r="721" ht="14.25" customHeight="1">
      <c r="A721" s="264" t="s">
        <v>823</v>
      </c>
    </row>
    <row r="722" ht="14.25" customHeight="1"/>
    <row r="723" ht="15.75" customHeight="1"/>
    <row r="724" ht="15.75" customHeight="1">
      <c r="A724" s="250" t="s">
        <v>304</v>
      </c>
      <c r="B724" s="250" t="s">
        <v>824</v>
      </c>
      <c r="C724" s="250" t="s">
        <v>825</v>
      </c>
    </row>
    <row r="725" ht="15.75" customHeight="1">
      <c r="A725" s="216" t="s">
        <v>826</v>
      </c>
      <c r="B725" s="216">
        <v>92.0</v>
      </c>
      <c r="C725" s="216" t="s">
        <v>827</v>
      </c>
    </row>
    <row r="726" ht="15.75" customHeight="1">
      <c r="A726" s="216" t="s">
        <v>828</v>
      </c>
      <c r="B726" s="216">
        <v>88.0</v>
      </c>
      <c r="C726" s="216" t="s">
        <v>0</v>
      </c>
    </row>
    <row r="727" ht="15.75" customHeight="1">
      <c r="A727" s="216" t="s">
        <v>829</v>
      </c>
      <c r="B727" s="216">
        <v>94.0</v>
      </c>
      <c r="C727" s="216" t="s">
        <v>827</v>
      </c>
    </row>
    <row r="728" ht="15.75" customHeight="1">
      <c r="A728" s="216" t="s">
        <v>830</v>
      </c>
      <c r="B728" s="216">
        <v>84.0</v>
      </c>
      <c r="C728" s="216" t="s">
        <v>831</v>
      </c>
    </row>
    <row r="729" ht="15.75" customHeight="1">
      <c r="A729" s="216" t="s">
        <v>832</v>
      </c>
      <c r="B729" s="216">
        <v>95.0</v>
      </c>
      <c r="C729" s="216" t="s">
        <v>827</v>
      </c>
    </row>
    <row r="730" ht="15.75" customHeight="1">
      <c r="A730" s="216" t="s">
        <v>833</v>
      </c>
      <c r="B730" s="216">
        <v>78.0</v>
      </c>
      <c r="C730" s="216" t="s">
        <v>1</v>
      </c>
    </row>
    <row r="731" ht="15.75" customHeight="1">
      <c r="A731" s="216" t="s">
        <v>834</v>
      </c>
      <c r="B731" s="216">
        <v>59.0</v>
      </c>
      <c r="C731" s="216" t="s">
        <v>3</v>
      </c>
    </row>
    <row r="732" ht="15.75" customHeight="1">
      <c r="A732" s="216" t="s">
        <v>835</v>
      </c>
      <c r="B732" s="216">
        <v>43.0</v>
      </c>
      <c r="C732" s="216" t="s">
        <v>5</v>
      </c>
    </row>
    <row r="733" ht="15.75" customHeight="1">
      <c r="A733" s="216" t="s">
        <v>836</v>
      </c>
      <c r="B733" s="216">
        <v>90.0</v>
      </c>
      <c r="C733" s="216" t="s">
        <v>827</v>
      </c>
    </row>
    <row r="734" ht="15.75" customHeight="1"/>
    <row r="735" ht="15.75" customHeight="1"/>
    <row r="736" ht="15.75" customHeight="1"/>
    <row r="737" ht="15.75" customHeight="1">
      <c r="A737" s="265" t="s">
        <v>837</v>
      </c>
    </row>
    <row r="738" ht="15.75" customHeight="1"/>
    <row r="739" ht="15.75" customHeight="1"/>
    <row r="740" ht="15.75" customHeight="1">
      <c r="A740" s="266" t="s">
        <v>838</v>
      </c>
      <c r="D740" s="266" t="s">
        <v>839</v>
      </c>
      <c r="G740" s="266" t="s">
        <v>840</v>
      </c>
    </row>
    <row r="741" ht="15.75" customHeight="1">
      <c r="A741" s="252" t="s">
        <v>594</v>
      </c>
      <c r="B741" s="252" t="s">
        <v>592</v>
      </c>
      <c r="D741" s="252" t="s">
        <v>594</v>
      </c>
      <c r="E741" s="252" t="s">
        <v>841</v>
      </c>
      <c r="G741" s="252" t="s">
        <v>842</v>
      </c>
      <c r="H741" s="252" t="s">
        <v>593</v>
      </c>
    </row>
    <row r="742" ht="15.75" customHeight="1">
      <c r="A742" s="216" t="s">
        <v>597</v>
      </c>
      <c r="B742" s="216" t="s">
        <v>596</v>
      </c>
      <c r="D742" s="216" t="s">
        <v>597</v>
      </c>
      <c r="E742" s="216" t="s">
        <v>517</v>
      </c>
      <c r="G742" s="216" t="s">
        <v>597</v>
      </c>
      <c r="H742" s="216">
        <v>92671.0</v>
      </c>
    </row>
    <row r="743" ht="15.75" customHeight="1">
      <c r="A743" s="216" t="s">
        <v>600</v>
      </c>
      <c r="B743" s="216" t="s">
        <v>598</v>
      </c>
      <c r="D743" s="216" t="s">
        <v>600</v>
      </c>
      <c r="E743" s="216" t="s">
        <v>599</v>
      </c>
      <c r="G743" s="216" t="s">
        <v>600</v>
      </c>
      <c r="H743" s="216">
        <v>84120.0</v>
      </c>
    </row>
    <row r="744" ht="15.75" customHeight="1">
      <c r="A744" s="216" t="s">
        <v>602</v>
      </c>
      <c r="B744" s="216" t="s">
        <v>601</v>
      </c>
      <c r="D744" s="216" t="s">
        <v>602</v>
      </c>
      <c r="E744" s="216" t="s">
        <v>422</v>
      </c>
      <c r="G744" s="216" t="s">
        <v>602</v>
      </c>
      <c r="H744" s="216">
        <v>50793.0</v>
      </c>
    </row>
    <row r="745" ht="15.75" customHeight="1">
      <c r="A745" s="216" t="s">
        <v>605</v>
      </c>
      <c r="B745" s="216" t="s">
        <v>603</v>
      </c>
      <c r="D745" s="216" t="s">
        <v>624</v>
      </c>
      <c r="E745" s="216" t="s">
        <v>422</v>
      </c>
      <c r="G745" s="216" t="s">
        <v>605</v>
      </c>
      <c r="H745" s="216">
        <v>77833.0</v>
      </c>
    </row>
    <row r="746" ht="15.75" customHeight="1">
      <c r="A746" s="216" t="s">
        <v>607</v>
      </c>
      <c r="B746" s="216" t="s">
        <v>606</v>
      </c>
      <c r="D746" s="216" t="s">
        <v>626</v>
      </c>
      <c r="E746" s="216" t="s">
        <v>517</v>
      </c>
      <c r="G746" s="216" t="s">
        <v>607</v>
      </c>
      <c r="H746" s="216">
        <v>58914.0</v>
      </c>
    </row>
    <row r="747" ht="15.75" customHeight="1">
      <c r="A747" s="216" t="s">
        <v>610</v>
      </c>
      <c r="B747" s="216" t="s">
        <v>608</v>
      </c>
      <c r="D747" s="216" t="s">
        <v>628</v>
      </c>
      <c r="E747" s="216" t="s">
        <v>609</v>
      </c>
      <c r="G747" s="216" t="s">
        <v>610</v>
      </c>
      <c r="H747" s="216">
        <v>51096.0</v>
      </c>
    </row>
    <row r="748" ht="15.75" customHeight="1">
      <c r="A748" s="216" t="s">
        <v>612</v>
      </c>
      <c r="B748" s="216" t="s">
        <v>611</v>
      </c>
      <c r="D748" s="216" t="s">
        <v>630</v>
      </c>
      <c r="E748" s="216" t="s">
        <v>599</v>
      </c>
      <c r="G748" s="216" t="s">
        <v>628</v>
      </c>
      <c r="H748" s="216">
        <v>88965.0</v>
      </c>
    </row>
    <row r="749" ht="15.75" customHeight="1">
      <c r="A749" s="216" t="s">
        <v>614</v>
      </c>
      <c r="B749" s="216" t="s">
        <v>613</v>
      </c>
      <c r="D749" s="216" t="s">
        <v>632</v>
      </c>
      <c r="E749" s="216" t="s">
        <v>517</v>
      </c>
      <c r="G749" s="216" t="s">
        <v>630</v>
      </c>
      <c r="H749" s="216">
        <v>63288.0</v>
      </c>
    </row>
    <row r="750" ht="15.75" customHeight="1">
      <c r="A750" s="216" t="s">
        <v>616</v>
      </c>
      <c r="B750" s="216" t="s">
        <v>615</v>
      </c>
      <c r="D750" s="216" t="s">
        <v>637</v>
      </c>
      <c r="E750" s="216" t="s">
        <v>517</v>
      </c>
      <c r="G750" s="216" t="s">
        <v>632</v>
      </c>
      <c r="H750" s="216">
        <v>45742.0</v>
      </c>
    </row>
    <row r="751" ht="15.75" customHeight="1">
      <c r="A751" s="216" t="s">
        <v>618</v>
      </c>
      <c r="B751" s="216" t="s">
        <v>617</v>
      </c>
      <c r="D751" s="216" t="s">
        <v>605</v>
      </c>
      <c r="E751" s="216" t="s">
        <v>604</v>
      </c>
      <c r="G751" s="216" t="s">
        <v>633</v>
      </c>
      <c r="H751" s="216">
        <v>88354.0</v>
      </c>
    </row>
    <row r="752" ht="15.75" customHeight="1">
      <c r="A752" s="216" t="s">
        <v>620</v>
      </c>
      <c r="B752" s="216" t="s">
        <v>619</v>
      </c>
      <c r="D752" s="216" t="s">
        <v>607</v>
      </c>
      <c r="E752" s="216" t="s">
        <v>442</v>
      </c>
      <c r="G752" s="216" t="s">
        <v>635</v>
      </c>
      <c r="H752" s="216">
        <v>76641.0</v>
      </c>
    </row>
    <row r="753" ht="15.75" customHeight="1">
      <c r="A753" s="216" t="s">
        <v>622</v>
      </c>
      <c r="B753" s="216" t="s">
        <v>621</v>
      </c>
      <c r="D753" s="216" t="s">
        <v>610</v>
      </c>
      <c r="E753" s="216" t="s">
        <v>609</v>
      </c>
      <c r="G753" s="216" t="s">
        <v>637</v>
      </c>
      <c r="H753" s="216">
        <v>61678.0</v>
      </c>
    </row>
    <row r="754" ht="15.75" customHeight="1">
      <c r="A754" s="216" t="s">
        <v>624</v>
      </c>
      <c r="B754" s="216" t="s">
        <v>843</v>
      </c>
      <c r="D754" s="216" t="s">
        <v>633</v>
      </c>
      <c r="E754" s="216" t="s">
        <v>422</v>
      </c>
      <c r="G754" s="216" t="s">
        <v>612</v>
      </c>
      <c r="H754" s="216">
        <v>83735.0</v>
      </c>
    </row>
    <row r="755" ht="15.75" customHeight="1">
      <c r="A755" s="216" t="s">
        <v>626</v>
      </c>
      <c r="B755" s="216" t="s">
        <v>625</v>
      </c>
      <c r="D755" s="216" t="s">
        <v>635</v>
      </c>
      <c r="E755" s="216" t="s">
        <v>422</v>
      </c>
      <c r="G755" s="216" t="s">
        <v>614</v>
      </c>
      <c r="H755" s="216">
        <v>74418.0</v>
      </c>
    </row>
    <row r="756" ht="15.75" customHeight="1">
      <c r="A756" s="216" t="s">
        <v>628</v>
      </c>
      <c r="B756" s="216" t="s">
        <v>627</v>
      </c>
      <c r="D756" s="216" t="s">
        <v>612</v>
      </c>
      <c r="E756" s="216" t="s">
        <v>422</v>
      </c>
      <c r="G756" s="216" t="s">
        <v>616</v>
      </c>
      <c r="H756" s="216">
        <v>51366.0</v>
      </c>
    </row>
    <row r="757" ht="15.75" customHeight="1">
      <c r="A757" s="216" t="s">
        <v>630</v>
      </c>
      <c r="B757" s="216" t="s">
        <v>629</v>
      </c>
      <c r="D757" s="216" t="s">
        <v>614</v>
      </c>
      <c r="E757" s="216" t="s">
        <v>609</v>
      </c>
      <c r="G757" s="216" t="s">
        <v>618</v>
      </c>
      <c r="H757" s="216">
        <v>54600.0</v>
      </c>
    </row>
    <row r="758" ht="15.75" customHeight="1">
      <c r="A758" s="216" t="s">
        <v>632</v>
      </c>
      <c r="B758" s="216" t="s">
        <v>631</v>
      </c>
      <c r="D758" s="216" t="s">
        <v>616</v>
      </c>
      <c r="E758" s="216" t="s">
        <v>517</v>
      </c>
      <c r="G758" s="216" t="s">
        <v>620</v>
      </c>
      <c r="H758" s="216">
        <v>93509.0</v>
      </c>
    </row>
    <row r="759" ht="15.75" customHeight="1">
      <c r="A759" s="216" t="s">
        <v>633</v>
      </c>
      <c r="B759" s="216" t="s">
        <v>367</v>
      </c>
      <c r="D759" s="216" t="s">
        <v>618</v>
      </c>
      <c r="E759" s="216" t="s">
        <v>442</v>
      </c>
      <c r="G759" s="216" t="s">
        <v>622</v>
      </c>
      <c r="H759" s="216">
        <v>80105.0</v>
      </c>
    </row>
    <row r="760" ht="15.75" customHeight="1">
      <c r="A760" s="216" t="s">
        <v>635</v>
      </c>
      <c r="B760" s="216" t="s">
        <v>634</v>
      </c>
      <c r="D760" s="216" t="s">
        <v>620</v>
      </c>
      <c r="E760" s="216" t="s">
        <v>599</v>
      </c>
      <c r="G760" s="216" t="s">
        <v>624</v>
      </c>
      <c r="H760" s="216">
        <v>60802.0</v>
      </c>
    </row>
    <row r="761" ht="15.75" customHeight="1">
      <c r="A761" s="216" t="s">
        <v>637</v>
      </c>
      <c r="B761" s="216" t="s">
        <v>636</v>
      </c>
      <c r="D761" s="216" t="s">
        <v>622</v>
      </c>
      <c r="E761" s="216" t="s">
        <v>442</v>
      </c>
      <c r="G761" s="216" t="s">
        <v>626</v>
      </c>
      <c r="H761" s="216">
        <v>76260.0</v>
      </c>
    </row>
    <row r="762" ht="15.75" customHeight="1"/>
    <row r="763" ht="15.75" customHeight="1"/>
    <row r="764" ht="15.75" customHeight="1">
      <c r="A764" s="267" t="s">
        <v>318</v>
      </c>
    </row>
    <row r="765" ht="15.75" customHeight="1">
      <c r="A765" s="252" t="s">
        <v>594</v>
      </c>
      <c r="B765" s="252" t="s">
        <v>592</v>
      </c>
      <c r="C765" s="252" t="s">
        <v>283</v>
      </c>
      <c r="D765" s="252" t="s">
        <v>593</v>
      </c>
    </row>
    <row r="766" ht="15.75" customHeight="1">
      <c r="A766" s="216" t="s">
        <v>597</v>
      </c>
      <c r="B766" s="216" t="s">
        <v>596</v>
      </c>
    </row>
    <row r="767" ht="15.75" customHeight="1">
      <c r="A767" s="216" t="s">
        <v>600</v>
      </c>
      <c r="B767" s="216" t="s">
        <v>598</v>
      </c>
    </row>
    <row r="768" ht="15.75" customHeight="1">
      <c r="A768" s="216" t="s">
        <v>602</v>
      </c>
      <c r="B768" s="216" t="s">
        <v>601</v>
      </c>
    </row>
    <row r="769" ht="15.75" customHeight="1">
      <c r="A769" s="216" t="s">
        <v>605</v>
      </c>
      <c r="B769" s="216" t="s">
        <v>603</v>
      </c>
    </row>
    <row r="770" ht="15.75" customHeight="1">
      <c r="A770" s="216" t="s">
        <v>607</v>
      </c>
      <c r="B770" s="216" t="s">
        <v>606</v>
      </c>
    </row>
    <row r="771" ht="15.75" customHeight="1">
      <c r="A771" s="216" t="s">
        <v>610</v>
      </c>
      <c r="B771" s="216" t="s">
        <v>608</v>
      </c>
    </row>
    <row r="772" ht="15.75" customHeight="1">
      <c r="A772" s="216" t="s">
        <v>612</v>
      </c>
      <c r="B772" s="216" t="s">
        <v>611</v>
      </c>
    </row>
    <row r="773" ht="15.75" customHeight="1">
      <c r="A773" s="216" t="s">
        <v>614</v>
      </c>
      <c r="B773" s="216" t="s">
        <v>613</v>
      </c>
    </row>
    <row r="774" ht="15.75" customHeight="1">
      <c r="A774" s="216" t="s">
        <v>616</v>
      </c>
      <c r="B774" s="216" t="s">
        <v>615</v>
      </c>
    </row>
    <row r="775" ht="15.75" customHeight="1">
      <c r="A775" s="216" t="s">
        <v>618</v>
      </c>
      <c r="B775" s="216" t="s">
        <v>617</v>
      </c>
    </row>
    <row r="776" ht="15.75" customHeight="1">
      <c r="A776" s="216" t="s">
        <v>620</v>
      </c>
      <c r="B776" s="216" t="s">
        <v>619</v>
      </c>
    </row>
    <row r="777" ht="15.75" customHeight="1">
      <c r="A777" s="216" t="s">
        <v>622</v>
      </c>
      <c r="B777" s="216" t="s">
        <v>621</v>
      </c>
    </row>
    <row r="778" ht="15.75" customHeight="1">
      <c r="A778" s="216" t="s">
        <v>624</v>
      </c>
      <c r="B778" s="216" t="s">
        <v>843</v>
      </c>
    </row>
    <row r="779" ht="15.75" customHeight="1">
      <c r="A779" s="216" t="s">
        <v>626</v>
      </c>
      <c r="B779" s="216" t="s">
        <v>625</v>
      </c>
    </row>
    <row r="780" ht="15.75" customHeight="1">
      <c r="A780" s="216" t="s">
        <v>628</v>
      </c>
      <c r="B780" s="216" t="s">
        <v>627</v>
      </c>
    </row>
    <row r="781" ht="15.75" customHeight="1">
      <c r="A781" s="216" t="s">
        <v>630</v>
      </c>
      <c r="B781" s="216" t="s">
        <v>629</v>
      </c>
    </row>
    <row r="782" ht="15.75" customHeight="1">
      <c r="A782" s="216" t="s">
        <v>632</v>
      </c>
      <c r="B782" s="216" t="s">
        <v>631</v>
      </c>
    </row>
    <row r="783" ht="15.75" customHeight="1">
      <c r="A783" s="216" t="s">
        <v>633</v>
      </c>
      <c r="B783" s="216" t="s">
        <v>367</v>
      </c>
    </row>
    <row r="784" ht="15.75" customHeight="1">
      <c r="A784" s="216" t="s">
        <v>635</v>
      </c>
      <c r="B784" s="216" t="s">
        <v>634</v>
      </c>
    </row>
    <row r="785" ht="15.75" customHeight="1">
      <c r="A785" s="216" t="s">
        <v>637</v>
      </c>
      <c r="B785" s="216" t="s">
        <v>636</v>
      </c>
    </row>
    <row r="786" ht="15.75" customHeight="1"/>
    <row r="787" ht="15.75" customHeight="1"/>
    <row r="788" ht="15.75" customHeight="1"/>
    <row r="789" ht="15.75" customHeight="1"/>
    <row r="790" ht="15.75" customHeight="1">
      <c r="A790" s="268" t="s">
        <v>844</v>
      </c>
    </row>
    <row r="791" ht="15.75" customHeight="1"/>
    <row r="792" ht="15.75" customHeight="1"/>
    <row r="793" ht="15.75" customHeight="1">
      <c r="A793" s="240" t="s">
        <v>845</v>
      </c>
      <c r="B793" s="240" t="s">
        <v>846</v>
      </c>
      <c r="C793" s="240" t="s">
        <v>847</v>
      </c>
    </row>
    <row r="794" ht="15.75" customHeight="1">
      <c r="A794" s="216" t="s">
        <v>848</v>
      </c>
      <c r="B794" s="216" t="s">
        <v>849</v>
      </c>
      <c r="C794" s="216">
        <v>4615.0</v>
      </c>
    </row>
    <row r="795" ht="15.75" customHeight="1">
      <c r="A795" s="216" t="s">
        <v>850</v>
      </c>
      <c r="B795" s="216" t="s">
        <v>851</v>
      </c>
      <c r="C795" s="216">
        <v>2345.0</v>
      </c>
    </row>
    <row r="796" ht="15.75" customHeight="1">
      <c r="A796" s="216" t="s">
        <v>848</v>
      </c>
      <c r="B796" s="216" t="s">
        <v>852</v>
      </c>
      <c r="C796" s="216">
        <v>11282.0</v>
      </c>
    </row>
    <row r="797" ht="15.75" customHeight="1">
      <c r="A797" s="216" t="s">
        <v>850</v>
      </c>
      <c r="B797" s="216" t="s">
        <v>853</v>
      </c>
      <c r="C797" s="216">
        <v>4159.0</v>
      </c>
    </row>
    <row r="798" ht="15.75" customHeight="1">
      <c r="A798" s="216" t="s">
        <v>854</v>
      </c>
      <c r="B798" s="216" t="s">
        <v>855</v>
      </c>
      <c r="C798" s="216">
        <v>7802.0</v>
      </c>
    </row>
    <row r="799" ht="15.75" customHeight="1">
      <c r="A799" s="216" t="s">
        <v>848</v>
      </c>
      <c r="B799" s="216" t="s">
        <v>856</v>
      </c>
      <c r="C799" s="216">
        <v>8486.0</v>
      </c>
    </row>
    <row r="800" ht="15.75" customHeight="1">
      <c r="A800" s="216" t="s">
        <v>850</v>
      </c>
      <c r="B800" s="216" t="s">
        <v>857</v>
      </c>
      <c r="C800" s="216">
        <v>3384.0</v>
      </c>
    </row>
    <row r="801" ht="15.75" customHeight="1">
      <c r="A801" s="216" t="s">
        <v>854</v>
      </c>
      <c r="B801" s="216" t="s">
        <v>858</v>
      </c>
      <c r="C801" s="216">
        <v>3422.0</v>
      </c>
    </row>
    <row r="802" ht="15.75" customHeight="1"/>
    <row r="803" ht="15.75" customHeight="1">
      <c r="A803" s="269" t="s">
        <v>859</v>
      </c>
      <c r="E803" s="269" t="s">
        <v>860</v>
      </c>
      <c r="G803" s="216" t="s">
        <v>789</v>
      </c>
    </row>
    <row r="804" ht="15.75" customHeight="1"/>
    <row r="805" ht="15.75" customHeight="1">
      <c r="A805" s="270" t="s">
        <v>861</v>
      </c>
      <c r="E805" s="269" t="s">
        <v>862</v>
      </c>
      <c r="G805" s="216" t="s">
        <v>789</v>
      </c>
    </row>
    <row r="806" ht="15.75" customHeight="1"/>
    <row r="807" ht="15.75" customHeight="1"/>
    <row r="808" ht="15.75" customHeight="1">
      <c r="A808" s="240" t="s">
        <v>845</v>
      </c>
      <c r="B808" s="240" t="s">
        <v>846</v>
      </c>
      <c r="C808" s="240" t="s">
        <v>847</v>
      </c>
    </row>
    <row r="809" ht="15.75" customHeight="1">
      <c r="A809" s="216" t="s">
        <v>848</v>
      </c>
      <c r="B809" s="216" t="s">
        <v>849</v>
      </c>
      <c r="C809" s="216">
        <v>4615.0</v>
      </c>
    </row>
    <row r="810" ht="15.75" customHeight="1">
      <c r="A810" s="216" t="s">
        <v>850</v>
      </c>
      <c r="B810" s="216" t="s">
        <v>851</v>
      </c>
      <c r="C810" s="216">
        <v>2345.0</v>
      </c>
    </row>
    <row r="811" ht="15.75" customHeight="1">
      <c r="A811" s="216" t="s">
        <v>848</v>
      </c>
      <c r="B811" s="216" t="s">
        <v>852</v>
      </c>
      <c r="C811" s="216">
        <v>11282.0</v>
      </c>
    </row>
    <row r="812" ht="15.75" customHeight="1">
      <c r="A812" s="216" t="s">
        <v>850</v>
      </c>
      <c r="B812" s="216" t="s">
        <v>853</v>
      </c>
      <c r="C812" s="216">
        <v>4159.0</v>
      </c>
    </row>
    <row r="813" ht="15.75" customHeight="1">
      <c r="A813" s="216" t="s">
        <v>854</v>
      </c>
      <c r="B813" s="216" t="s">
        <v>855</v>
      </c>
      <c r="C813" s="216">
        <v>7802.0</v>
      </c>
    </row>
    <row r="814" ht="15.75" customHeight="1">
      <c r="A814" s="216" t="s">
        <v>848</v>
      </c>
      <c r="B814" s="216" t="s">
        <v>856</v>
      </c>
      <c r="C814" s="216">
        <v>8486.0</v>
      </c>
    </row>
    <row r="815" ht="15.75" customHeight="1">
      <c r="A815" s="216" t="s">
        <v>850</v>
      </c>
      <c r="B815" s="216" t="s">
        <v>857</v>
      </c>
      <c r="C815" s="216">
        <v>3384.0</v>
      </c>
    </row>
    <row r="816" ht="15.75" customHeight="1">
      <c r="A816" s="216" t="s">
        <v>854</v>
      </c>
      <c r="B816" s="216" t="s">
        <v>858</v>
      </c>
      <c r="C816" s="216">
        <v>3422.0</v>
      </c>
    </row>
    <row r="817" ht="15.75" customHeight="1"/>
    <row r="818" ht="15.75" customHeight="1">
      <c r="A818" s="271" t="s">
        <v>863</v>
      </c>
      <c r="E818" s="272" t="s">
        <v>864</v>
      </c>
    </row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>
      <c r="A824" s="273" t="s">
        <v>865</v>
      </c>
      <c r="J824" s="274" t="s">
        <v>841</v>
      </c>
      <c r="K824" s="274" t="s">
        <v>866</v>
      </c>
      <c r="L824" s="274" t="s">
        <v>867</v>
      </c>
    </row>
    <row r="825" ht="15.75" customHeight="1">
      <c r="J825" s="216" t="s">
        <v>517</v>
      </c>
      <c r="K825" s="216">
        <v>100.0</v>
      </c>
      <c r="L825" s="216">
        <v>900.0</v>
      </c>
    </row>
    <row r="826" ht="15.75" customHeight="1">
      <c r="A826" s="275" t="s">
        <v>868</v>
      </c>
      <c r="B826" s="275" t="s">
        <v>869</v>
      </c>
      <c r="C826" s="275" t="s">
        <v>841</v>
      </c>
      <c r="D826" s="275" t="s">
        <v>587</v>
      </c>
      <c r="E826" s="275" t="s">
        <v>593</v>
      </c>
      <c r="F826" s="275" t="s">
        <v>866</v>
      </c>
      <c r="G826" s="275" t="s">
        <v>867</v>
      </c>
      <c r="H826" s="275" t="s">
        <v>870</v>
      </c>
      <c r="J826" s="216" t="s">
        <v>871</v>
      </c>
      <c r="K826" s="216">
        <v>200.0</v>
      </c>
      <c r="L826" s="216">
        <v>800.0</v>
      </c>
    </row>
    <row r="827" ht="15.75" customHeight="1">
      <c r="A827" s="216">
        <v>1.0</v>
      </c>
      <c r="B827" s="216" t="s">
        <v>872</v>
      </c>
      <c r="C827" s="216" t="s">
        <v>517</v>
      </c>
      <c r="D827" s="216" t="s">
        <v>873</v>
      </c>
      <c r="E827" s="216">
        <v>15625.0</v>
      </c>
      <c r="J827" s="216" t="s">
        <v>874</v>
      </c>
      <c r="K827" s="216">
        <v>300.0</v>
      </c>
      <c r="L827" s="216">
        <v>700.0</v>
      </c>
    </row>
    <row r="828" ht="15.75" customHeight="1">
      <c r="A828" s="216">
        <v>2.0</v>
      </c>
      <c r="B828" s="216" t="s">
        <v>875</v>
      </c>
      <c r="C828" s="216" t="s">
        <v>517</v>
      </c>
      <c r="D828" s="216" t="s">
        <v>876</v>
      </c>
      <c r="E828" s="216">
        <v>12500.0</v>
      </c>
      <c r="J828" s="216" t="s">
        <v>442</v>
      </c>
      <c r="K828" s="216">
        <v>400.0</v>
      </c>
      <c r="L828" s="216">
        <v>600.0</v>
      </c>
    </row>
    <row r="829" ht="15.75" customHeight="1">
      <c r="A829" s="216">
        <v>3.0</v>
      </c>
      <c r="B829" s="216" t="s">
        <v>877</v>
      </c>
      <c r="C829" s="216" t="s">
        <v>871</v>
      </c>
      <c r="D829" s="216" t="s">
        <v>873</v>
      </c>
      <c r="E829" s="216">
        <v>8750.0</v>
      </c>
      <c r="J829" s="216" t="s">
        <v>878</v>
      </c>
      <c r="K829" s="216">
        <v>500.0</v>
      </c>
      <c r="L829" s="216">
        <v>500.0</v>
      </c>
    </row>
    <row r="830" ht="15.75" customHeight="1">
      <c r="A830" s="216">
        <v>4.0</v>
      </c>
      <c r="B830" s="216" t="s">
        <v>879</v>
      </c>
      <c r="C830" s="216" t="s">
        <v>874</v>
      </c>
      <c r="D830" s="216" t="s">
        <v>873</v>
      </c>
      <c r="E830" s="216">
        <v>15000.0</v>
      </c>
      <c r="J830" s="216" t="s">
        <v>880</v>
      </c>
      <c r="K830" s="216">
        <v>600.0</v>
      </c>
      <c r="L830" s="216">
        <v>400.0</v>
      </c>
    </row>
    <row r="831" ht="15.75" customHeight="1">
      <c r="A831" s="216">
        <v>5.0</v>
      </c>
      <c r="B831" s="216" t="s">
        <v>881</v>
      </c>
      <c r="C831" s="216" t="s">
        <v>874</v>
      </c>
      <c r="D831" s="216" t="s">
        <v>873</v>
      </c>
      <c r="E831" s="216">
        <v>8875.0</v>
      </c>
      <c r="J831" s="216" t="s">
        <v>882</v>
      </c>
      <c r="K831" s="216">
        <v>700.0</v>
      </c>
      <c r="L831" s="216">
        <v>300.0</v>
      </c>
    </row>
    <row r="832" ht="15.75" customHeight="1">
      <c r="A832" s="216">
        <v>6.0</v>
      </c>
      <c r="B832" s="216" t="s">
        <v>883</v>
      </c>
      <c r="C832" s="216" t="s">
        <v>874</v>
      </c>
      <c r="D832" s="216" t="s">
        <v>873</v>
      </c>
      <c r="E832" s="216">
        <v>8875.0</v>
      </c>
      <c r="J832" s="216" t="s">
        <v>884</v>
      </c>
      <c r="K832" s="216">
        <v>800.0</v>
      </c>
      <c r="L832" s="216">
        <v>200.0</v>
      </c>
    </row>
    <row r="833" ht="15.75" customHeight="1">
      <c r="A833" s="216">
        <v>7.0</v>
      </c>
      <c r="B833" s="216" t="s">
        <v>885</v>
      </c>
      <c r="C833" s="216" t="s">
        <v>517</v>
      </c>
      <c r="D833" s="216" t="s">
        <v>873</v>
      </c>
      <c r="E833" s="216">
        <v>10625.0</v>
      </c>
    </row>
    <row r="834" ht="15.75" customHeight="1">
      <c r="A834" s="216">
        <v>8.0</v>
      </c>
      <c r="B834" s="216" t="s">
        <v>886</v>
      </c>
      <c r="C834" s="216" t="s">
        <v>871</v>
      </c>
      <c r="D834" s="216" t="s">
        <v>876</v>
      </c>
      <c r="E834" s="216">
        <v>11250.0</v>
      </c>
    </row>
    <row r="835" ht="15.75" customHeight="1">
      <c r="A835" s="216">
        <v>9.0</v>
      </c>
      <c r="B835" s="216" t="s">
        <v>887</v>
      </c>
      <c r="C835" s="216" t="s">
        <v>442</v>
      </c>
      <c r="D835" s="216" t="s">
        <v>888</v>
      </c>
      <c r="E835" s="216">
        <v>10625.0</v>
      </c>
      <c r="J835" s="276" t="s">
        <v>587</v>
      </c>
      <c r="K835" s="276" t="s">
        <v>870</v>
      </c>
    </row>
    <row r="836" ht="15.75" customHeight="1">
      <c r="A836" s="216">
        <v>10.0</v>
      </c>
      <c r="B836" s="216" t="s">
        <v>889</v>
      </c>
      <c r="C836" s="216" t="s">
        <v>878</v>
      </c>
      <c r="D836" s="216" t="s">
        <v>873</v>
      </c>
      <c r="E836" s="216">
        <v>15000.0</v>
      </c>
      <c r="J836" s="216" t="s">
        <v>588</v>
      </c>
      <c r="K836" s="216">
        <v>100.0</v>
      </c>
    </row>
    <row r="837" ht="15.75" customHeight="1">
      <c r="A837" s="216">
        <v>11.0</v>
      </c>
      <c r="B837" s="216" t="s">
        <v>890</v>
      </c>
      <c r="C837" s="216" t="s">
        <v>442</v>
      </c>
      <c r="D837" s="216" t="s">
        <v>876</v>
      </c>
      <c r="E837" s="216">
        <v>13750.0</v>
      </c>
      <c r="J837" s="216" t="s">
        <v>876</v>
      </c>
      <c r="K837" s="216">
        <v>200.0</v>
      </c>
    </row>
    <row r="838" ht="15.75" customHeight="1">
      <c r="A838" s="216">
        <v>12.0</v>
      </c>
      <c r="B838" s="216" t="s">
        <v>891</v>
      </c>
      <c r="C838" s="216" t="s">
        <v>880</v>
      </c>
      <c r="D838" s="216" t="s">
        <v>892</v>
      </c>
      <c r="E838" s="216">
        <v>35000.0</v>
      </c>
      <c r="J838" s="216" t="s">
        <v>888</v>
      </c>
      <c r="K838" s="216">
        <v>300.0</v>
      </c>
    </row>
    <row r="839" ht="15.75" customHeight="1">
      <c r="A839" s="216">
        <v>13.0</v>
      </c>
      <c r="B839" s="216" t="s">
        <v>893</v>
      </c>
      <c r="C839" s="216" t="s">
        <v>882</v>
      </c>
      <c r="D839" s="216" t="s">
        <v>873</v>
      </c>
      <c r="E839" s="216">
        <v>10625.0</v>
      </c>
      <c r="J839" s="216" t="s">
        <v>589</v>
      </c>
      <c r="K839" s="216">
        <v>400.0</v>
      </c>
    </row>
    <row r="840" ht="15.75" customHeight="1">
      <c r="A840" s="216">
        <v>14.0</v>
      </c>
      <c r="B840" s="216" t="s">
        <v>894</v>
      </c>
      <c r="C840" s="216" t="s">
        <v>882</v>
      </c>
      <c r="D840" s="216" t="s">
        <v>873</v>
      </c>
      <c r="E840" s="216">
        <v>10625.0</v>
      </c>
    </row>
    <row r="841" ht="15.75" customHeight="1">
      <c r="A841" s="216">
        <v>15.0</v>
      </c>
      <c r="B841" s="216" t="s">
        <v>895</v>
      </c>
      <c r="C841" s="216" t="s">
        <v>878</v>
      </c>
      <c r="D841" s="216" t="s">
        <v>876</v>
      </c>
      <c r="E841" s="216">
        <v>11250.0</v>
      </c>
    </row>
    <row r="842" ht="15.75" customHeight="1">
      <c r="A842" s="216">
        <v>16.0</v>
      </c>
      <c r="B842" s="216" t="s">
        <v>896</v>
      </c>
      <c r="C842" s="216" t="s">
        <v>878</v>
      </c>
      <c r="D842" s="216" t="s">
        <v>888</v>
      </c>
      <c r="E842" s="216">
        <v>11250.0</v>
      </c>
    </row>
    <row r="843" ht="15.75" customHeight="1">
      <c r="A843" s="216">
        <v>17.0</v>
      </c>
      <c r="B843" s="216" t="s">
        <v>897</v>
      </c>
      <c r="C843" s="216" t="s">
        <v>871</v>
      </c>
      <c r="D843" s="216" t="s">
        <v>873</v>
      </c>
      <c r="E843" s="216">
        <v>7500.0</v>
      </c>
    </row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>
      <c r="A852" s="277" t="s">
        <v>898</v>
      </c>
    </row>
    <row r="853" ht="15.75" customHeight="1"/>
    <row r="854" ht="15.75" customHeight="1">
      <c r="A854" s="278" t="s">
        <v>899</v>
      </c>
      <c r="B854" s="278" t="s">
        <v>382</v>
      </c>
      <c r="C854" s="278" t="s">
        <v>841</v>
      </c>
      <c r="D854" s="278" t="s">
        <v>593</v>
      </c>
      <c r="E854" s="278" t="s">
        <v>900</v>
      </c>
      <c r="F854" s="278" t="s">
        <v>268</v>
      </c>
      <c r="H854" s="279" t="s">
        <v>901</v>
      </c>
      <c r="I854" s="279" t="s">
        <v>866</v>
      </c>
      <c r="J854" s="279" t="s">
        <v>268</v>
      </c>
    </row>
    <row r="855" ht="15.75" customHeight="1">
      <c r="A855" s="216">
        <v>1.0</v>
      </c>
      <c r="B855" s="216" t="s">
        <v>872</v>
      </c>
      <c r="C855" s="216" t="s">
        <v>517</v>
      </c>
      <c r="D855" s="255">
        <v>15625.0</v>
      </c>
      <c r="H855" s="216">
        <v>1.0</v>
      </c>
      <c r="I855" s="280">
        <v>0.05</v>
      </c>
      <c r="J855" s="216" t="s">
        <v>0</v>
      </c>
    </row>
    <row r="856" ht="15.75" customHeight="1">
      <c r="A856" s="216">
        <v>2.0</v>
      </c>
      <c r="B856" s="216" t="s">
        <v>875</v>
      </c>
      <c r="C856" s="216" t="s">
        <v>517</v>
      </c>
      <c r="D856" s="255">
        <v>12500.0</v>
      </c>
      <c r="H856" s="216">
        <v>5001.0</v>
      </c>
      <c r="I856" s="280">
        <v>0.1</v>
      </c>
      <c r="J856" s="216" t="s">
        <v>1</v>
      </c>
    </row>
    <row r="857" ht="15.75" customHeight="1">
      <c r="A857" s="216">
        <v>3.0</v>
      </c>
      <c r="B857" s="216" t="s">
        <v>877</v>
      </c>
      <c r="C857" s="216" t="s">
        <v>871</v>
      </c>
      <c r="D857" s="255">
        <v>8750.0</v>
      </c>
      <c r="H857" s="216">
        <v>10001.0</v>
      </c>
      <c r="I857" s="280">
        <v>0.15</v>
      </c>
      <c r="J857" s="216" t="s">
        <v>2</v>
      </c>
    </row>
    <row r="858" ht="15.75" customHeight="1">
      <c r="A858" s="216">
        <v>4.0</v>
      </c>
      <c r="B858" s="216" t="s">
        <v>879</v>
      </c>
      <c r="C858" s="216" t="s">
        <v>874</v>
      </c>
      <c r="D858" s="255">
        <v>15000.0</v>
      </c>
      <c r="H858" s="216">
        <v>15001.0</v>
      </c>
      <c r="I858" s="280">
        <v>0.2</v>
      </c>
      <c r="J858" s="216" t="s">
        <v>3</v>
      </c>
    </row>
    <row r="859" ht="15.75" customHeight="1">
      <c r="A859" s="216">
        <v>5.0</v>
      </c>
      <c r="B859" s="216" t="s">
        <v>902</v>
      </c>
      <c r="C859" s="216" t="s">
        <v>874</v>
      </c>
      <c r="D859" s="255">
        <v>8875.0</v>
      </c>
      <c r="H859" s="216">
        <v>20001.0</v>
      </c>
      <c r="I859" s="280">
        <v>0.25</v>
      </c>
      <c r="J859" s="216" t="s">
        <v>4</v>
      </c>
    </row>
    <row r="860" ht="15.75" customHeight="1">
      <c r="A860" s="216">
        <v>6.0</v>
      </c>
      <c r="B860" s="216" t="s">
        <v>883</v>
      </c>
      <c r="C860" s="216" t="s">
        <v>874</v>
      </c>
      <c r="D860" s="255">
        <v>8875.0</v>
      </c>
      <c r="H860" s="216">
        <v>25001.0</v>
      </c>
      <c r="I860" s="280">
        <v>0.3</v>
      </c>
      <c r="J860" s="216" t="s">
        <v>5</v>
      </c>
    </row>
    <row r="861" ht="15.75" customHeight="1">
      <c r="A861" s="216">
        <v>7.0</v>
      </c>
      <c r="B861" s="216" t="s">
        <v>885</v>
      </c>
      <c r="C861" s="216" t="s">
        <v>517</v>
      </c>
      <c r="D861" s="255">
        <v>10625.0</v>
      </c>
      <c r="H861" s="216">
        <v>30001.0</v>
      </c>
      <c r="I861" s="280">
        <v>0.35</v>
      </c>
      <c r="J861" s="216" t="s">
        <v>903</v>
      </c>
    </row>
    <row r="862" ht="15.75" customHeight="1">
      <c r="A862" s="216">
        <v>8.0</v>
      </c>
      <c r="B862" s="216" t="s">
        <v>886</v>
      </c>
      <c r="C862" s="216" t="s">
        <v>871</v>
      </c>
      <c r="D862" s="255">
        <v>11250.0</v>
      </c>
      <c r="H862" s="216">
        <v>35001.0</v>
      </c>
      <c r="I862" s="280">
        <v>0.4</v>
      </c>
      <c r="J862" s="216" t="s">
        <v>904</v>
      </c>
    </row>
    <row r="863" ht="15.75" customHeight="1">
      <c r="A863" s="216">
        <v>9.0</v>
      </c>
      <c r="B863" s="216" t="s">
        <v>887</v>
      </c>
      <c r="C863" s="216" t="s">
        <v>442</v>
      </c>
      <c r="D863" s="255">
        <v>10625.0</v>
      </c>
    </row>
    <row r="864" ht="15.75" customHeight="1">
      <c r="A864" s="216">
        <v>10.0</v>
      </c>
      <c r="B864" s="216" t="s">
        <v>889</v>
      </c>
      <c r="C864" s="216" t="s">
        <v>878</v>
      </c>
      <c r="D864" s="255">
        <v>15000.0</v>
      </c>
    </row>
    <row r="865" ht="15.75" customHeight="1">
      <c r="A865" s="216">
        <v>11.0</v>
      </c>
      <c r="B865" s="216" t="s">
        <v>890</v>
      </c>
      <c r="C865" s="216" t="s">
        <v>442</v>
      </c>
      <c r="D865" s="255">
        <v>13750.0</v>
      </c>
    </row>
    <row r="866" ht="15.75" customHeight="1">
      <c r="A866" s="216">
        <v>12.0</v>
      </c>
      <c r="B866" s="216" t="s">
        <v>905</v>
      </c>
      <c r="C866" s="216" t="s">
        <v>880</v>
      </c>
      <c r="D866" s="255">
        <v>35000.0</v>
      </c>
    </row>
    <row r="867" ht="15.75" customHeight="1">
      <c r="A867" s="216">
        <v>13.0</v>
      </c>
      <c r="B867" s="216" t="s">
        <v>893</v>
      </c>
      <c r="C867" s="216" t="s">
        <v>882</v>
      </c>
      <c r="D867" s="255">
        <v>10625.0</v>
      </c>
    </row>
    <row r="868" ht="15.75" customHeight="1">
      <c r="A868" s="216">
        <v>14.0</v>
      </c>
      <c r="B868" s="216" t="s">
        <v>894</v>
      </c>
      <c r="C868" s="216" t="s">
        <v>882</v>
      </c>
      <c r="D868" s="255">
        <v>10625.0</v>
      </c>
    </row>
    <row r="869" ht="15.75" customHeight="1">
      <c r="A869" s="216">
        <v>15.0</v>
      </c>
      <c r="B869" s="216" t="s">
        <v>895</v>
      </c>
      <c r="C869" s="216" t="s">
        <v>878</v>
      </c>
      <c r="D869" s="255">
        <v>11250.0</v>
      </c>
    </row>
    <row r="870" ht="15.75" customHeight="1">
      <c r="A870" s="216">
        <v>16.0</v>
      </c>
      <c r="B870" s="216" t="s">
        <v>896</v>
      </c>
      <c r="C870" s="216" t="s">
        <v>878</v>
      </c>
      <c r="D870" s="255">
        <v>11250.0</v>
      </c>
    </row>
    <row r="871" ht="15.75" customHeight="1">
      <c r="A871" s="216">
        <v>17.0</v>
      </c>
      <c r="B871" s="216" t="s">
        <v>897</v>
      </c>
      <c r="C871" s="216" t="s">
        <v>871</v>
      </c>
      <c r="D871" s="255">
        <v>7500.0</v>
      </c>
    </row>
    <row r="872" ht="15.75" customHeight="1">
      <c r="A872" s="216">
        <v>18.0</v>
      </c>
      <c r="B872" s="216" t="s">
        <v>906</v>
      </c>
      <c r="C872" s="216" t="s">
        <v>871</v>
      </c>
      <c r="D872" s="255">
        <v>4250.0</v>
      </c>
    </row>
    <row r="873" ht="15.75" customHeight="1">
      <c r="A873" s="216">
        <v>19.0</v>
      </c>
      <c r="B873" s="216" t="s">
        <v>907</v>
      </c>
      <c r="C873" s="216" t="s">
        <v>871</v>
      </c>
      <c r="D873" s="255">
        <v>5625.0</v>
      </c>
    </row>
    <row r="874" ht="15.75" customHeight="1">
      <c r="A874" s="216">
        <v>20.0</v>
      </c>
      <c r="B874" s="216" t="s">
        <v>908</v>
      </c>
      <c r="C874" s="216" t="s">
        <v>871</v>
      </c>
      <c r="D874" s="255">
        <v>5625.0</v>
      </c>
    </row>
    <row r="875" ht="15.75" customHeight="1">
      <c r="A875" s="216">
        <v>21.0</v>
      </c>
      <c r="B875" s="216" t="s">
        <v>909</v>
      </c>
      <c r="C875" s="216" t="s">
        <v>871</v>
      </c>
      <c r="D875" s="255">
        <v>5625.0</v>
      </c>
    </row>
    <row r="876" ht="15.75" customHeight="1">
      <c r="A876" s="216">
        <v>22.0</v>
      </c>
      <c r="B876" s="216" t="s">
        <v>910</v>
      </c>
      <c r="C876" s="216" t="s">
        <v>517</v>
      </c>
      <c r="D876" s="255">
        <v>10625.0</v>
      </c>
    </row>
    <row r="877" ht="15.75" customHeight="1">
      <c r="A877" s="216">
        <v>23.0</v>
      </c>
      <c r="B877" s="216" t="s">
        <v>911</v>
      </c>
      <c r="C877" s="216" t="s">
        <v>874</v>
      </c>
      <c r="D877" s="255">
        <v>5625.0</v>
      </c>
    </row>
    <row r="878" ht="15.75" customHeight="1">
      <c r="A878" s="216">
        <v>24.0</v>
      </c>
      <c r="B878" s="216" t="s">
        <v>912</v>
      </c>
      <c r="C878" s="216" t="s">
        <v>517</v>
      </c>
      <c r="D878" s="255">
        <v>13750.0</v>
      </c>
    </row>
    <row r="879" ht="15.75" customHeight="1">
      <c r="A879" s="216">
        <v>25.0</v>
      </c>
      <c r="B879" s="216" t="s">
        <v>913</v>
      </c>
      <c r="C879" s="216" t="s">
        <v>517</v>
      </c>
      <c r="D879" s="255">
        <v>9375.0</v>
      </c>
    </row>
    <row r="880" ht="15.75" customHeight="1">
      <c r="A880" s="216">
        <v>26.0</v>
      </c>
      <c r="B880" s="216" t="s">
        <v>914</v>
      </c>
      <c r="C880" s="216" t="s">
        <v>874</v>
      </c>
      <c r="D880" s="255">
        <v>7500.0</v>
      </c>
    </row>
    <row r="881" ht="15.75" customHeight="1">
      <c r="A881" s="216">
        <v>27.0</v>
      </c>
      <c r="B881" s="216" t="s">
        <v>915</v>
      </c>
      <c r="C881" s="216" t="s">
        <v>878</v>
      </c>
      <c r="D881" s="255">
        <v>6875.0</v>
      </c>
    </row>
    <row r="882" ht="15.75" customHeight="1">
      <c r="A882" s="216">
        <v>28.0</v>
      </c>
      <c r="B882" s="216" t="s">
        <v>916</v>
      </c>
      <c r="C882" s="216" t="s">
        <v>882</v>
      </c>
      <c r="D882" s="255">
        <v>10125.0</v>
      </c>
    </row>
    <row r="883" ht="15.75" customHeight="1">
      <c r="A883" s="216">
        <v>29.0</v>
      </c>
      <c r="B883" s="216" t="s">
        <v>917</v>
      </c>
      <c r="C883" s="216" t="s">
        <v>874</v>
      </c>
      <c r="D883" s="255">
        <v>11250.0</v>
      </c>
    </row>
    <row r="884" ht="15.75" customHeight="1">
      <c r="A884" s="216">
        <v>30.0</v>
      </c>
      <c r="B884" s="216" t="s">
        <v>918</v>
      </c>
      <c r="C884" s="216" t="s">
        <v>884</v>
      </c>
      <c r="D884" s="255">
        <v>11250.0</v>
      </c>
    </row>
    <row r="885" ht="15.75" customHeight="1">
      <c r="A885" s="216">
        <v>31.0</v>
      </c>
      <c r="B885" s="216" t="s">
        <v>919</v>
      </c>
      <c r="C885" s="216" t="s">
        <v>884</v>
      </c>
      <c r="D885" s="255">
        <v>5000.0</v>
      </c>
    </row>
    <row r="886" ht="15.75" customHeight="1">
      <c r="A886" s="216">
        <v>32.0</v>
      </c>
      <c r="B886" s="216" t="s">
        <v>920</v>
      </c>
      <c r="C886" s="216" t="s">
        <v>884</v>
      </c>
      <c r="D886" s="255">
        <v>6250.0</v>
      </c>
    </row>
    <row r="887" ht="15.75" customHeight="1">
      <c r="A887" s="216">
        <v>33.0</v>
      </c>
      <c r="B887" s="216" t="s">
        <v>921</v>
      </c>
      <c r="C887" s="216" t="s">
        <v>871</v>
      </c>
      <c r="D887" s="255">
        <v>6625.0</v>
      </c>
    </row>
    <row r="888" ht="15.75" customHeight="1">
      <c r="A888" s="216">
        <v>34.0</v>
      </c>
      <c r="B888" s="216" t="s">
        <v>910</v>
      </c>
      <c r="C888" s="216" t="s">
        <v>882</v>
      </c>
      <c r="D888" s="255">
        <v>8375.0</v>
      </c>
    </row>
    <row r="889" ht="15.75" customHeight="1">
      <c r="A889" s="216">
        <v>35.0</v>
      </c>
      <c r="B889" s="216" t="s">
        <v>889</v>
      </c>
      <c r="C889" s="216" t="s">
        <v>442</v>
      </c>
      <c r="D889" s="255">
        <v>17500.0</v>
      </c>
    </row>
    <row r="890" ht="15.75" customHeight="1">
      <c r="A890" s="216">
        <v>36.0</v>
      </c>
      <c r="B890" s="216" t="s">
        <v>922</v>
      </c>
      <c r="C890" s="216" t="s">
        <v>442</v>
      </c>
      <c r="D890" s="255">
        <v>17500.0</v>
      </c>
    </row>
    <row r="891" ht="15.75" customHeight="1">
      <c r="A891" s="216">
        <v>37.0</v>
      </c>
      <c r="B891" s="216" t="s">
        <v>923</v>
      </c>
      <c r="C891" s="216" t="s">
        <v>442</v>
      </c>
      <c r="D891" s="255">
        <v>17500.0</v>
      </c>
    </row>
    <row r="892" ht="15.75" customHeight="1">
      <c r="A892" s="216">
        <v>38.0</v>
      </c>
      <c r="B892" s="216" t="s">
        <v>659</v>
      </c>
      <c r="C892" s="216" t="s">
        <v>517</v>
      </c>
      <c r="D892" s="255">
        <v>7500.0</v>
      </c>
    </row>
    <row r="893" ht="15.75" customHeight="1">
      <c r="A893" s="216">
        <v>39.0</v>
      </c>
      <c r="B893" s="216" t="s">
        <v>924</v>
      </c>
      <c r="C893" s="216" t="s">
        <v>878</v>
      </c>
      <c r="D893" s="255">
        <v>5625.0</v>
      </c>
    </row>
    <row r="894" ht="15.75" customHeight="1">
      <c r="A894" s="216">
        <v>40.0</v>
      </c>
      <c r="B894" s="216" t="s">
        <v>910</v>
      </c>
      <c r="C894" s="216" t="s">
        <v>874</v>
      </c>
      <c r="D894" s="255">
        <v>9500.0</v>
      </c>
    </row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>
      <c r="A900" s="281" t="s">
        <v>925</v>
      </c>
    </row>
    <row r="901" ht="15.75" customHeight="1"/>
    <row r="902" ht="15.75" customHeight="1">
      <c r="A902" s="216" t="s">
        <v>926</v>
      </c>
      <c r="B902" s="216" t="s">
        <v>927</v>
      </c>
      <c r="C902" s="216" t="s">
        <v>928</v>
      </c>
      <c r="D902" s="216" t="s">
        <v>929</v>
      </c>
    </row>
    <row r="903" ht="15.75" customHeight="1">
      <c r="A903" s="282">
        <v>21916.0</v>
      </c>
      <c r="B903" s="282">
        <v>25698.0</v>
      </c>
      <c r="C903" s="216" t="s">
        <v>930</v>
      </c>
      <c r="D903" s="283">
        <f>datedif(A903,B903,"d")</f>
        <v>3782</v>
      </c>
      <c r="F903" s="216" t="s">
        <v>931</v>
      </c>
      <c r="G903" s="282">
        <v>21916.0</v>
      </c>
    </row>
    <row r="904" ht="15.75" customHeight="1">
      <c r="A904" s="282">
        <v>21916.0</v>
      </c>
      <c r="B904" s="282">
        <v>25698.0</v>
      </c>
      <c r="C904" s="216" t="s">
        <v>783</v>
      </c>
      <c r="D904" s="283">
        <f>datedif(A904,B904,"m")</f>
        <v>124</v>
      </c>
    </row>
    <row r="905" ht="15.75" customHeight="1">
      <c r="A905" s="282">
        <v>21916.0</v>
      </c>
      <c r="B905" s="282">
        <v>25698.0</v>
      </c>
      <c r="C905" s="216" t="s">
        <v>932</v>
      </c>
      <c r="D905" s="283">
        <f>datedif(A905,B905,"y")</f>
        <v>10</v>
      </c>
      <c r="F905" s="216" t="s">
        <v>933</v>
      </c>
      <c r="G905" s="284">
        <f>datedif(G903,today(),"y")</f>
        <v>64</v>
      </c>
    </row>
    <row r="906" ht="15.75" customHeight="1">
      <c r="A906" s="282">
        <v>21916.0</v>
      </c>
      <c r="B906" s="282">
        <v>25698.0</v>
      </c>
      <c r="C906" s="216" t="s">
        <v>934</v>
      </c>
      <c r="D906" s="283">
        <f>datedif(A906,B906,"yd")</f>
        <v>130</v>
      </c>
      <c r="F906" s="216" t="s">
        <v>935</v>
      </c>
      <c r="G906" s="284">
        <f>datedif(G903,today(),"ym")</f>
        <v>10</v>
      </c>
    </row>
    <row r="907" ht="15.75" customHeight="1">
      <c r="A907" s="282">
        <v>21916.0</v>
      </c>
      <c r="B907" s="282">
        <v>25698.0</v>
      </c>
      <c r="C907" s="216" t="s">
        <v>936</v>
      </c>
      <c r="D907" s="283">
        <f>datedif(A907,B907,"ym")</f>
        <v>4</v>
      </c>
      <c r="F907" s="216" t="s">
        <v>937</v>
      </c>
      <c r="G907" s="284">
        <f>DATEDIF(G903,TODAY(),"md")</f>
        <v>4</v>
      </c>
    </row>
    <row r="908" ht="15.75" customHeight="1">
      <c r="A908" s="282">
        <v>21916.0</v>
      </c>
      <c r="B908" s="282">
        <v>25698.0</v>
      </c>
      <c r="C908" s="216" t="s">
        <v>938</v>
      </c>
      <c r="D908" s="283">
        <f>datedif(A908,B908,"md")</f>
        <v>9</v>
      </c>
    </row>
    <row r="909" ht="15.75" customHeight="1">
      <c r="A909" s="282"/>
    </row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>
      <c r="A915" s="285" t="s">
        <v>939</v>
      </c>
    </row>
    <row r="916" ht="15.75" customHeight="1"/>
    <row r="917" ht="15.75" customHeight="1">
      <c r="A917" s="286" t="s">
        <v>940</v>
      </c>
      <c r="B917" s="286" t="s">
        <v>941</v>
      </c>
      <c r="C917" s="286" t="s">
        <v>942</v>
      </c>
    </row>
    <row r="918" ht="15.75" customHeight="1">
      <c r="A918" s="287" t="s">
        <v>943</v>
      </c>
      <c r="B918" s="216" t="s">
        <v>944</v>
      </c>
      <c r="C918" s="87">
        <f t="shared" ref="C918:C921" si="30">find(B918,A918)</f>
        <v>2</v>
      </c>
    </row>
    <row r="919" ht="15.75" customHeight="1">
      <c r="A919" s="287" t="s">
        <v>943</v>
      </c>
      <c r="B919" s="216" t="s">
        <v>904</v>
      </c>
      <c r="C919" s="87">
        <f t="shared" si="30"/>
        <v>1</v>
      </c>
    </row>
    <row r="920" ht="15.75" customHeight="1">
      <c r="A920" s="287" t="s">
        <v>943</v>
      </c>
      <c r="B920" s="216" t="s">
        <v>945</v>
      </c>
      <c r="C920" s="87">
        <f t="shared" si="30"/>
        <v>5</v>
      </c>
    </row>
    <row r="921" ht="15.75" customHeight="1">
      <c r="A921" s="287" t="s">
        <v>946</v>
      </c>
      <c r="B921" s="216" t="s">
        <v>947</v>
      </c>
      <c r="C921" s="87">
        <f t="shared" si="30"/>
        <v>3</v>
      </c>
    </row>
    <row r="922" ht="15.75" customHeight="1">
      <c r="A922" s="287" t="s">
        <v>946</v>
      </c>
      <c r="B922" s="216" t="s">
        <v>947</v>
      </c>
      <c r="C922" s="87">
        <f>find(B922,A922,6)</f>
        <v>11</v>
      </c>
    </row>
    <row r="923" ht="15.75" customHeight="1">
      <c r="A923" s="287" t="s">
        <v>946</v>
      </c>
      <c r="B923" s="216" t="s">
        <v>948</v>
      </c>
      <c r="C923" s="87" t="str">
        <f>find(B923,A923)</f>
        <v>#VALUE!</v>
      </c>
    </row>
    <row r="924" ht="15.75" customHeight="1"/>
    <row r="925" ht="15.75" customHeight="1"/>
    <row r="926" ht="15.75" customHeight="1">
      <c r="A926" s="216" t="s">
        <v>949</v>
      </c>
      <c r="C926" s="216" t="s">
        <v>950</v>
      </c>
      <c r="D926" s="87">
        <f>large(A927:A931,1)</f>
        <v>800</v>
      </c>
    </row>
    <row r="927" ht="15.75" customHeight="1">
      <c r="A927" s="288">
        <v>120.0</v>
      </c>
      <c r="C927" s="216" t="s">
        <v>951</v>
      </c>
      <c r="D927" s="87">
        <f>large(A927:A931,2)</f>
        <v>250</v>
      </c>
    </row>
    <row r="928" ht="15.75" customHeight="1">
      <c r="A928" s="288">
        <v>800.0</v>
      </c>
      <c r="C928" s="216" t="s">
        <v>952</v>
      </c>
      <c r="D928" s="87">
        <f>large(A928:A932,3)</f>
        <v>120</v>
      </c>
    </row>
    <row r="929" ht="15.75" customHeight="1">
      <c r="A929" s="288">
        <v>100.0</v>
      </c>
      <c r="C929" s="216" t="s">
        <v>953</v>
      </c>
      <c r="D929" s="87">
        <f>large(A927:A931,4)</f>
        <v>120</v>
      </c>
    </row>
    <row r="930" ht="15.75" customHeight="1">
      <c r="A930" s="288">
        <v>120.0</v>
      </c>
      <c r="C930" s="216" t="s">
        <v>954</v>
      </c>
      <c r="D930" s="87">
        <f>large(A927:A931,5)</f>
        <v>100</v>
      </c>
    </row>
    <row r="931" ht="15.75" customHeight="1">
      <c r="A931" s="288">
        <v>250.0</v>
      </c>
    </row>
    <row r="932" ht="15.75" customHeight="1"/>
    <row r="933" ht="15.75" customHeight="1"/>
    <row r="934" ht="15.75" customHeight="1"/>
    <row r="935" ht="15.75" customHeight="1">
      <c r="A935" s="216" t="s">
        <v>517</v>
      </c>
      <c r="B935" s="216" t="s">
        <v>496</v>
      </c>
      <c r="C935" s="216" t="s">
        <v>955</v>
      </c>
      <c r="D935" s="216" t="s">
        <v>498</v>
      </c>
    </row>
    <row r="936" ht="15.75" customHeight="1">
      <c r="A936" s="216" t="s">
        <v>588</v>
      </c>
      <c r="B936" s="289">
        <v>5000.0</v>
      </c>
      <c r="C936" s="289">
        <v>6000.0</v>
      </c>
      <c r="D936" s="289">
        <v>4500.0</v>
      </c>
    </row>
    <row r="937" ht="15.75" customHeight="1">
      <c r="A937" s="216" t="s">
        <v>589</v>
      </c>
      <c r="B937" s="289">
        <v>5800.0</v>
      </c>
      <c r="C937" s="289">
        <v>7000.0</v>
      </c>
      <c r="D937" s="289">
        <v>3000.0</v>
      </c>
    </row>
    <row r="938" ht="15.75" customHeight="1">
      <c r="A938" s="216" t="s">
        <v>139</v>
      </c>
      <c r="B938" s="289">
        <v>3500.0</v>
      </c>
      <c r="C938" s="289">
        <v>2000.0</v>
      </c>
      <c r="D938" s="289">
        <v>10000.0</v>
      </c>
    </row>
    <row r="939" ht="15.75" customHeight="1">
      <c r="A939" s="216" t="s">
        <v>590</v>
      </c>
      <c r="B939" s="289">
        <v>12000.0</v>
      </c>
      <c r="C939" s="289">
        <v>4000.0</v>
      </c>
      <c r="D939" s="289">
        <v>6000.0</v>
      </c>
    </row>
    <row r="940" ht="15.75" customHeight="1"/>
    <row r="941" ht="15.75" customHeight="1"/>
    <row r="942" ht="15.75" customHeight="1">
      <c r="B942" s="216" t="s">
        <v>950</v>
      </c>
      <c r="C942" s="283">
        <f>Large(B936:E939,1)</f>
        <v>12000</v>
      </c>
      <c r="E942" s="216" t="s">
        <v>956</v>
      </c>
      <c r="F942" s="290">
        <f>max(B936:D939)</f>
        <v>12000</v>
      </c>
    </row>
    <row r="943" ht="15.75" customHeight="1">
      <c r="B943" s="216" t="s">
        <v>951</v>
      </c>
      <c r="C943" s="283">
        <f>large(B936:D939,2)</f>
        <v>10000</v>
      </c>
      <c r="E943" s="216" t="s">
        <v>957</v>
      </c>
      <c r="F943" s="290">
        <f>min(B936:D939)</f>
        <v>2000</v>
      </c>
    </row>
    <row r="944" ht="15.75" customHeight="1">
      <c r="B944" s="216" t="s">
        <v>952</v>
      </c>
      <c r="C944" s="283">
        <f>large(B936:D939,3)</f>
        <v>7000</v>
      </c>
    </row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>
      <c r="A951" s="291" t="s">
        <v>958</v>
      </c>
    </row>
    <row r="952" ht="15.75" customHeight="1"/>
    <row r="953" ht="15.75" customHeight="1">
      <c r="A953" s="216" t="s">
        <v>940</v>
      </c>
      <c r="B953" s="216" t="s">
        <v>959</v>
      </c>
      <c r="C953" s="216" t="s">
        <v>960</v>
      </c>
    </row>
    <row r="954" ht="15.75" customHeight="1">
      <c r="A954" s="216" t="s">
        <v>961</v>
      </c>
      <c r="B954" s="216">
        <v>1.0</v>
      </c>
      <c r="C954" s="87" t="str">
        <f t="shared" ref="C954:C958" si="31">left(A954,B954)</f>
        <v>A</v>
      </c>
    </row>
    <row r="955" ht="15.75" customHeight="1">
      <c r="A955" s="216" t="s">
        <v>961</v>
      </c>
      <c r="B955" s="216">
        <v>2.0</v>
      </c>
      <c r="C955" s="87" t="str">
        <f t="shared" si="31"/>
        <v>Al</v>
      </c>
      <c r="D955" s="292" t="s">
        <v>962</v>
      </c>
    </row>
    <row r="956" ht="15.75" customHeight="1">
      <c r="A956" s="216" t="s">
        <v>961</v>
      </c>
      <c r="B956" s="216">
        <v>3.0</v>
      </c>
      <c r="C956" s="87" t="str">
        <f t="shared" si="31"/>
        <v>Ala</v>
      </c>
    </row>
    <row r="957" ht="15.75" customHeight="1">
      <c r="A957" s="216" t="s">
        <v>963</v>
      </c>
      <c r="B957" s="216">
        <v>6.0</v>
      </c>
      <c r="C957" s="87" t="str">
        <f t="shared" si="31"/>
        <v>Cardif</v>
      </c>
    </row>
    <row r="958" ht="15.75" customHeight="1">
      <c r="A958" s="216" t="s">
        <v>964</v>
      </c>
      <c r="B958" s="216">
        <v>4.0</v>
      </c>
      <c r="C958" s="87" t="str">
        <f t="shared" si="31"/>
        <v>ABC1</v>
      </c>
    </row>
    <row r="959" ht="15.75" customHeight="1"/>
    <row r="960" ht="15.75" customHeight="1"/>
    <row r="961" ht="15.75" customHeight="1">
      <c r="A961" s="216" t="s">
        <v>411</v>
      </c>
      <c r="B961" s="216" t="s">
        <v>382</v>
      </c>
    </row>
    <row r="962" ht="15.75" customHeight="1">
      <c r="A962" s="216" t="s">
        <v>965</v>
      </c>
      <c r="B962" s="87" t="str">
        <f>left(A962,find("",A962)-1)</f>
        <v/>
      </c>
      <c r="D962" s="292" t="s">
        <v>966</v>
      </c>
    </row>
    <row r="963" ht="15.75" customHeight="1">
      <c r="A963" s="216" t="s">
        <v>967</v>
      </c>
    </row>
    <row r="964" ht="15.75" customHeight="1">
      <c r="A964" s="216" t="s">
        <v>968</v>
      </c>
    </row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>
      <c r="A971" s="216" t="s">
        <v>940</v>
      </c>
      <c r="B971" s="216" t="s">
        <v>969</v>
      </c>
    </row>
    <row r="972" ht="15.75" customHeight="1">
      <c r="A972" s="216" t="s">
        <v>961</v>
      </c>
      <c r="D972" s="292" t="s">
        <v>970</v>
      </c>
    </row>
    <row r="973" ht="15.75" customHeight="1">
      <c r="A973" s="216" t="s">
        <v>967</v>
      </c>
    </row>
    <row r="974" ht="15.75" customHeight="1">
      <c r="A974" s="216" t="s">
        <v>971</v>
      </c>
    </row>
    <row r="975" ht="15.75" customHeight="1">
      <c r="A975" s="216" t="s">
        <v>963</v>
      </c>
    </row>
    <row r="976" ht="15.75" customHeight="1">
      <c r="A976" s="216" t="s">
        <v>964</v>
      </c>
    </row>
    <row r="977" ht="15.75" customHeight="1"/>
    <row r="978" ht="15.75" customHeight="1"/>
    <row r="979" ht="15.75" customHeight="1">
      <c r="A979" s="216" t="s">
        <v>972</v>
      </c>
      <c r="B979" s="216" t="s">
        <v>973</v>
      </c>
    </row>
    <row r="980" ht="15.75" customHeight="1">
      <c r="A980" s="216" t="s">
        <v>974</v>
      </c>
      <c r="B980" s="293" t="str">
        <f t="shared" ref="B980:B984" si="32">LOWER(A980)</f>
        <v>alan jones</v>
      </c>
    </row>
    <row r="981" ht="15.75" customHeight="1">
      <c r="A981" s="216" t="s">
        <v>975</v>
      </c>
      <c r="B981" s="293" t="str">
        <f t="shared" si="32"/>
        <v>bob smith</v>
      </c>
      <c r="D981" s="292" t="s">
        <v>976</v>
      </c>
    </row>
    <row r="982" ht="15.75" customHeight="1">
      <c r="A982" s="216" t="s">
        <v>977</v>
      </c>
      <c r="B982" s="293" t="str">
        <f t="shared" si="32"/>
        <v>carol williams</v>
      </c>
    </row>
    <row r="983" ht="15.75" customHeight="1">
      <c r="A983" s="216" t="s">
        <v>978</v>
      </c>
      <c r="B983" s="293" t="str">
        <f t="shared" si="32"/>
        <v>cardiff</v>
      </c>
    </row>
    <row r="984" ht="15.75" customHeight="1">
      <c r="A984" s="216" t="s">
        <v>979</v>
      </c>
      <c r="B984" s="293" t="str">
        <f t="shared" si="32"/>
        <v>ab123</v>
      </c>
    </row>
    <row r="985" ht="15.75" customHeight="1"/>
    <row r="986" ht="15.75" customHeight="1"/>
    <row r="987" ht="15.75" customHeight="1"/>
    <row r="988" ht="15.75" customHeight="1"/>
    <row r="989" ht="15.75" customHeight="1">
      <c r="A989" s="216" t="s">
        <v>413</v>
      </c>
      <c r="B989" s="216" t="s">
        <v>980</v>
      </c>
      <c r="C989" s="216" t="s">
        <v>981</v>
      </c>
    </row>
    <row r="990" ht="15.75" customHeight="1">
      <c r="A990" s="282">
        <v>35855.0</v>
      </c>
      <c r="B990" s="282">
        <v>35861.0</v>
      </c>
      <c r="C990" s="294">
        <f t="shared" ref="C990:C991" si="33">networkdays(A990,B990)</f>
        <v>5</v>
      </c>
      <c r="D990" s="292" t="s">
        <v>982</v>
      </c>
    </row>
    <row r="991" ht="15.75" customHeight="1">
      <c r="A991" s="295">
        <v>35820.0</v>
      </c>
      <c r="B991" s="295">
        <v>36006.0</v>
      </c>
      <c r="C991" s="294">
        <f t="shared" si="33"/>
        <v>134</v>
      </c>
    </row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>
      <c r="A997" s="296" t="s">
        <v>983</v>
      </c>
    </row>
    <row r="998" ht="15.75" customHeight="1"/>
    <row r="999" ht="15.75" customHeight="1"/>
    <row r="1000" ht="15.75" customHeight="1">
      <c r="A1000" s="216" t="s">
        <v>36</v>
      </c>
      <c r="B1000" s="216" t="s">
        <v>984</v>
      </c>
      <c r="C1000" s="216" t="s">
        <v>313</v>
      </c>
    </row>
    <row r="1001" ht="15.75" customHeight="1">
      <c r="A1001" s="216">
        <v>3.0</v>
      </c>
      <c r="B1001" s="216">
        <v>2.0</v>
      </c>
      <c r="C1001" s="297">
        <f t="shared" ref="C1001:C1004" si="34">POWER(A1001,B1001)</f>
        <v>9</v>
      </c>
    </row>
    <row r="1002" ht="15.75" customHeight="1">
      <c r="A1002" s="216">
        <v>3.0</v>
      </c>
      <c r="B1002" s="216">
        <v>4.0</v>
      </c>
      <c r="C1002" s="297">
        <f t="shared" si="34"/>
        <v>81</v>
      </c>
      <c r="D1002" s="243" t="s">
        <v>985</v>
      </c>
    </row>
    <row r="1003" ht="15.75" customHeight="1">
      <c r="A1003" s="216">
        <v>5.0</v>
      </c>
      <c r="B1003" s="216">
        <v>2.0</v>
      </c>
      <c r="C1003" s="297">
        <f t="shared" si="34"/>
        <v>25</v>
      </c>
    </row>
    <row r="1004" ht="15.75" customHeight="1">
      <c r="A1004" s="216">
        <v>5.0</v>
      </c>
      <c r="B1004" s="216">
        <v>4.0</v>
      </c>
      <c r="C1004" s="297">
        <f t="shared" si="34"/>
        <v>625</v>
      </c>
    </row>
    <row r="1005" ht="15.75" customHeight="1"/>
    <row r="1006" ht="15.75" customHeight="1"/>
    <row r="1007" ht="15.75" customHeight="1">
      <c r="A1007" s="298" t="s">
        <v>986</v>
      </c>
      <c r="C1007" s="256" t="s">
        <v>987</v>
      </c>
    </row>
    <row r="1008" ht="15.75" customHeight="1">
      <c r="A1008" s="216">
        <v>2.0</v>
      </c>
      <c r="B1008" s="216">
        <v>3.0</v>
      </c>
      <c r="C1008" s="299">
        <f t="shared" ref="C1008:C1010" si="35">PRODUCT(A1008,B1008)</f>
        <v>6</v>
      </c>
    </row>
    <row r="1009" ht="15.75" customHeight="1">
      <c r="A1009" s="216">
        <v>5.0</v>
      </c>
      <c r="B1009" s="216">
        <v>10.0</v>
      </c>
      <c r="C1009" s="299">
        <f t="shared" si="35"/>
        <v>50</v>
      </c>
      <c r="D1009" s="243" t="s">
        <v>988</v>
      </c>
    </row>
    <row r="1010" ht="15.75" customHeight="1">
      <c r="A1010" s="216">
        <v>3.0</v>
      </c>
      <c r="B1010" s="216">
        <v>7.0</v>
      </c>
      <c r="C1010" s="299">
        <f t="shared" si="35"/>
        <v>21</v>
      </c>
    </row>
    <row r="1011" ht="15.75" customHeight="1">
      <c r="C1011" s="299">
        <f>PRODUCT(C1008:C1010)</f>
        <v>6300</v>
      </c>
    </row>
    <row r="1012" ht="15.75" customHeight="1"/>
    <row r="1013" ht="15.75" customHeight="1">
      <c r="A1013" s="216" t="s">
        <v>989</v>
      </c>
      <c r="B1013" s="216" t="s">
        <v>990</v>
      </c>
    </row>
    <row r="1014" ht="15.75" customHeight="1">
      <c r="A1014" s="216" t="s">
        <v>991</v>
      </c>
    </row>
    <row r="1015" ht="15.75" customHeight="1">
      <c r="A1015" s="216" t="s">
        <v>992</v>
      </c>
    </row>
    <row r="1016" ht="15.75" customHeight="1">
      <c r="A1016" s="216" t="s">
        <v>993</v>
      </c>
      <c r="D1016" s="292" t="s">
        <v>994</v>
      </c>
    </row>
    <row r="1017" ht="15.75" customHeight="1">
      <c r="A1017" s="216" t="s">
        <v>995</v>
      </c>
    </row>
    <row r="1018" ht="15.75" customHeight="1">
      <c r="A1018" s="216" t="s">
        <v>964</v>
      </c>
    </row>
    <row r="1019" ht="15.75" customHeight="1"/>
    <row r="1020" ht="15.75" customHeight="1"/>
    <row r="1021" ht="15.75" customHeight="1">
      <c r="A1021" s="292" t="s">
        <v>996</v>
      </c>
    </row>
    <row r="1022" ht="15.75" customHeight="1">
      <c r="A1022" s="256" t="s">
        <v>997</v>
      </c>
      <c r="B1022" s="256" t="s">
        <v>998</v>
      </c>
      <c r="C1022" s="256" t="s">
        <v>999</v>
      </c>
    </row>
    <row r="1023" ht="15.75" customHeight="1">
      <c r="A1023" s="216" t="s">
        <v>0</v>
      </c>
      <c r="B1023" s="216">
        <v>3.0</v>
      </c>
      <c r="C1023" s="300" t="str">
        <f t="shared" ref="C1023:C1026" si="36">REPT(A1023,B1023)</f>
        <v>AAA</v>
      </c>
    </row>
    <row r="1024" ht="15.75" customHeight="1">
      <c r="A1024" s="216" t="s">
        <v>1000</v>
      </c>
      <c r="B1024" s="216">
        <v>3.0</v>
      </c>
      <c r="C1024" s="300" t="str">
        <f t="shared" si="36"/>
        <v>ABABAB</v>
      </c>
    </row>
    <row r="1025" ht="15.75" customHeight="1">
      <c r="A1025" s="216" t="s">
        <v>1001</v>
      </c>
      <c r="B1025" s="216">
        <v>10.0</v>
      </c>
      <c r="C1025" s="300" t="str">
        <f t="shared" si="36"/>
        <v>----------</v>
      </c>
    </row>
    <row r="1026" ht="15.75" customHeight="1">
      <c r="A1026" s="216" t="s">
        <v>1002</v>
      </c>
      <c r="B1026" s="216">
        <v>10.0</v>
      </c>
      <c r="C1026" s="300" t="str">
        <f t="shared" si="36"/>
        <v>||||||||||</v>
      </c>
    </row>
    <row r="1027" ht="15.75" customHeight="1"/>
    <row r="1028" ht="15.75" customHeight="1"/>
    <row r="1029" ht="15.75" customHeight="1"/>
    <row r="1030" ht="15.75" customHeight="1"/>
    <row r="1031" ht="15.75" customHeight="1">
      <c r="A1031" s="301" t="s">
        <v>1003</v>
      </c>
    </row>
    <row r="1032" ht="15.75" customHeight="1"/>
    <row r="1033" ht="15.75" customHeight="1">
      <c r="A1033" s="302" t="s">
        <v>309</v>
      </c>
      <c r="B1033" s="302" t="s">
        <v>107</v>
      </c>
      <c r="C1033" s="302" t="s">
        <v>108</v>
      </c>
      <c r="D1033" s="302" t="s">
        <v>109</v>
      </c>
      <c r="E1033" s="302" t="s">
        <v>310</v>
      </c>
      <c r="F1033" s="302" t="s">
        <v>112</v>
      </c>
      <c r="G1033" s="302" t="s">
        <v>311</v>
      </c>
      <c r="H1033" s="302" t="s">
        <v>153</v>
      </c>
      <c r="I1033" s="302" t="s">
        <v>312</v>
      </c>
      <c r="J1033" s="302" t="s">
        <v>313</v>
      </c>
      <c r="K1033" s="302" t="s">
        <v>1004</v>
      </c>
    </row>
    <row r="1034" ht="15.75" customHeight="1">
      <c r="A1034" s="135" t="s">
        <v>314</v>
      </c>
      <c r="B1034" s="149">
        <v>2000.0</v>
      </c>
      <c r="C1034" s="150">
        <v>1500.0</v>
      </c>
      <c r="D1034" s="151">
        <v>300.0</v>
      </c>
      <c r="E1034" s="152">
        <v>1400.0</v>
      </c>
      <c r="F1034" s="151">
        <v>1000.0</v>
      </c>
      <c r="G1034" s="132">
        <v>1400.0</v>
      </c>
      <c r="H1034" s="153">
        <f t="shared" ref="H1034:H1044" si="37">SUM(B1034:G1034)</f>
        <v>7600</v>
      </c>
      <c r="I1034" s="154">
        <v>10000.0</v>
      </c>
      <c r="J1034" s="24" t="str">
        <f t="shared" ref="J1034:J1044" si="38">IF(H1034&gt;I1034,"ACHIVED",IF(H1034&lt;I1034,"NOT ACHIVED"))</f>
        <v>NOT ACHIVED</v>
      </c>
    </row>
    <row r="1035" ht="15.75" customHeight="1">
      <c r="A1035" s="135" t="s">
        <v>300</v>
      </c>
      <c r="B1035" s="149">
        <v>5000.0</v>
      </c>
      <c r="C1035" s="150">
        <v>1200.0</v>
      </c>
      <c r="D1035" s="151">
        <v>500.0</v>
      </c>
      <c r="E1035" s="152">
        <v>1200.0</v>
      </c>
      <c r="F1035" s="151">
        <v>1200.0</v>
      </c>
      <c r="G1035" s="132">
        <v>2800.0</v>
      </c>
      <c r="H1035" s="153">
        <f t="shared" si="37"/>
        <v>11900</v>
      </c>
      <c r="I1035" s="154">
        <v>12000.0</v>
      </c>
      <c r="J1035" s="24" t="str">
        <f t="shared" si="38"/>
        <v>NOT ACHIVED</v>
      </c>
    </row>
    <row r="1036" ht="15.75" customHeight="1">
      <c r="A1036" s="135" t="s">
        <v>298</v>
      </c>
      <c r="B1036" s="149">
        <v>3000.0</v>
      </c>
      <c r="C1036" s="150">
        <v>800.0</v>
      </c>
      <c r="D1036" s="151">
        <v>1200.0</v>
      </c>
      <c r="E1036" s="152">
        <v>3000.0</v>
      </c>
      <c r="F1036" s="151">
        <v>1500.0</v>
      </c>
      <c r="G1036" s="132">
        <v>3500.0</v>
      </c>
      <c r="H1036" s="153">
        <f t="shared" si="37"/>
        <v>13000</v>
      </c>
      <c r="I1036" s="154">
        <v>18000.0</v>
      </c>
      <c r="J1036" s="24" t="str">
        <f t="shared" si="38"/>
        <v>NOT ACHIVED</v>
      </c>
    </row>
    <row r="1037" ht="15.75" customHeight="1">
      <c r="A1037" s="135" t="s">
        <v>238</v>
      </c>
      <c r="B1037" s="149">
        <v>1000.0</v>
      </c>
      <c r="C1037" s="150">
        <v>900.0</v>
      </c>
      <c r="D1037" s="151">
        <v>1800.0</v>
      </c>
      <c r="E1037" s="152">
        <v>5000.0</v>
      </c>
      <c r="F1037" s="151">
        <v>1400.0</v>
      </c>
      <c r="G1037" s="132">
        <v>1200.0</v>
      </c>
      <c r="H1037" s="153">
        <f t="shared" si="37"/>
        <v>11300</v>
      </c>
      <c r="I1037" s="154">
        <v>10000.0</v>
      </c>
      <c r="J1037" s="132" t="str">
        <f t="shared" si="38"/>
        <v>ACHIVED</v>
      </c>
    </row>
    <row r="1038" ht="15.75" customHeight="1">
      <c r="A1038" s="135" t="s">
        <v>231</v>
      </c>
      <c r="B1038" s="149">
        <v>500.0</v>
      </c>
      <c r="C1038" s="150">
        <v>1000.0</v>
      </c>
      <c r="D1038" s="151">
        <v>2300.0</v>
      </c>
      <c r="E1038" s="152">
        <v>8000.0</v>
      </c>
      <c r="F1038" s="151">
        <v>1700.0</v>
      </c>
      <c r="G1038" s="132">
        <v>1400.0</v>
      </c>
      <c r="H1038" s="153">
        <f t="shared" si="37"/>
        <v>14900</v>
      </c>
      <c r="I1038" s="154">
        <v>12000.0</v>
      </c>
      <c r="J1038" s="132" t="str">
        <f t="shared" si="38"/>
        <v>ACHIVED</v>
      </c>
    </row>
    <row r="1039" ht="15.75" customHeight="1">
      <c r="A1039" s="135" t="s">
        <v>229</v>
      </c>
      <c r="B1039" s="149">
        <v>800.0</v>
      </c>
      <c r="C1039" s="150">
        <v>500.0</v>
      </c>
      <c r="D1039" s="151">
        <v>2400.0</v>
      </c>
      <c r="E1039" s="152">
        <v>1900.0</v>
      </c>
      <c r="F1039" s="151">
        <v>1800.0</v>
      </c>
      <c r="G1039" s="132">
        <v>1800.0</v>
      </c>
      <c r="H1039" s="153">
        <f t="shared" si="37"/>
        <v>9200</v>
      </c>
      <c r="I1039" s="154">
        <v>10000.0</v>
      </c>
      <c r="J1039" s="24" t="str">
        <f t="shared" si="38"/>
        <v>NOT ACHIVED</v>
      </c>
    </row>
    <row r="1040" ht="15.75" customHeight="1">
      <c r="A1040" s="135" t="s">
        <v>322</v>
      </c>
      <c r="B1040" s="149">
        <v>1200.0</v>
      </c>
      <c r="C1040" s="150">
        <v>1400.0</v>
      </c>
      <c r="D1040" s="151">
        <v>1500.0</v>
      </c>
      <c r="E1040" s="152">
        <v>700.0</v>
      </c>
      <c r="F1040" s="151">
        <v>2500.0</v>
      </c>
      <c r="G1040" s="132">
        <v>7000.0</v>
      </c>
      <c r="H1040" s="153">
        <f t="shared" si="37"/>
        <v>14300</v>
      </c>
      <c r="I1040" s="154">
        <v>12000.0</v>
      </c>
      <c r="J1040" s="132" t="str">
        <f t="shared" si="38"/>
        <v>ACHIVED</v>
      </c>
    </row>
    <row r="1041" ht="15.75" customHeight="1">
      <c r="A1041" s="135" t="s">
        <v>324</v>
      </c>
      <c r="B1041" s="149">
        <v>1500.0</v>
      </c>
      <c r="C1041" s="150">
        <v>1800.0</v>
      </c>
      <c r="D1041" s="151">
        <v>1800.0</v>
      </c>
      <c r="E1041" s="152">
        <v>1800.0</v>
      </c>
      <c r="F1041" s="151">
        <v>300.0</v>
      </c>
      <c r="G1041" s="132">
        <v>1500.0</v>
      </c>
      <c r="H1041" s="153">
        <f t="shared" si="37"/>
        <v>8700</v>
      </c>
      <c r="I1041" s="154">
        <v>10000.0</v>
      </c>
      <c r="J1041" s="24" t="str">
        <f t="shared" si="38"/>
        <v>NOT ACHIVED</v>
      </c>
    </row>
    <row r="1042" ht="15.75" customHeight="1">
      <c r="A1042" s="135" t="s">
        <v>325</v>
      </c>
      <c r="B1042" s="149">
        <v>1800.0</v>
      </c>
      <c r="C1042" s="150">
        <v>2500.0</v>
      </c>
      <c r="D1042" s="151">
        <v>1700.0</v>
      </c>
      <c r="E1042" s="152">
        <v>1500.0</v>
      </c>
      <c r="F1042" s="151">
        <v>2800.0</v>
      </c>
      <c r="G1042" s="132">
        <v>1800.0</v>
      </c>
      <c r="H1042" s="153">
        <f t="shared" si="37"/>
        <v>12100</v>
      </c>
      <c r="I1042" s="154">
        <v>12000.0</v>
      </c>
      <c r="J1042" s="132" t="str">
        <f t="shared" si="38"/>
        <v>ACHIVED</v>
      </c>
    </row>
    <row r="1043" ht="15.75" customHeight="1">
      <c r="A1043" s="135" t="s">
        <v>327</v>
      </c>
      <c r="B1043" s="149">
        <v>200.0</v>
      </c>
      <c r="C1043" s="150">
        <v>3000.0</v>
      </c>
      <c r="D1043" s="151">
        <v>1900.0</v>
      </c>
      <c r="E1043" s="152">
        <v>1200.0</v>
      </c>
      <c r="F1043" s="151">
        <v>1500.0</v>
      </c>
      <c r="G1043" s="132">
        <v>3000.0</v>
      </c>
      <c r="H1043" s="153">
        <f t="shared" si="37"/>
        <v>10800</v>
      </c>
      <c r="I1043" s="154">
        <v>10000.0</v>
      </c>
      <c r="J1043" s="132" t="str">
        <f t="shared" si="38"/>
        <v>ACHIVED</v>
      </c>
    </row>
    <row r="1044" ht="15.75" customHeight="1">
      <c r="A1044" s="135" t="s">
        <v>328</v>
      </c>
      <c r="B1044" s="149">
        <v>1600.0</v>
      </c>
      <c r="C1044" s="150">
        <v>1200.0</v>
      </c>
      <c r="D1044" s="151">
        <v>2000.0</v>
      </c>
      <c r="E1044" s="152">
        <v>800.0</v>
      </c>
      <c r="F1044" s="151">
        <v>1700.0</v>
      </c>
      <c r="G1044" s="132">
        <v>800.0</v>
      </c>
      <c r="H1044" s="153">
        <f t="shared" si="37"/>
        <v>8100</v>
      </c>
      <c r="I1044" s="154">
        <v>10000.0</v>
      </c>
      <c r="J1044" s="24" t="str">
        <f t="shared" si="38"/>
        <v>NOT ACHIVED</v>
      </c>
    </row>
    <row r="1045" ht="15.75" customHeight="1"/>
    <row r="1046" ht="15.75" customHeight="1">
      <c r="A1046" s="216" t="s">
        <v>1005</v>
      </c>
    </row>
    <row r="1047" ht="15.75" customHeight="1">
      <c r="A1047" s="87">
        <f>COUNTA(A1034:A1044)</f>
        <v>11</v>
      </c>
    </row>
    <row r="1048" ht="15.75" customHeight="1">
      <c r="A1048" s="216" t="s">
        <v>1006</v>
      </c>
      <c r="B1048" s="216" t="s">
        <v>312</v>
      </c>
      <c r="C1048" s="216" t="s">
        <v>313</v>
      </c>
    </row>
    <row r="1049" ht="15.75" customHeight="1">
      <c r="A1049" s="216" t="s">
        <v>322</v>
      </c>
    </row>
    <row r="1050" ht="15.75" customHeight="1"/>
    <row r="1051" ht="15.75" customHeight="1">
      <c r="A1051" s="216" t="s">
        <v>1007</v>
      </c>
    </row>
    <row r="1052" ht="15.75" customHeight="1"/>
    <row r="1053" ht="15.75" customHeight="1"/>
    <row r="1054" ht="15.75" customHeight="1">
      <c r="A1054" s="216" t="s">
        <v>1008</v>
      </c>
    </row>
    <row r="1055" ht="15.75" customHeight="1"/>
    <row r="1056" ht="15.75" customHeight="1"/>
    <row r="1057" ht="15.75" customHeight="1">
      <c r="A1057" s="216" t="s">
        <v>1009</v>
      </c>
    </row>
    <row r="1058" ht="15.75" customHeight="1"/>
    <row r="1059" ht="15.75" customHeight="1"/>
    <row r="1060" ht="15.75" customHeight="1"/>
    <row r="1061" ht="15.75" customHeight="1">
      <c r="A1061" s="216" t="s">
        <v>1010</v>
      </c>
    </row>
    <row r="1062" ht="15.75" customHeight="1"/>
    <row r="1063" ht="15.75" customHeight="1"/>
    <row r="1064" ht="15.75" customHeight="1">
      <c r="A1064" s="216" t="s">
        <v>1011</v>
      </c>
    </row>
    <row r="1065" ht="15.75" customHeight="1"/>
    <row r="1066" ht="15.75" customHeight="1"/>
    <row r="1067" ht="15.75" customHeight="1"/>
    <row r="1068" ht="15.75" customHeight="1">
      <c r="A1068" s="216" t="s">
        <v>1012</v>
      </c>
    </row>
    <row r="1069" ht="15.75" customHeight="1"/>
    <row r="1070" ht="15.75" customHeight="1"/>
    <row r="1071" ht="15.75" customHeight="1">
      <c r="A1071" s="303" t="s">
        <v>1013</v>
      </c>
    </row>
    <row r="1072" ht="15.75" customHeight="1"/>
    <row r="1073" ht="15.75" customHeight="1">
      <c r="A1073" s="302" t="s">
        <v>309</v>
      </c>
      <c r="B1073" s="302" t="s">
        <v>107</v>
      </c>
      <c r="C1073" s="302" t="s">
        <v>108</v>
      </c>
      <c r="D1073" s="302" t="s">
        <v>109</v>
      </c>
      <c r="E1073" s="302" t="s">
        <v>310</v>
      </c>
      <c r="F1073" s="302" t="s">
        <v>112</v>
      </c>
      <c r="G1073" s="302" t="s">
        <v>311</v>
      </c>
      <c r="H1073" s="302" t="s">
        <v>153</v>
      </c>
      <c r="I1073" s="302" t="s">
        <v>312</v>
      </c>
      <c r="J1073" s="302" t="s">
        <v>313</v>
      </c>
    </row>
    <row r="1074" ht="15.75" customHeight="1">
      <c r="A1074" s="135" t="s">
        <v>314</v>
      </c>
      <c r="B1074" s="149">
        <v>2000.0</v>
      </c>
      <c r="C1074" s="150">
        <v>1500.0</v>
      </c>
      <c r="D1074" s="151">
        <v>300.0</v>
      </c>
      <c r="E1074" s="152">
        <v>1400.0</v>
      </c>
      <c r="F1074" s="151">
        <v>1000.0</v>
      </c>
      <c r="G1074" s="132">
        <v>1400.0</v>
      </c>
      <c r="H1074" s="153">
        <f t="shared" ref="H1074:H1084" si="39">SUM(B1074:G1074)</f>
        <v>7600</v>
      </c>
      <c r="I1074" s="154">
        <v>10000.0</v>
      </c>
      <c r="J1074" s="24" t="str">
        <f t="shared" ref="J1074:J1084" si="40">IF(H1074&gt;I1074,"ACHIVED",IF(H1074&lt;I1074,"NOT ACHIVED"))</f>
        <v>NOT ACHIVED</v>
      </c>
    </row>
    <row r="1075" ht="15.75" customHeight="1">
      <c r="A1075" s="135" t="s">
        <v>300</v>
      </c>
      <c r="B1075" s="149">
        <v>5000.0</v>
      </c>
      <c r="C1075" s="150">
        <v>1200.0</v>
      </c>
      <c r="D1075" s="151">
        <v>500.0</v>
      </c>
      <c r="E1075" s="152">
        <v>1200.0</v>
      </c>
      <c r="F1075" s="151">
        <v>1200.0</v>
      </c>
      <c r="G1075" s="132">
        <v>2800.0</v>
      </c>
      <c r="H1075" s="153">
        <f t="shared" si="39"/>
        <v>11900</v>
      </c>
      <c r="I1075" s="154">
        <v>12000.0</v>
      </c>
      <c r="J1075" s="24" t="str">
        <f t="shared" si="40"/>
        <v>NOT ACHIVED</v>
      </c>
    </row>
    <row r="1076" ht="15.75" customHeight="1">
      <c r="A1076" s="135" t="s">
        <v>298</v>
      </c>
      <c r="B1076" s="149">
        <v>3000.0</v>
      </c>
      <c r="C1076" s="150">
        <v>800.0</v>
      </c>
      <c r="D1076" s="151">
        <v>1200.0</v>
      </c>
      <c r="E1076" s="152">
        <v>3000.0</v>
      </c>
      <c r="F1076" s="151">
        <v>1500.0</v>
      </c>
      <c r="G1076" s="132">
        <v>3500.0</v>
      </c>
      <c r="H1076" s="153">
        <f t="shared" si="39"/>
        <v>13000</v>
      </c>
      <c r="I1076" s="154">
        <v>18000.0</v>
      </c>
      <c r="J1076" s="24" t="str">
        <f t="shared" si="40"/>
        <v>NOT ACHIVED</v>
      </c>
    </row>
    <row r="1077" ht="15.75" customHeight="1">
      <c r="A1077" s="135" t="s">
        <v>238</v>
      </c>
      <c r="B1077" s="149">
        <v>1000.0</v>
      </c>
      <c r="C1077" s="150">
        <v>900.0</v>
      </c>
      <c r="D1077" s="151">
        <v>1800.0</v>
      </c>
      <c r="E1077" s="152">
        <v>5000.0</v>
      </c>
      <c r="F1077" s="151">
        <v>1400.0</v>
      </c>
      <c r="G1077" s="132">
        <v>1200.0</v>
      </c>
      <c r="H1077" s="153">
        <f t="shared" si="39"/>
        <v>11300</v>
      </c>
      <c r="I1077" s="154">
        <v>10000.0</v>
      </c>
      <c r="J1077" s="132" t="str">
        <f t="shared" si="40"/>
        <v>ACHIVED</v>
      </c>
    </row>
    <row r="1078" ht="15.75" customHeight="1">
      <c r="A1078" s="135" t="s">
        <v>231</v>
      </c>
      <c r="B1078" s="149">
        <v>500.0</v>
      </c>
      <c r="C1078" s="150">
        <v>1000.0</v>
      </c>
      <c r="D1078" s="151">
        <v>2300.0</v>
      </c>
      <c r="E1078" s="152">
        <v>8000.0</v>
      </c>
      <c r="F1078" s="151">
        <v>1700.0</v>
      </c>
      <c r="G1078" s="132">
        <v>1400.0</v>
      </c>
      <c r="H1078" s="153">
        <f t="shared" si="39"/>
        <v>14900</v>
      </c>
      <c r="I1078" s="154">
        <v>12000.0</v>
      </c>
      <c r="J1078" s="132" t="str">
        <f t="shared" si="40"/>
        <v>ACHIVED</v>
      </c>
    </row>
    <row r="1079" ht="15.75" customHeight="1">
      <c r="A1079" s="135" t="s">
        <v>229</v>
      </c>
      <c r="B1079" s="149">
        <v>800.0</v>
      </c>
      <c r="C1079" s="150">
        <v>500.0</v>
      </c>
      <c r="D1079" s="151">
        <v>2400.0</v>
      </c>
      <c r="E1079" s="152">
        <v>1900.0</v>
      </c>
      <c r="F1079" s="151">
        <v>1800.0</v>
      </c>
      <c r="G1079" s="132">
        <v>1800.0</v>
      </c>
      <c r="H1079" s="153">
        <f t="shared" si="39"/>
        <v>9200</v>
      </c>
      <c r="I1079" s="154">
        <v>10000.0</v>
      </c>
      <c r="J1079" s="24" t="str">
        <f t="shared" si="40"/>
        <v>NOT ACHIVED</v>
      </c>
    </row>
    <row r="1080" ht="15.75" customHeight="1">
      <c r="A1080" s="135" t="s">
        <v>322</v>
      </c>
      <c r="B1080" s="149">
        <v>1200.0</v>
      </c>
      <c r="C1080" s="150">
        <v>1400.0</v>
      </c>
      <c r="D1080" s="151">
        <v>1500.0</v>
      </c>
      <c r="E1080" s="152">
        <v>700.0</v>
      </c>
      <c r="F1080" s="151">
        <v>2500.0</v>
      </c>
      <c r="G1080" s="132">
        <v>7000.0</v>
      </c>
      <c r="H1080" s="153">
        <f t="shared" si="39"/>
        <v>14300</v>
      </c>
      <c r="I1080" s="154">
        <v>12000.0</v>
      </c>
      <c r="J1080" s="132" t="str">
        <f t="shared" si="40"/>
        <v>ACHIVED</v>
      </c>
    </row>
    <row r="1081" ht="15.75" customHeight="1">
      <c r="A1081" s="135" t="s">
        <v>324</v>
      </c>
      <c r="B1081" s="149">
        <v>1500.0</v>
      </c>
      <c r="C1081" s="150">
        <v>1800.0</v>
      </c>
      <c r="D1081" s="151">
        <v>1800.0</v>
      </c>
      <c r="E1081" s="152">
        <v>1800.0</v>
      </c>
      <c r="F1081" s="151">
        <v>300.0</v>
      </c>
      <c r="G1081" s="132">
        <v>1500.0</v>
      </c>
      <c r="H1081" s="153">
        <f t="shared" si="39"/>
        <v>8700</v>
      </c>
      <c r="I1081" s="154">
        <v>10000.0</v>
      </c>
      <c r="J1081" s="24" t="str">
        <f t="shared" si="40"/>
        <v>NOT ACHIVED</v>
      </c>
    </row>
    <row r="1082" ht="15.75" customHeight="1">
      <c r="A1082" s="135" t="s">
        <v>325</v>
      </c>
      <c r="B1082" s="149">
        <v>1800.0</v>
      </c>
      <c r="C1082" s="150">
        <v>2500.0</v>
      </c>
      <c r="D1082" s="151">
        <v>1700.0</v>
      </c>
      <c r="E1082" s="152">
        <v>1500.0</v>
      </c>
      <c r="F1082" s="151">
        <v>2800.0</v>
      </c>
      <c r="G1082" s="132">
        <v>1800.0</v>
      </c>
      <c r="H1082" s="153">
        <f t="shared" si="39"/>
        <v>12100</v>
      </c>
      <c r="I1082" s="154">
        <v>12000.0</v>
      </c>
      <c r="J1082" s="132" t="str">
        <f t="shared" si="40"/>
        <v>ACHIVED</v>
      </c>
    </row>
    <row r="1083" ht="15.75" customHeight="1">
      <c r="A1083" s="135" t="s">
        <v>327</v>
      </c>
      <c r="B1083" s="149">
        <v>200.0</v>
      </c>
      <c r="C1083" s="150">
        <v>3000.0</v>
      </c>
      <c r="D1083" s="151">
        <v>1900.0</v>
      </c>
      <c r="E1083" s="152">
        <v>1200.0</v>
      </c>
      <c r="F1083" s="151">
        <v>1500.0</v>
      </c>
      <c r="G1083" s="132">
        <v>3000.0</v>
      </c>
      <c r="H1083" s="153">
        <f t="shared" si="39"/>
        <v>10800</v>
      </c>
      <c r="I1083" s="154">
        <v>10000.0</v>
      </c>
      <c r="J1083" s="132" t="str">
        <f t="shared" si="40"/>
        <v>ACHIVED</v>
      </c>
    </row>
    <row r="1084" ht="15.75" customHeight="1">
      <c r="A1084" s="135" t="s">
        <v>328</v>
      </c>
      <c r="B1084" s="149">
        <v>1600.0</v>
      </c>
      <c r="C1084" s="150">
        <v>1200.0</v>
      </c>
      <c r="D1084" s="151">
        <v>2000.0</v>
      </c>
      <c r="E1084" s="152">
        <v>800.0</v>
      </c>
      <c r="F1084" s="151">
        <v>1700.0</v>
      </c>
      <c r="G1084" s="132">
        <v>800.0</v>
      </c>
      <c r="H1084" s="153">
        <f t="shared" si="39"/>
        <v>8100</v>
      </c>
      <c r="I1084" s="154">
        <v>10000.0</v>
      </c>
      <c r="J1084" s="24" t="str">
        <f t="shared" si="40"/>
        <v>NOT ACHIVED</v>
      </c>
    </row>
    <row r="1085" ht="15.75" customHeight="1"/>
    <row r="1086" ht="15.75" customHeight="1">
      <c r="A1086" s="216" t="s">
        <v>1014</v>
      </c>
    </row>
    <row r="1087" ht="15.75" customHeight="1"/>
    <row r="1088" ht="15.75" customHeight="1"/>
    <row r="1089" ht="15.75" customHeight="1">
      <c r="A1089" s="216" t="s">
        <v>1007</v>
      </c>
    </row>
    <row r="1090" ht="15.75" customHeight="1"/>
    <row r="1091" ht="15.75" customHeight="1"/>
    <row r="1092" ht="15.75" customHeight="1">
      <c r="A1092" s="216" t="s">
        <v>1015</v>
      </c>
    </row>
    <row r="1093" ht="15.75" customHeight="1"/>
    <row r="1094" ht="15.75" customHeight="1"/>
    <row r="1095" ht="15.75" customHeight="1">
      <c r="A1095" s="216" t="s">
        <v>1016</v>
      </c>
    </row>
    <row r="1096" ht="15.75" customHeight="1"/>
    <row r="1097" ht="15.75" customHeight="1"/>
    <row r="1098" ht="15.75" customHeight="1">
      <c r="A1098" s="216" t="s">
        <v>1017</v>
      </c>
    </row>
    <row r="1099" ht="15.75" customHeight="1"/>
    <row r="1100" ht="15.75" customHeight="1"/>
    <row r="1101" ht="15.75" customHeight="1">
      <c r="A1101" s="216" t="s">
        <v>1018</v>
      </c>
    </row>
    <row r="1102" ht="15.75" customHeight="1"/>
    <row r="1103" ht="15.75" customHeight="1"/>
    <row r="1104" ht="15.75" customHeight="1"/>
    <row r="1105" ht="15.75" customHeight="1">
      <c r="A1105" s="304" t="s">
        <v>1019</v>
      </c>
    </row>
    <row r="1106" ht="15.75" customHeight="1"/>
    <row r="1107" ht="15.75" customHeight="1">
      <c r="A1107" s="305" t="s">
        <v>48</v>
      </c>
      <c r="B1107" s="305" t="s">
        <v>1020</v>
      </c>
      <c r="C1107" s="305" t="s">
        <v>1021</v>
      </c>
      <c r="D1107" s="305" t="s">
        <v>1022</v>
      </c>
      <c r="E1107" s="305" t="s">
        <v>38</v>
      </c>
    </row>
    <row r="1108" ht="15.75" customHeight="1">
      <c r="A1108" s="152" t="s">
        <v>314</v>
      </c>
      <c r="B1108" s="248">
        <v>29356.0</v>
      </c>
      <c r="C1108" s="87">
        <f t="shared" ref="C1108:C1118" si="41">DATEDIF(B1108,TODAY(),"MD")</f>
        <v>21</v>
      </c>
      <c r="D1108" s="87">
        <f t="shared" ref="D1108:D1118" si="42">DATEDIF(B1108,TODAY(),"YM")</f>
        <v>5</v>
      </c>
      <c r="E1108" s="87">
        <f t="shared" ref="E1108:E1118" si="43">DATEDIF(B1108,TODAY(),"Y")</f>
        <v>44</v>
      </c>
    </row>
    <row r="1109" ht="15.75" customHeight="1">
      <c r="A1109" s="152" t="s">
        <v>300</v>
      </c>
      <c r="B1109" s="248">
        <v>29818.0</v>
      </c>
      <c r="C1109" s="87">
        <f t="shared" si="41"/>
        <v>16</v>
      </c>
      <c r="D1109" s="87">
        <f t="shared" si="42"/>
        <v>2</v>
      </c>
      <c r="E1109" s="87">
        <f t="shared" si="43"/>
        <v>43</v>
      </c>
    </row>
    <row r="1110" ht="15.75" customHeight="1">
      <c r="A1110" s="152" t="s">
        <v>298</v>
      </c>
      <c r="B1110" s="306">
        <v>37909.0</v>
      </c>
      <c r="C1110" s="87">
        <f t="shared" si="41"/>
        <v>21</v>
      </c>
      <c r="D1110" s="87">
        <f t="shared" si="42"/>
        <v>0</v>
      </c>
      <c r="E1110" s="87">
        <f t="shared" si="43"/>
        <v>21</v>
      </c>
    </row>
    <row r="1111" ht="15.75" customHeight="1">
      <c r="A1111" s="152" t="s">
        <v>238</v>
      </c>
      <c r="B1111" s="248">
        <v>33018.0</v>
      </c>
      <c r="C1111" s="87">
        <f t="shared" si="41"/>
        <v>11</v>
      </c>
      <c r="D1111" s="87">
        <f t="shared" si="42"/>
        <v>5</v>
      </c>
      <c r="E1111" s="87">
        <f t="shared" si="43"/>
        <v>34</v>
      </c>
    </row>
    <row r="1112" ht="15.75" customHeight="1">
      <c r="A1112" s="152" t="s">
        <v>231</v>
      </c>
      <c r="B1112" s="248">
        <v>33840.0</v>
      </c>
      <c r="C1112" s="87">
        <f t="shared" si="41"/>
        <v>12</v>
      </c>
      <c r="D1112" s="87">
        <f t="shared" si="42"/>
        <v>2</v>
      </c>
      <c r="E1112" s="87">
        <f t="shared" si="43"/>
        <v>32</v>
      </c>
    </row>
    <row r="1113" ht="15.75" customHeight="1">
      <c r="A1113" s="152" t="s">
        <v>229</v>
      </c>
      <c r="B1113" s="248">
        <v>36030.0</v>
      </c>
      <c r="C1113" s="87">
        <f t="shared" si="41"/>
        <v>13</v>
      </c>
      <c r="D1113" s="87">
        <f t="shared" si="42"/>
        <v>2</v>
      </c>
      <c r="E1113" s="87">
        <f t="shared" si="43"/>
        <v>26</v>
      </c>
    </row>
    <row r="1114" ht="15.75" customHeight="1">
      <c r="A1114" s="152" t="s">
        <v>322</v>
      </c>
      <c r="B1114" s="248">
        <v>29353.0</v>
      </c>
      <c r="C1114" s="87">
        <f t="shared" si="41"/>
        <v>24</v>
      </c>
      <c r="D1114" s="87">
        <f t="shared" si="42"/>
        <v>5</v>
      </c>
      <c r="E1114" s="87">
        <f t="shared" si="43"/>
        <v>44</v>
      </c>
    </row>
    <row r="1115" ht="15.75" customHeight="1">
      <c r="A1115" s="152" t="s">
        <v>324</v>
      </c>
      <c r="B1115" s="248">
        <v>38429.0</v>
      </c>
      <c r="C1115" s="87">
        <f t="shared" si="41"/>
        <v>18</v>
      </c>
      <c r="D1115" s="87">
        <f t="shared" si="42"/>
        <v>7</v>
      </c>
      <c r="E1115" s="87">
        <f t="shared" si="43"/>
        <v>19</v>
      </c>
    </row>
    <row r="1116" ht="15.75" customHeight="1">
      <c r="A1116" s="152" t="s">
        <v>325</v>
      </c>
      <c r="B1116" s="248">
        <v>39309.0</v>
      </c>
      <c r="C1116" s="87">
        <f t="shared" si="41"/>
        <v>21</v>
      </c>
      <c r="D1116" s="87">
        <f t="shared" si="42"/>
        <v>2</v>
      </c>
      <c r="E1116" s="87">
        <f t="shared" si="43"/>
        <v>17</v>
      </c>
    </row>
    <row r="1117" ht="15.75" customHeight="1">
      <c r="A1117" s="152" t="s">
        <v>327</v>
      </c>
      <c r="B1117" s="248">
        <v>40323.0</v>
      </c>
      <c r="C1117" s="87">
        <f t="shared" si="41"/>
        <v>11</v>
      </c>
      <c r="D1117" s="87">
        <f t="shared" si="42"/>
        <v>5</v>
      </c>
      <c r="E1117" s="87">
        <f t="shared" si="43"/>
        <v>14</v>
      </c>
    </row>
    <row r="1118" ht="15.75" customHeight="1">
      <c r="A1118" s="152" t="s">
        <v>328</v>
      </c>
      <c r="B1118" s="248">
        <v>34206.0</v>
      </c>
      <c r="C1118" s="87">
        <f t="shared" si="41"/>
        <v>11</v>
      </c>
      <c r="D1118" s="87">
        <f t="shared" si="42"/>
        <v>2</v>
      </c>
      <c r="E1118" s="87">
        <f t="shared" si="43"/>
        <v>31</v>
      </c>
    </row>
    <row r="1119" ht="15.75" customHeight="1"/>
    <row r="1120" ht="15.75" customHeight="1"/>
    <row r="1121" ht="15.75" customHeight="1"/>
    <row r="1122" ht="15.75" customHeight="1">
      <c r="A1122" s="307" t="s">
        <v>1023</v>
      </c>
    </row>
    <row r="1123" ht="15.75" customHeight="1">
      <c r="A1123" s="213">
        <f>COUNTA(A1108:A1118)</f>
        <v>11</v>
      </c>
    </row>
    <row r="1124" ht="15.75" customHeight="1"/>
    <row r="1125" ht="15.75" customHeight="1">
      <c r="A1125" s="308" t="s">
        <v>1024</v>
      </c>
    </row>
    <row r="1126" ht="15.75" customHeight="1"/>
    <row r="1127" ht="15.75" customHeight="1"/>
    <row r="1128" ht="15.75" customHeight="1">
      <c r="A1128" s="309" t="s">
        <v>1025</v>
      </c>
    </row>
    <row r="1129" ht="15.75" customHeight="1"/>
    <row r="1130" ht="15.75" customHeight="1"/>
    <row r="1131" ht="15.75" customHeight="1">
      <c r="A1131" s="310" t="s">
        <v>1026</v>
      </c>
    </row>
    <row r="1132" ht="15.75" customHeight="1"/>
    <row r="1133" ht="15.75" customHeight="1"/>
    <row r="1134" ht="15.75" customHeight="1">
      <c r="A1134" s="311" t="s">
        <v>1027</v>
      </c>
    </row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</sheetData>
  <mergeCells count="130">
    <mergeCell ref="C12:D12"/>
    <mergeCell ref="E12:K16"/>
    <mergeCell ref="K1:K11"/>
    <mergeCell ref="L1:M1"/>
    <mergeCell ref="N1:N5"/>
    <mergeCell ref="O1:O16"/>
    <mergeCell ref="L4:M4"/>
    <mergeCell ref="L9:N16"/>
    <mergeCell ref="A12:B13"/>
    <mergeCell ref="A16:D16"/>
    <mergeCell ref="A17:I18"/>
    <mergeCell ref="G21:G29"/>
    <mergeCell ref="B33:L34"/>
    <mergeCell ref="B50:H51"/>
    <mergeCell ref="B66:L67"/>
    <mergeCell ref="B86:J87"/>
    <mergeCell ref="E89:J89"/>
    <mergeCell ref="E96:F96"/>
    <mergeCell ref="B115:I116"/>
    <mergeCell ref="B131:I132"/>
    <mergeCell ref="B133:C133"/>
    <mergeCell ref="D133:F133"/>
    <mergeCell ref="G133:I133"/>
    <mergeCell ref="B147:I148"/>
    <mergeCell ref="B167:I168"/>
    <mergeCell ref="I173:K173"/>
    <mergeCell ref="I174:K174"/>
    <mergeCell ref="I176:K176"/>
    <mergeCell ref="I177:J177"/>
    <mergeCell ref="L177:N177"/>
    <mergeCell ref="I179:K179"/>
    <mergeCell ref="I180:K180"/>
    <mergeCell ref="B193:J194"/>
    <mergeCell ref="B207:J208"/>
    <mergeCell ref="B214:J215"/>
    <mergeCell ref="B228:K229"/>
    <mergeCell ref="L230:O230"/>
    <mergeCell ref="L231:O231"/>
    <mergeCell ref="L234:O234"/>
    <mergeCell ref="L235:M235"/>
    <mergeCell ref="B244:K245"/>
    <mergeCell ref="B264:I265"/>
    <mergeCell ref="G269:K269"/>
    <mergeCell ref="G270:I270"/>
    <mergeCell ref="A803:B803"/>
    <mergeCell ref="A805:B805"/>
    <mergeCell ref="E805:F805"/>
    <mergeCell ref="A818:B819"/>
    <mergeCell ref="C818:C819"/>
    <mergeCell ref="E818:F819"/>
    <mergeCell ref="G818:G819"/>
    <mergeCell ref="A824:H825"/>
    <mergeCell ref="A852:J853"/>
    <mergeCell ref="A900:I901"/>
    <mergeCell ref="A915:I916"/>
    <mergeCell ref="A951:J952"/>
    <mergeCell ref="D955:E955"/>
    <mergeCell ref="D962:E962"/>
    <mergeCell ref="D1016:E1016"/>
    <mergeCell ref="A1021:B1021"/>
    <mergeCell ref="A1031:K1032"/>
    <mergeCell ref="A1046:D1046"/>
    <mergeCell ref="A1051:D1051"/>
    <mergeCell ref="A1054:D1054"/>
    <mergeCell ref="A1057:D1057"/>
    <mergeCell ref="A1061:D1061"/>
    <mergeCell ref="A1064:D1064"/>
    <mergeCell ref="A1068:D1068"/>
    <mergeCell ref="A1071:K1072"/>
    <mergeCell ref="A1086:C1086"/>
    <mergeCell ref="A1089:C1089"/>
    <mergeCell ref="A1092:C1092"/>
    <mergeCell ref="A1131:C1131"/>
    <mergeCell ref="A1134:C1134"/>
    <mergeCell ref="A1095:C1095"/>
    <mergeCell ref="A1098:D1098"/>
    <mergeCell ref="A1101:D1101"/>
    <mergeCell ref="A1105:K1106"/>
    <mergeCell ref="A1122:C1122"/>
    <mergeCell ref="A1125:C1125"/>
    <mergeCell ref="A1128:C1128"/>
    <mergeCell ref="G273:K273"/>
    <mergeCell ref="G274:I274"/>
    <mergeCell ref="G276:K277"/>
    <mergeCell ref="G278:I278"/>
    <mergeCell ref="J278:K278"/>
    <mergeCell ref="G282:K282"/>
    <mergeCell ref="A306:I307"/>
    <mergeCell ref="H312:K312"/>
    <mergeCell ref="H315:K315"/>
    <mergeCell ref="H318:K318"/>
    <mergeCell ref="H321:L321"/>
    <mergeCell ref="H324:L324"/>
    <mergeCell ref="A343:I344"/>
    <mergeCell ref="F346:I346"/>
    <mergeCell ref="F349:I349"/>
    <mergeCell ref="F352:I352"/>
    <mergeCell ref="F355:I355"/>
    <mergeCell ref="F358:J358"/>
    <mergeCell ref="A363:I364"/>
    <mergeCell ref="A380:H381"/>
    <mergeCell ref="A400:G401"/>
    <mergeCell ref="A416:G417"/>
    <mergeCell ref="A443:G444"/>
    <mergeCell ref="A471:F472"/>
    <mergeCell ref="A485:G486"/>
    <mergeCell ref="E496:F496"/>
    <mergeCell ref="E497:F497"/>
    <mergeCell ref="A525:I526"/>
    <mergeCell ref="A552:J553"/>
    <mergeCell ref="A574:H575"/>
    <mergeCell ref="A577:H577"/>
    <mergeCell ref="A611:J612"/>
    <mergeCell ref="A645:I646"/>
    <mergeCell ref="A669:H670"/>
    <mergeCell ref="A721:I722"/>
    <mergeCell ref="A737:H738"/>
    <mergeCell ref="A740:B740"/>
    <mergeCell ref="D740:E740"/>
    <mergeCell ref="G740:H740"/>
    <mergeCell ref="A764:D764"/>
    <mergeCell ref="A790:I791"/>
    <mergeCell ref="E803:F803"/>
    <mergeCell ref="D972:E972"/>
    <mergeCell ref="D981:E981"/>
    <mergeCell ref="D990:E990"/>
    <mergeCell ref="A997:G998"/>
    <mergeCell ref="D1002:E1002"/>
    <mergeCell ref="A1007:B1007"/>
    <mergeCell ref="D1009:E1009"/>
  </mergeCells>
  <conditionalFormatting sqref="B89:B108">
    <cfRule type="cellIs" dxfId="0" priority="1" operator="equal">
      <formula>"tyres"</formula>
    </cfRule>
  </conditionalFormatting>
  <conditionalFormatting sqref="B246:E260 F254">
    <cfRule type="cellIs" dxfId="0" priority="2" operator="equal">
      <formula>"USA"</formula>
    </cfRule>
  </conditionalFormatting>
  <conditionalFormatting sqref="B247:E260 F254">
    <cfRule type="cellIs" dxfId="1" priority="3" operator="equal">
      <formula>"USA"</formula>
    </cfRule>
  </conditionalFormatting>
  <conditionalFormatting sqref="B247:E260 F254">
    <cfRule type="cellIs" dxfId="2" priority="4" operator="equal">
      <formula>"uk"</formula>
    </cfRule>
  </conditionalFormatting>
  <conditionalFormatting sqref="B247:E260 F254">
    <cfRule type="cellIs" dxfId="0" priority="5" operator="equal">
      <formula>"$10,346.00"</formula>
    </cfRule>
  </conditionalFormatting>
  <conditionalFormatting sqref="G118">
    <cfRule type="colorScale" priority="6">
      <colorScale>
        <cfvo type="min"/>
        <cfvo type="max"/>
        <color rgb="FFA8D08D"/>
        <color rgb="FFFFEF9C"/>
      </colorScale>
    </cfRule>
  </conditionalFormatting>
  <conditionalFormatting sqref="G118:G128">
    <cfRule type="cellIs" dxfId="3" priority="7" operator="equal">
      <formula>"ADULT"</formula>
    </cfRule>
  </conditionalFormatting>
  <conditionalFormatting sqref="G118:G128">
    <cfRule type="cellIs" dxfId="4" priority="8" operator="equal">
      <formula>"CHILD"</formula>
    </cfRule>
  </conditionalFormatting>
  <conditionalFormatting sqref="G150:G16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9:K79 J1034:J1044 J1074:J1084">
    <cfRule type="containsText" dxfId="0" priority="10" operator="containsText" text="NOT ACHIVED">
      <formula>NOT(ISERROR(SEARCH(("NOT ACHIVED"),(K69))))</formula>
    </cfRule>
  </conditionalFormatting>
  <conditionalFormatting sqref="P72:P7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>
    <dataValidation type="list" allowBlank="1" showErrorMessage="1" sqref="L236">
      <formula1>$B$231:$B$238</formula1>
    </dataValidation>
    <dataValidation type="list" allowBlank="1" showErrorMessage="1" sqref="M236">
      <formula1>$C$230:$J$230</formula1>
    </dataValidation>
  </dataValidations>
  <printOptions/>
  <pageMargins bottom="0.75" footer="0.0" header="0.0" left="0.7" right="0.7" top="0.75"/>
  <pageSetup orientation="landscape"/>
  <drawing r:id="rId1"/>
</worksheet>
</file>