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Portfolio Management/"/>
    </mc:Choice>
  </mc:AlternateContent>
  <xr:revisionPtr revIDLastSave="0" documentId="13_ncr:1_{358635FE-D04A-5F47-9C57-B5611D5EF328}" xr6:coauthVersionLast="47" xr6:coauthVersionMax="47" xr10:uidLastSave="{00000000-0000-0000-0000-000000000000}"/>
  <bookViews>
    <workbookView xWindow="0" yWindow="500" windowWidth="28800" windowHeight="16300" activeTab="1" xr2:uid="{00000000-000D-0000-FFFF-FFFF00000000}"/>
  </bookViews>
  <sheets>
    <sheet name="Map" sheetId="117" r:id="rId1"/>
    <sheet name="Dashboard" sheetId="136" r:id="rId2"/>
    <sheet name="P&amp;L Model" sheetId="115" r:id="rId3"/>
    <sheet name="Balance Sheet Model" sheetId="116" r:id="rId4"/>
    <sheet name="Cash Flow Model" sheetId="119" r:id="rId5"/>
    <sheet name="Liability and Equity Sched." sheetId="118" r:id="rId6"/>
    <sheet name="DCF" sheetId="130" r:id="rId7"/>
    <sheet name="Pivot Tables for Dashboard" sheetId="140" r:id="rId8"/>
    <sheet name="Ratio Calculations" sheetId="127" r:id="rId9"/>
  </sheets>
  <calcPr calcId="191029"/>
  <pivotCaches>
    <pivotCache cacheId="0" r:id="rId10"/>
    <pivotCache cacheId="1" r:id="rId11"/>
    <pivotCache cacheId="2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17" l="1"/>
  <c r="O17" i="117"/>
  <c r="M17" i="117"/>
  <c r="K17" i="117"/>
  <c r="C134" i="140"/>
  <c r="C135" i="140" s="1"/>
  <c r="C136" i="140" s="1"/>
  <c r="G131" i="140"/>
  <c r="I134" i="140" s="1"/>
  <c r="E126" i="140"/>
  <c r="F126" i="140" s="1"/>
  <c r="G126" i="140" s="1"/>
  <c r="P3" i="136"/>
  <c r="J100" i="140"/>
  <c r="J102" i="140" s="1"/>
  <c r="J105" i="140" s="1"/>
  <c r="E116" i="140"/>
  <c r="H103" i="140"/>
  <c r="E94" i="140"/>
  <c r="E93" i="140"/>
  <c r="E115" i="140" s="1"/>
  <c r="E92" i="140"/>
  <c r="E114" i="140" s="1"/>
  <c r="F94" i="140"/>
  <c r="F93" i="140"/>
  <c r="F92" i="140"/>
  <c r="K89" i="140"/>
  <c r="K90" i="140"/>
  <c r="K88" i="140"/>
  <c r="I93" i="140"/>
  <c r="N93" i="140" s="1"/>
  <c r="D66" i="140"/>
  <c r="E66" i="140" s="1"/>
  <c r="C69" i="140"/>
  <c r="C70" i="140"/>
  <c r="C71" i="140"/>
  <c r="C72" i="140"/>
  <c r="C73" i="140"/>
  <c r="C68" i="140"/>
  <c r="H40" i="140"/>
  <c r="H42" i="140" s="1"/>
  <c r="D56" i="140" s="1"/>
  <c r="D149" i="127"/>
  <c r="C149" i="127"/>
  <c r="B149" i="127"/>
  <c r="G148" i="127"/>
  <c r="F148" i="127"/>
  <c r="E148" i="127"/>
  <c r="G147" i="127"/>
  <c r="F147" i="127"/>
  <c r="E147" i="127"/>
  <c r="G146" i="127"/>
  <c r="F146" i="127"/>
  <c r="E146" i="127"/>
  <c r="G145" i="127"/>
  <c r="F145" i="127"/>
  <c r="E145" i="127"/>
  <c r="G144" i="127"/>
  <c r="F144" i="127"/>
  <c r="E144" i="127"/>
  <c r="G143" i="127"/>
  <c r="F143" i="127"/>
  <c r="E143" i="127"/>
  <c r="G142" i="127"/>
  <c r="F142" i="127"/>
  <c r="E142" i="127"/>
  <c r="G141" i="127"/>
  <c r="F141" i="127"/>
  <c r="E141" i="127"/>
  <c r="G140" i="127"/>
  <c r="F140" i="127"/>
  <c r="E140" i="127"/>
  <c r="E12" i="140"/>
  <c r="E15" i="140" s="1"/>
  <c r="J91" i="127"/>
  <c r="J92" i="127"/>
  <c r="J90" i="127"/>
  <c r="I91" i="127"/>
  <c r="I92" i="127"/>
  <c r="I90" i="127"/>
  <c r="H91" i="127"/>
  <c r="H92" i="127"/>
  <c r="H90" i="127"/>
  <c r="G91" i="127"/>
  <c r="G92" i="127"/>
  <c r="G90" i="127"/>
  <c r="F91" i="127"/>
  <c r="F92" i="127"/>
  <c r="F90" i="127"/>
  <c r="E91" i="127"/>
  <c r="E92" i="127"/>
  <c r="E90" i="127"/>
  <c r="D91" i="127"/>
  <c r="D92" i="127"/>
  <c r="D90" i="127"/>
  <c r="C91" i="127"/>
  <c r="C92" i="127"/>
  <c r="C90" i="127"/>
  <c r="B91" i="127"/>
  <c r="B92" i="127"/>
  <c r="B90" i="127"/>
  <c r="I74" i="127"/>
  <c r="I75" i="127"/>
  <c r="I76" i="127"/>
  <c r="I77" i="127"/>
  <c r="I78" i="127"/>
  <c r="I79" i="127"/>
  <c r="I80" i="127"/>
  <c r="I81" i="127"/>
  <c r="I73" i="127"/>
  <c r="K88" i="127"/>
  <c r="K89" i="127"/>
  <c r="K87" i="127"/>
  <c r="C10" i="118"/>
  <c r="D17" i="130"/>
  <c r="C20" i="130"/>
  <c r="C21" i="130" s="1"/>
  <c r="C6" i="130"/>
  <c r="H131" i="140" l="1"/>
  <c r="I131" i="140"/>
  <c r="I136" i="140" s="1"/>
  <c r="E13" i="140"/>
  <c r="H107" i="140"/>
  <c r="F66" i="140"/>
  <c r="G66" i="140" s="1"/>
  <c r="H66" i="140" s="1"/>
  <c r="H104" i="140"/>
  <c r="J93" i="140"/>
  <c r="K93" i="140"/>
  <c r="M93" i="140"/>
  <c r="H105" i="140"/>
  <c r="L93" i="140"/>
  <c r="H106" i="140"/>
  <c r="J101" i="140"/>
  <c r="I105" i="140" s="1"/>
  <c r="E63" i="140"/>
  <c r="D9" i="140"/>
  <c r="C52" i="140"/>
  <c r="D54" i="140"/>
  <c r="H45" i="140"/>
  <c r="D59" i="140" s="1"/>
  <c r="H44" i="140"/>
  <c r="D58" i="140" s="1"/>
  <c r="H41" i="140"/>
  <c r="D55" i="140" s="1"/>
  <c r="H43" i="140"/>
  <c r="D57" i="140" s="1"/>
  <c r="H46" i="140"/>
  <c r="D60" i="140" s="1"/>
  <c r="E17" i="140"/>
  <c r="E14" i="140"/>
  <c r="E18" i="140"/>
  <c r="E16" i="140"/>
  <c r="I137" i="140" l="1"/>
  <c r="J134" i="140" s="1"/>
  <c r="J131" i="140"/>
  <c r="H47" i="140"/>
  <c r="E19" i="140"/>
  <c r="D14" i="130" l="1"/>
  <c r="C14" i="130"/>
  <c r="D13" i="130"/>
  <c r="C22" i="130" s="1"/>
  <c r="C23" i="130" s="1"/>
  <c r="C13" i="130"/>
  <c r="C15" i="130" l="1"/>
  <c r="C24" i="130"/>
  <c r="C25" i="130"/>
  <c r="D15" i="130"/>
  <c r="C7" i="130" l="1"/>
  <c r="F8" i="130" s="1"/>
  <c r="D8" i="130" l="1"/>
  <c r="E8" i="130"/>
  <c r="K21" i="115"/>
  <c r="K24" i="115"/>
  <c r="C123" i="127"/>
  <c r="C124" i="127"/>
  <c r="C125" i="127"/>
  <c r="C21" i="127"/>
  <c r="D22" i="127"/>
  <c r="E22" i="127"/>
  <c r="C22" i="127"/>
  <c r="C27" i="127"/>
  <c r="D27" i="127"/>
  <c r="D26" i="116"/>
  <c r="D25" i="116"/>
  <c r="E26" i="116"/>
  <c r="E25" i="116"/>
  <c r="E24" i="116"/>
  <c r="D24" i="116"/>
  <c r="C24" i="116"/>
  <c r="C25" i="116"/>
  <c r="C26" i="116"/>
  <c r="D21" i="127"/>
  <c r="E21" i="127"/>
  <c r="D20" i="127"/>
  <c r="E20" i="127"/>
  <c r="C20" i="127"/>
  <c r="D18" i="127"/>
  <c r="E18" i="127"/>
  <c r="C18" i="127"/>
  <c r="D13" i="127"/>
  <c r="E13" i="127"/>
  <c r="C13" i="127"/>
  <c r="K15" i="117"/>
  <c r="M15" i="117"/>
  <c r="D39" i="127"/>
  <c r="E39" i="127"/>
  <c r="C39" i="127"/>
  <c r="D33" i="127"/>
  <c r="D16" i="127" s="1"/>
  <c r="E33" i="127"/>
  <c r="E16" i="127" s="1"/>
  <c r="C33" i="127"/>
  <c r="C16" i="127" s="1"/>
  <c r="E27" i="127"/>
  <c r="C46" i="127"/>
  <c r="B46" i="127"/>
  <c r="K13" i="117" l="1"/>
  <c r="K11" i="117"/>
  <c r="K8" i="117"/>
  <c r="M8" i="117"/>
  <c r="F20" i="119"/>
  <c r="G20" i="119"/>
  <c r="G19" i="119"/>
  <c r="F19" i="119"/>
  <c r="E19" i="119"/>
  <c r="E7" i="118"/>
  <c r="E6" i="118"/>
  <c r="F28" i="118"/>
  <c r="E32" i="118"/>
  <c r="F17" i="116"/>
  <c r="G17" i="116"/>
  <c r="F18" i="116"/>
  <c r="G18" i="116"/>
  <c r="G46" i="115"/>
  <c r="F46" i="115"/>
  <c r="G45" i="115"/>
  <c r="F45" i="115"/>
  <c r="C8" i="118"/>
  <c r="D5" i="118" s="1"/>
  <c r="D8" i="118" s="1"/>
  <c r="E5" i="118" s="1"/>
  <c r="E8" i="118" s="1"/>
  <c r="F5" i="118" s="1"/>
  <c r="E28" i="116"/>
  <c r="D28" i="116"/>
  <c r="C28" i="116"/>
  <c r="D48" i="115"/>
  <c r="F48" i="115" s="1"/>
  <c r="C48" i="115"/>
  <c r="C47" i="115" s="1"/>
  <c r="E47" i="115"/>
  <c r="D49" i="115"/>
  <c r="E49" i="115"/>
  <c r="C49" i="115"/>
  <c r="I16" i="116"/>
  <c r="J16" i="116"/>
  <c r="H16" i="116"/>
  <c r="D19" i="119" s="1"/>
  <c r="E12" i="116"/>
  <c r="D12" i="116"/>
  <c r="C12" i="116"/>
  <c r="G48" i="115" l="1"/>
  <c r="C19" i="119"/>
  <c r="H26" i="116"/>
  <c r="C11" i="118"/>
  <c r="H25" i="116"/>
  <c r="C16" i="118"/>
  <c r="H13" i="115" s="1"/>
  <c r="C8" i="119" s="1"/>
  <c r="H24" i="116"/>
  <c r="H28" i="116"/>
  <c r="H49" i="115"/>
  <c r="F15" i="116"/>
  <c r="G15" i="116"/>
  <c r="F16" i="116"/>
  <c r="G16" i="116"/>
  <c r="F19" i="116"/>
  <c r="G19" i="116"/>
  <c r="D20" i="116"/>
  <c r="E20" i="116"/>
  <c r="G20" i="116" s="1"/>
  <c r="C20" i="116"/>
  <c r="F9" i="116"/>
  <c r="G9" i="116"/>
  <c r="F10" i="116"/>
  <c r="G10" i="116"/>
  <c r="F11" i="116"/>
  <c r="G11" i="116"/>
  <c r="G8" i="116"/>
  <c r="F8" i="116"/>
  <c r="F38" i="115"/>
  <c r="G38" i="115"/>
  <c r="G13" i="115"/>
  <c r="F15" i="115"/>
  <c r="G15" i="115"/>
  <c r="D25" i="115"/>
  <c r="E25" i="115"/>
  <c r="E28" i="115" s="1"/>
  <c r="C25" i="115"/>
  <c r="C19" i="115"/>
  <c r="E19" i="115"/>
  <c r="E22" i="115" s="1"/>
  <c r="D19" i="115"/>
  <c r="F20" i="116" l="1"/>
  <c r="D22" i="115"/>
  <c r="K15" i="118"/>
  <c r="G15" i="118"/>
  <c r="C15" i="118"/>
  <c r="C17" i="118" s="1"/>
  <c r="C18" i="118" s="1"/>
  <c r="H15" i="118"/>
  <c r="D15" i="118"/>
  <c r="J15" i="118"/>
  <c r="F15" i="118"/>
  <c r="L15" i="118"/>
  <c r="I15" i="118"/>
  <c r="E15" i="118"/>
  <c r="H46" i="115"/>
  <c r="H10" i="115" s="1"/>
  <c r="C20" i="115"/>
  <c r="E21" i="115" s="1"/>
  <c r="C28" i="115"/>
  <c r="C26" i="115"/>
  <c r="E27" i="115" s="1"/>
  <c r="C22" i="115"/>
  <c r="D28" i="115"/>
  <c r="F39" i="115"/>
  <c r="G39" i="115"/>
  <c r="F40" i="115"/>
  <c r="G40" i="115"/>
  <c r="F41" i="115"/>
  <c r="G41" i="115"/>
  <c r="C42" i="115"/>
  <c r="H24" i="115" s="1"/>
  <c r="E42" i="115"/>
  <c r="J24" i="115" s="1"/>
  <c r="D42" i="115"/>
  <c r="I24" i="115" s="1"/>
  <c r="C13" i="115"/>
  <c r="F6" i="115"/>
  <c r="G6" i="115"/>
  <c r="F10" i="115"/>
  <c r="G10" i="115"/>
  <c r="G5" i="115"/>
  <c r="F5" i="115"/>
  <c r="H26" i="115" l="1"/>
  <c r="H9" i="115"/>
  <c r="I9" i="115" s="1"/>
  <c r="J9" i="115" s="1"/>
  <c r="D16" i="118"/>
  <c r="I13" i="115" s="1"/>
  <c r="D8" i="119" s="1"/>
  <c r="F8" i="119" s="1"/>
  <c r="F8" i="118"/>
  <c r="C18" i="119" s="1"/>
  <c r="F13" i="115"/>
  <c r="E23" i="115"/>
  <c r="E24" i="115" s="1"/>
  <c r="C23" i="115"/>
  <c r="C24" i="115" s="1"/>
  <c r="H5" i="115" s="1"/>
  <c r="D46" i="127" s="1"/>
  <c r="F42" i="115"/>
  <c r="D21" i="115"/>
  <c r="D23" i="115"/>
  <c r="D24" i="115" s="1"/>
  <c r="C29" i="115"/>
  <c r="C27" i="115"/>
  <c r="C21" i="115"/>
  <c r="E29" i="115"/>
  <c r="E30" i="115" s="1"/>
  <c r="D29" i="115"/>
  <c r="D27" i="115"/>
  <c r="G42" i="115"/>
  <c r="G9" i="115"/>
  <c r="D31" i="115"/>
  <c r="C31" i="115"/>
  <c r="E7" i="115"/>
  <c r="D7" i="115"/>
  <c r="C7" i="115"/>
  <c r="C30" i="115" l="1"/>
  <c r="H6" i="115" s="1"/>
  <c r="D30" i="115"/>
  <c r="H42" i="115"/>
  <c r="D17" i="118"/>
  <c r="D18" i="118" s="1"/>
  <c r="E16" i="118" s="1"/>
  <c r="H17" i="116"/>
  <c r="G5" i="118"/>
  <c r="H18" i="116"/>
  <c r="C14" i="119" s="1"/>
  <c r="H8" i="116"/>
  <c r="C10" i="119" s="1"/>
  <c r="F7" i="115"/>
  <c r="G7" i="115"/>
  <c r="I5" i="115"/>
  <c r="E31" i="115"/>
  <c r="C32" i="115" s="1"/>
  <c r="E34" i="115"/>
  <c r="C11" i="115"/>
  <c r="G8" i="115"/>
  <c r="D11" i="115"/>
  <c r="E11" i="115"/>
  <c r="F8" i="115"/>
  <c r="F9" i="115"/>
  <c r="I42" i="115" l="1"/>
  <c r="E46" i="127"/>
  <c r="G8" i="118"/>
  <c r="H5" i="118" s="1"/>
  <c r="E17" i="118"/>
  <c r="E18" i="118" s="1"/>
  <c r="J13" i="115"/>
  <c r="E8" i="119" s="1"/>
  <c r="G8" i="119" s="1"/>
  <c r="H7" i="115"/>
  <c r="H9" i="116"/>
  <c r="C11" i="119" s="1"/>
  <c r="H15" i="116"/>
  <c r="C12" i="119" s="1"/>
  <c r="I6" i="115"/>
  <c r="I18" i="116"/>
  <c r="D14" i="119" s="1"/>
  <c r="F14" i="119" s="1"/>
  <c r="I8" i="116"/>
  <c r="D10" i="119" s="1"/>
  <c r="F10" i="119" s="1"/>
  <c r="C12" i="115"/>
  <c r="C14" i="115" s="1"/>
  <c r="E12" i="115"/>
  <c r="G11" i="115"/>
  <c r="F11" i="115"/>
  <c r="D12" i="115"/>
  <c r="C34" i="115"/>
  <c r="C33" i="115" s="1"/>
  <c r="D34" i="115"/>
  <c r="D35" i="115" s="1"/>
  <c r="J5" i="115"/>
  <c r="E35" i="115"/>
  <c r="E33" i="115"/>
  <c r="J42" i="115" l="1"/>
  <c r="F46" i="127"/>
  <c r="I17" i="116"/>
  <c r="D18" i="119" s="1"/>
  <c r="F18" i="119" s="1"/>
  <c r="F12" i="115"/>
  <c r="E36" i="115"/>
  <c r="J8" i="115" s="1"/>
  <c r="C16" i="115"/>
  <c r="J21" i="115"/>
  <c r="F16" i="118"/>
  <c r="F17" i="118" s="1"/>
  <c r="F18" i="118" s="1"/>
  <c r="G16" i="118" s="1"/>
  <c r="G17" i="118" s="1"/>
  <c r="G18" i="118" s="1"/>
  <c r="H16" i="118" s="1"/>
  <c r="H17" i="118" s="1"/>
  <c r="H18" i="118" s="1"/>
  <c r="I16" i="118" s="1"/>
  <c r="I17" i="118" s="1"/>
  <c r="I18" i="118" s="1"/>
  <c r="H8" i="118"/>
  <c r="J17" i="116" s="1"/>
  <c r="G12" i="115"/>
  <c r="E14" i="115"/>
  <c r="H21" i="115" s="1"/>
  <c r="I7" i="115"/>
  <c r="I9" i="116"/>
  <c r="D11" i="119" s="1"/>
  <c r="F11" i="119" s="1"/>
  <c r="I15" i="116"/>
  <c r="J6" i="115"/>
  <c r="J8" i="116"/>
  <c r="E10" i="119" s="1"/>
  <c r="G10" i="119" s="1"/>
  <c r="J18" i="116"/>
  <c r="E14" i="119" s="1"/>
  <c r="G14" i="119" s="1"/>
  <c r="D33" i="115"/>
  <c r="D36" i="115" s="1"/>
  <c r="I8" i="115" s="1"/>
  <c r="C35" i="115"/>
  <c r="C36" i="115" s="1"/>
  <c r="H8" i="115" s="1"/>
  <c r="H11" i="115" s="1"/>
  <c r="D14" i="115"/>
  <c r="E18" i="119" l="1"/>
  <c r="G18" i="119" s="1"/>
  <c r="C7" i="119"/>
  <c r="E16" i="115"/>
  <c r="F14" i="115"/>
  <c r="I21" i="115"/>
  <c r="G20" i="115" s="1"/>
  <c r="D16" i="130" s="1"/>
  <c r="C26" i="130" s="1"/>
  <c r="D12" i="119"/>
  <c r="F12" i="119" s="1"/>
  <c r="J16" i="118"/>
  <c r="J17" i="118" s="1"/>
  <c r="J18" i="118" s="1"/>
  <c r="J7" i="115"/>
  <c r="J9" i="116"/>
  <c r="E11" i="119" s="1"/>
  <c r="G11" i="119" s="1"/>
  <c r="J15" i="116"/>
  <c r="G14" i="115"/>
  <c r="H12" i="115"/>
  <c r="H14" i="115" s="1"/>
  <c r="D16" i="115"/>
  <c r="F16" i="115" s="1"/>
  <c r="E12" i="119" l="1"/>
  <c r="G12" i="119" s="1"/>
  <c r="H15" i="115"/>
  <c r="K16" i="118"/>
  <c r="K17" i="118" s="1"/>
  <c r="K18" i="118" s="1"/>
  <c r="G16" i="115"/>
  <c r="C27" i="116"/>
  <c r="C13" i="116"/>
  <c r="F12" i="116"/>
  <c r="D13" i="116"/>
  <c r="D27" i="116"/>
  <c r="E27" i="116"/>
  <c r="G12" i="116"/>
  <c r="E13" i="116"/>
  <c r="D53" i="127" l="1"/>
  <c r="E113" i="127"/>
  <c r="D12" i="127"/>
  <c r="E12" i="127"/>
  <c r="F113" i="127"/>
  <c r="B116" i="127" s="1"/>
  <c r="E15" i="127" s="1"/>
  <c r="E17" i="127" s="1"/>
  <c r="E53" i="127"/>
  <c r="C21" i="116"/>
  <c r="C12" i="127"/>
  <c r="D113" i="127"/>
  <c r="C53" i="127"/>
  <c r="D21" i="116"/>
  <c r="F13" i="116"/>
  <c r="E21" i="116"/>
  <c r="G13" i="116"/>
  <c r="H16" i="115"/>
  <c r="F30" i="118" s="1"/>
  <c r="F31" i="118" s="1"/>
  <c r="C9" i="119"/>
  <c r="L16" i="118"/>
  <c r="L17" i="118" s="1"/>
  <c r="L18" i="118" s="1"/>
  <c r="H27" i="116"/>
  <c r="J12" i="116" s="1"/>
  <c r="D15" i="127" l="1"/>
  <c r="D17" i="127" s="1"/>
  <c r="B115" i="127"/>
  <c r="C15" i="127"/>
  <c r="C17" i="127" s="1"/>
  <c r="B114" i="127"/>
  <c r="C14" i="127"/>
  <c r="C11" i="127" s="1"/>
  <c r="C19" i="127"/>
  <c r="E19" i="127"/>
  <c r="E14" i="127"/>
  <c r="E11" i="127" s="1"/>
  <c r="D19" i="127"/>
  <c r="D14" i="127"/>
  <c r="D11" i="127" s="1"/>
  <c r="F32" i="118"/>
  <c r="H19" i="116" s="1"/>
  <c r="H20" i="116" s="1"/>
  <c r="C17" i="119"/>
  <c r="I12" i="116"/>
  <c r="E13" i="119" s="1"/>
  <c r="H12" i="116"/>
  <c r="C13" i="119" s="1"/>
  <c r="E50" i="115"/>
  <c r="D13" i="119" l="1"/>
  <c r="F13" i="119" s="1"/>
  <c r="G28" i="118"/>
  <c r="C20" i="119"/>
  <c r="C50" i="115"/>
  <c r="D47" i="115"/>
  <c r="D50" i="115" l="1"/>
  <c r="H50" i="115" s="1"/>
  <c r="H47" i="115" s="1"/>
  <c r="F47" i="115"/>
  <c r="G47" i="115"/>
  <c r="G13" i="119"/>
  <c r="H48" i="115" l="1"/>
  <c r="H11" i="116" s="1"/>
  <c r="C15" i="119"/>
  <c r="C16" i="119" s="1"/>
  <c r="C21" i="119" s="1"/>
  <c r="H10" i="116" l="1"/>
  <c r="D9" i="130"/>
  <c r="I45" i="115"/>
  <c r="I47" i="115" l="1"/>
  <c r="I46" i="115"/>
  <c r="I10" i="115" s="1"/>
  <c r="I11" i="115" s="1"/>
  <c r="D15" i="119" l="1"/>
  <c r="F15" i="119" s="1"/>
  <c r="I12" i="115"/>
  <c r="I14" i="115" s="1"/>
  <c r="I15" i="115" s="1"/>
  <c r="D7" i="119"/>
  <c r="F7" i="119" s="1"/>
  <c r="I48" i="115"/>
  <c r="I16" i="115" l="1"/>
  <c r="G30" i="118" s="1"/>
  <c r="G31" i="118" s="1"/>
  <c r="D9" i="119"/>
  <c r="I11" i="116"/>
  <c r="J45" i="115"/>
  <c r="D16" i="119" l="1"/>
  <c r="F16" i="119" s="1"/>
  <c r="F9" i="119"/>
  <c r="G32" i="118"/>
  <c r="D17" i="119"/>
  <c r="F17" i="119" s="1"/>
  <c r="J46" i="115"/>
  <c r="J10" i="115" s="1"/>
  <c r="J11" i="115" s="1"/>
  <c r="J47" i="115"/>
  <c r="J48" i="115" l="1"/>
  <c r="J11" i="116" s="1"/>
  <c r="E15" i="119"/>
  <c r="G15" i="119" s="1"/>
  <c r="J12" i="115"/>
  <c r="J14" i="115" s="1"/>
  <c r="J15" i="115" s="1"/>
  <c r="E7" i="119"/>
  <c r="G7" i="119" s="1"/>
  <c r="H28" i="118"/>
  <c r="I19" i="116"/>
  <c r="I20" i="116" s="1"/>
  <c r="D20" i="119"/>
  <c r="D21" i="119" s="1"/>
  <c r="E9" i="130" s="1"/>
  <c r="H13" i="116"/>
  <c r="H21" i="116" s="1"/>
  <c r="I10" i="116" l="1"/>
  <c r="I13" i="116" s="1"/>
  <c r="I21" i="116" s="1"/>
  <c r="F21" i="119"/>
  <c r="J16" i="115"/>
  <c r="H30" i="118" s="1"/>
  <c r="H31" i="118" s="1"/>
  <c r="E9" i="119"/>
  <c r="E16" i="119" l="1"/>
  <c r="G16" i="119" s="1"/>
  <c r="G9" i="119"/>
  <c r="H32" i="118"/>
  <c r="E17" i="119"/>
  <c r="G17" i="119" s="1"/>
  <c r="J19" i="116" l="1"/>
  <c r="J20" i="116" s="1"/>
  <c r="E20" i="119"/>
  <c r="E21" i="119" s="1"/>
  <c r="F9" i="130" s="1"/>
  <c r="J10" i="116" l="1"/>
  <c r="J13" i="116" s="1"/>
  <c r="J21" i="116" s="1"/>
  <c r="G21" i="119"/>
</calcChain>
</file>

<file path=xl/sharedStrings.xml><?xml version="1.0" encoding="utf-8"?>
<sst xmlns="http://schemas.openxmlformats.org/spreadsheetml/2006/main" count="394" uniqueCount="213">
  <si>
    <t>Jun. 30, 2021</t>
  </si>
  <si>
    <t>Jun. 30, 2020</t>
  </si>
  <si>
    <t>Jun. 30, 2019</t>
  </si>
  <si>
    <t>Revenue</t>
  </si>
  <si>
    <t>Inventories</t>
  </si>
  <si>
    <t>Other</t>
  </si>
  <si>
    <t>Office Products and Cloud Services</t>
  </si>
  <si>
    <t>Windows</t>
  </si>
  <si>
    <t>Gaming</t>
  </si>
  <si>
    <t>Search Advertising</t>
  </si>
  <si>
    <t>Devices</t>
  </si>
  <si>
    <t>Enterprise Services</t>
  </si>
  <si>
    <t>Commercial Cloud</t>
  </si>
  <si>
    <t>Gross Profit</t>
  </si>
  <si>
    <t>Operating Expenses</t>
  </si>
  <si>
    <t>EBITDA</t>
  </si>
  <si>
    <t>D&amp;A</t>
  </si>
  <si>
    <t>Interest Expenses</t>
  </si>
  <si>
    <t>EBT</t>
  </si>
  <si>
    <t>Tax</t>
  </si>
  <si>
    <t>Net Income</t>
  </si>
  <si>
    <t>$ in Millions</t>
  </si>
  <si>
    <t>COGS</t>
  </si>
  <si>
    <t>P&amp;L Statement: MSFT</t>
  </si>
  <si>
    <t>adj. EBIT</t>
  </si>
  <si>
    <t>%YoY Var. (19-20)</t>
  </si>
  <si>
    <t>%YoY Var. (20-21)</t>
  </si>
  <si>
    <t>Net Working Capital</t>
  </si>
  <si>
    <t>Assets</t>
  </si>
  <si>
    <t xml:space="preserve">net other Income (less interest exp) </t>
  </si>
  <si>
    <t>Forecast</t>
  </si>
  <si>
    <t>Jun. 30, 2022</t>
  </si>
  <si>
    <t>Jun. 30, 2023</t>
  </si>
  <si>
    <t>Jun. 30, 2024</t>
  </si>
  <si>
    <t>Depreciation &amp; Amortization</t>
  </si>
  <si>
    <t>Total Current Assets</t>
  </si>
  <si>
    <t>(-) Cash</t>
  </si>
  <si>
    <t>(-) Current Liabilities</t>
  </si>
  <si>
    <t>(+) Current debt</t>
  </si>
  <si>
    <t>Net Working Capital:</t>
  </si>
  <si>
    <t>Balance Sheet: MSFT</t>
  </si>
  <si>
    <t xml:space="preserve">Cash </t>
  </si>
  <si>
    <t>Total Assets</t>
  </si>
  <si>
    <t>Liabilities and Equity</t>
  </si>
  <si>
    <t>Accounts Payable</t>
  </si>
  <si>
    <t>Other Liabilities</t>
  </si>
  <si>
    <t>Accounts Receivable</t>
  </si>
  <si>
    <t>PP&amp;E</t>
  </si>
  <si>
    <t>Capex</t>
  </si>
  <si>
    <t>Ending PP&amp;E</t>
  </si>
  <si>
    <t>Fixed Asset Roll Forward</t>
  </si>
  <si>
    <t>Assumptions</t>
  </si>
  <si>
    <t>Revenue Growth</t>
  </si>
  <si>
    <t>Base Case</t>
  </si>
  <si>
    <t>Best Case</t>
  </si>
  <si>
    <t>Worst Case</t>
  </si>
  <si>
    <t>COGS (% of Revenue)</t>
  </si>
  <si>
    <t>Opex (% of Revenue)</t>
  </si>
  <si>
    <t>Standard Deviation</t>
  </si>
  <si>
    <t>Selected Case:</t>
  </si>
  <si>
    <t>Check</t>
  </si>
  <si>
    <t>Provisions</t>
  </si>
  <si>
    <t>Financial Liabilities</t>
  </si>
  <si>
    <t>Equity</t>
  </si>
  <si>
    <t>Other  Assets</t>
  </si>
  <si>
    <t>DSO</t>
  </si>
  <si>
    <t>DPO</t>
  </si>
  <si>
    <t>DIO</t>
  </si>
  <si>
    <t>Other Assets%</t>
  </si>
  <si>
    <t>Other Liabilities%</t>
  </si>
  <si>
    <t>D&amp;A as a &amp; of PP&amp;E</t>
  </si>
  <si>
    <t>Capex as a % of PP&amp;E</t>
  </si>
  <si>
    <t>Beginning Debt</t>
  </si>
  <si>
    <t>Principal Repayments</t>
  </si>
  <si>
    <t>Ending Debt</t>
  </si>
  <si>
    <t>Debt Exchange</t>
  </si>
  <si>
    <t>Debt to be repaid in (years)</t>
  </si>
  <si>
    <t>Interest rate</t>
  </si>
  <si>
    <t>Annual Payment</t>
  </si>
  <si>
    <t>Period:</t>
  </si>
  <si>
    <t>Payment</t>
  </si>
  <si>
    <t>Interest Expense</t>
  </si>
  <si>
    <t>Residual Debt</t>
  </si>
  <si>
    <t>Debt Repayment</t>
  </si>
  <si>
    <t>Tax Assumption:</t>
  </si>
  <si>
    <t>Historic Rates:</t>
  </si>
  <si>
    <t>Equity Schedule</t>
  </si>
  <si>
    <t>Beginning Equity</t>
  </si>
  <si>
    <t>Increase in Capital</t>
  </si>
  <si>
    <t>Dividends</t>
  </si>
  <si>
    <t>Ending Equity</t>
  </si>
  <si>
    <t>Payout Ratio</t>
  </si>
  <si>
    <t>20-21</t>
  </si>
  <si>
    <t>Cash Flow: MSFT</t>
  </si>
  <si>
    <t>Taxes</t>
  </si>
  <si>
    <t>Change in AR</t>
  </si>
  <si>
    <t>Change in Inventory</t>
  </si>
  <si>
    <t>Change in AP</t>
  </si>
  <si>
    <t>Change in Other Assets</t>
  </si>
  <si>
    <t>Change in Other Liabilities</t>
  </si>
  <si>
    <t>Operating Cash Flow</t>
  </si>
  <si>
    <t>Change in Financial Liabilities</t>
  </si>
  <si>
    <t>Change in Provisions</t>
  </si>
  <si>
    <t>Change in Equity</t>
  </si>
  <si>
    <t>Net Cash Flow</t>
  </si>
  <si>
    <t>Dynamic 3 Statement Financial Model: MSFT</t>
  </si>
  <si>
    <t xml:space="preserve">Anirudh Srinivas (MSc. Finance and Investment) </t>
  </si>
  <si>
    <t>P&amp;L Model:</t>
  </si>
  <si>
    <t>Balance Sheet Model:</t>
  </si>
  <si>
    <t>Cash Flow Model:</t>
  </si>
  <si>
    <t>Liability and Equity Schedule Calculations:</t>
  </si>
  <si>
    <t>(669-264-0434)</t>
  </si>
  <si>
    <t>A.Srinivas-20@student.lboro.ac.uk</t>
  </si>
  <si>
    <t>YoY% Growth 22-23</t>
  </si>
  <si>
    <t>YoY% Growth 23-24</t>
  </si>
  <si>
    <t>NWC as a % of Revenue</t>
  </si>
  <si>
    <t>Avg NWC% of Rev</t>
  </si>
  <si>
    <t>19-20</t>
  </si>
  <si>
    <t>22-23</t>
  </si>
  <si>
    <t>23-24</t>
  </si>
  <si>
    <t>21-22</t>
  </si>
  <si>
    <t>YoY% 19-20</t>
  </si>
  <si>
    <t>YoY 20-21</t>
  </si>
  <si>
    <t>% of Total</t>
  </si>
  <si>
    <t>Linkedin</t>
  </si>
  <si>
    <t>Year</t>
  </si>
  <si>
    <t>Gross Margin:</t>
  </si>
  <si>
    <t>Operating Margin:</t>
  </si>
  <si>
    <t>Cost Income Ratio:</t>
  </si>
  <si>
    <t>Asset Turnover:</t>
  </si>
  <si>
    <t>Non-Current Assets+ Net Working Capital:</t>
  </si>
  <si>
    <t>2019^</t>
  </si>
  <si>
    <t>2020^</t>
  </si>
  <si>
    <t>2021^</t>
  </si>
  <si>
    <t>ROCE:</t>
  </si>
  <si>
    <t>EBIT:</t>
  </si>
  <si>
    <t>Asset TO</t>
  </si>
  <si>
    <t>Op Margin.</t>
  </si>
  <si>
    <t>AT*OM</t>
  </si>
  <si>
    <t>Net Profit Margin</t>
  </si>
  <si>
    <t xml:space="preserve">Financial Leverage </t>
  </si>
  <si>
    <t>Capital Employed</t>
  </si>
  <si>
    <t>ROE:</t>
  </si>
  <si>
    <t>Interest Cover</t>
  </si>
  <si>
    <t>Calculations:</t>
  </si>
  <si>
    <t>Non-Current Asset Turnover</t>
  </si>
  <si>
    <t>Adjusted Interest Cover Ratio</t>
  </si>
  <si>
    <t>Discounted Cash Flows</t>
  </si>
  <si>
    <t>Rf:</t>
  </si>
  <si>
    <t>B</t>
  </si>
  <si>
    <t>Er</t>
  </si>
  <si>
    <t>COE:</t>
  </si>
  <si>
    <t>Discounted Levered Cash Flows</t>
  </si>
  <si>
    <t>Discount Factor</t>
  </si>
  <si>
    <t>Term:</t>
  </si>
  <si>
    <t>YoY Growth%</t>
  </si>
  <si>
    <t xml:space="preserve">WACC </t>
  </si>
  <si>
    <t>Share Price</t>
  </si>
  <si>
    <t>Cost of Debt</t>
  </si>
  <si>
    <t>T</t>
  </si>
  <si>
    <t>Total Debt</t>
  </si>
  <si>
    <t>Current Maturity of LT Debt</t>
  </si>
  <si>
    <t>Long Term Debt</t>
  </si>
  <si>
    <t>Interest Paid</t>
  </si>
  <si>
    <t>Cost of Equity (CAPM)</t>
  </si>
  <si>
    <t>Interest Rate</t>
  </si>
  <si>
    <t>Shares Outstanding</t>
  </si>
  <si>
    <t>Market Value of Equity</t>
  </si>
  <si>
    <t>Value of Debt</t>
  </si>
  <si>
    <t>E+D</t>
  </si>
  <si>
    <t>Weight of Debt</t>
  </si>
  <si>
    <t>Weight of Equity</t>
  </si>
  <si>
    <t>Sum of Revenue</t>
  </si>
  <si>
    <t>Row Labels</t>
  </si>
  <si>
    <t>Grand Total</t>
  </si>
  <si>
    <t>DASHBOARD</t>
  </si>
  <si>
    <t>Sum of EBITDA</t>
  </si>
  <si>
    <t>Sum of Office Products and Cloud Services</t>
  </si>
  <si>
    <t>Sum of Windows</t>
  </si>
  <si>
    <t>Sum of Gaming</t>
  </si>
  <si>
    <t>Sum of Linkedin</t>
  </si>
  <si>
    <t>Sum of Search Advertising</t>
  </si>
  <si>
    <t>Sum of Devices</t>
  </si>
  <si>
    <t>Sum of Enterprise Services</t>
  </si>
  <si>
    <t>Sum of Other</t>
  </si>
  <si>
    <t>Sum of Commercial Cloud</t>
  </si>
  <si>
    <t>Total Revenue</t>
  </si>
  <si>
    <t>Sum of Total Revenue</t>
  </si>
  <si>
    <t>Operating Margin</t>
  </si>
  <si>
    <t>Product</t>
  </si>
  <si>
    <t>Sum of COGS</t>
  </si>
  <si>
    <t xml:space="preserve"> Office Products and Cloud Services</t>
  </si>
  <si>
    <t xml:space="preserve"> Windows</t>
  </si>
  <si>
    <t xml:space="preserve"> Linkedin</t>
  </si>
  <si>
    <t xml:space="preserve"> Search Advertising</t>
  </si>
  <si>
    <t xml:space="preserve"> Enterprise Services</t>
  </si>
  <si>
    <t xml:space="preserve"> Other</t>
  </si>
  <si>
    <t xml:space="preserve"> Commercial Cloud</t>
  </si>
  <si>
    <t>Expenses</t>
  </si>
  <si>
    <t>Expense</t>
  </si>
  <si>
    <t>ROCE</t>
  </si>
  <si>
    <t>ROE</t>
  </si>
  <si>
    <t xml:space="preserve"> ROCE:</t>
  </si>
  <si>
    <t xml:space="preserve"> ROE:</t>
  </si>
  <si>
    <t>Asset Turnover</t>
  </si>
  <si>
    <t>Selected:</t>
  </si>
  <si>
    <t>Opex</t>
  </si>
  <si>
    <t>Operating Expense</t>
  </si>
  <si>
    <t>Revenue:</t>
  </si>
  <si>
    <t>Contents:</t>
  </si>
  <si>
    <t>Link to Cell Reference</t>
  </si>
  <si>
    <t>Dashboard:</t>
  </si>
  <si>
    <t>DCF: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</si>
</sst>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 &quot;#,##0_);_(&quot;$ &quot;\(#,##0\)"/>
    <numFmt numFmtId="165" formatCode="_(&quot;$ &quot;#,##0.00_);_(&quot;$ &quot;\(#,##0.00\)"/>
    <numFmt numFmtId="166" formatCode="0.0%"/>
    <numFmt numFmtId="167" formatCode="0_);\(0\)"/>
    <numFmt numFmtId="168" formatCode="0.0000000000000000%"/>
    <numFmt numFmtId="169" formatCode="0.000000000000000%"/>
    <numFmt numFmtId="170" formatCode="0.00_);\(0.00\)"/>
    <numFmt numFmtId="171" formatCode="0.000%"/>
    <numFmt numFmtId="172" formatCode="0.0000%"/>
  </numFmts>
  <fonts count="47">
    <font>
      <sz val="11"/>
      <color theme="1"/>
      <name val="Calibri"/>
      <family val="2"/>
      <scheme val="minor"/>
    </font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2060"/>
      <name val="Calibri (Body)"/>
    </font>
    <font>
      <b/>
      <sz val="16"/>
      <color rgb="FF002060"/>
      <name val="Calibri (Body)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b/>
      <sz val="11"/>
      <color rgb="FF002060"/>
      <name val="Calibri"/>
      <family val="2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rgb="FF002060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ArialMT"/>
    </font>
    <font>
      <sz val="11"/>
      <color theme="0"/>
      <name val="Calibri (Body)"/>
    </font>
    <font>
      <b/>
      <sz val="16"/>
      <color rgb="FF00206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u/>
      <sz val="18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u/>
      <sz val="18"/>
      <name val="Calibri"/>
      <family val="2"/>
      <scheme val="minor"/>
    </font>
    <font>
      <b/>
      <sz val="24"/>
      <color rgb="FF002060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u/>
      <sz val="16"/>
      <color rgb="FF002060"/>
      <name val="Calibri"/>
      <family val="2"/>
      <scheme val="minor"/>
    </font>
    <font>
      <b/>
      <sz val="20"/>
      <color rgb="FF002060"/>
      <name val="Calibri"/>
      <family val="2"/>
      <scheme val="minor"/>
    </font>
    <font>
      <sz val="10"/>
      <name val="Arial"/>
      <family val="2"/>
    </font>
    <font>
      <sz val="11"/>
      <color rgb="FFFFFFFF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0"/>
      <color theme="0"/>
      <name val="Calibri"/>
      <family val="2"/>
      <scheme val="minor"/>
    </font>
    <font>
      <sz val="30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sz val="18"/>
      <color rgb="FF002060"/>
      <name val="Calibri"/>
      <family val="2"/>
      <scheme val="minor"/>
    </font>
    <font>
      <b/>
      <sz val="12"/>
      <color rgb="FF4B89CF"/>
      <name val="Calibri"/>
      <family val="2"/>
      <scheme val="minor"/>
    </font>
    <font>
      <sz val="11"/>
      <color rgb="FF4B89CF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20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4" fillId="0" borderId="0"/>
  </cellStyleXfs>
  <cellXfs count="380">
    <xf numFmtId="0" fontId="0" fillId="0" borderId="0" xfId="0"/>
    <xf numFmtId="0" fontId="1" fillId="0" borderId="0" xfId="0" applyFont="1" applyAlignment="1">
      <alignment vertical="top" wrapText="1"/>
    </xf>
    <xf numFmtId="164" fontId="1" fillId="0" borderId="0" xfId="0" applyNumberFormat="1" applyFont="1" applyAlignment="1">
      <alignment horizontal="right" vertical="top"/>
    </xf>
    <xf numFmtId="0" fontId="5" fillId="0" borderId="0" xfId="0" applyFont="1"/>
    <xf numFmtId="3" fontId="0" fillId="0" borderId="0" xfId="0" applyNumberFormat="1"/>
    <xf numFmtId="0" fontId="11" fillId="0" borderId="0" xfId="0" applyFont="1" applyAlignment="1">
      <alignment vertical="top" wrapText="1"/>
    </xf>
    <xf numFmtId="0" fontId="12" fillId="0" borderId="1" xfId="0" applyFont="1" applyFill="1" applyBorder="1" applyAlignment="1">
      <alignment horizontal="center" vertical="center" wrapText="1"/>
    </xf>
    <xf numFmtId="37" fontId="1" fillId="0" borderId="0" xfId="0" applyNumberFormat="1" applyFont="1" applyAlignment="1">
      <alignment horizontal="center" vertical="top"/>
    </xf>
    <xf numFmtId="37" fontId="1" fillId="0" borderId="2" xfId="0" applyNumberFormat="1" applyFont="1" applyBorder="1" applyAlignment="1">
      <alignment horizontal="center" vertical="top"/>
    </xf>
    <xf numFmtId="37" fontId="0" fillId="0" borderId="0" xfId="0" applyNumberFormat="1"/>
    <xf numFmtId="0" fontId="15" fillId="0" borderId="1" xfId="0" applyFont="1" applyBorder="1" applyAlignment="1">
      <alignment horizontal="left" vertical="center"/>
    </xf>
    <xf numFmtId="0" fontId="12" fillId="0" borderId="0" xfId="0" applyFont="1" applyFill="1" applyBorder="1" applyAlignment="1">
      <alignment horizontal="center" vertical="center" wrapText="1"/>
    </xf>
    <xf numFmtId="10" fontId="0" fillId="0" borderId="0" xfId="0" applyNumberFormat="1"/>
    <xf numFmtId="166" fontId="0" fillId="0" borderId="0" xfId="0" applyNumberFormat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66" fontId="0" fillId="0" borderId="3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37" fontId="3" fillId="0" borderId="0" xfId="0" applyNumberFormat="1" applyFont="1" applyAlignment="1">
      <alignment horizontal="center"/>
    </xf>
    <xf numFmtId="0" fontId="0" fillId="2" borderId="0" xfId="0" applyFill="1"/>
    <xf numFmtId="0" fontId="16" fillId="2" borderId="0" xfId="0" applyFont="1" applyFill="1"/>
    <xf numFmtId="0" fontId="16" fillId="2" borderId="0" xfId="0" applyFont="1" applyFill="1" applyAlignment="1">
      <alignment horizontal="center" vertical="center"/>
    </xf>
    <xf numFmtId="37" fontId="1" fillId="0" borderId="0" xfId="0" applyNumberFormat="1" applyFont="1" applyBorder="1" applyAlignment="1">
      <alignment horizontal="center" vertical="top"/>
    </xf>
    <xf numFmtId="37" fontId="1" fillId="0" borderId="0" xfId="0" applyNumberFormat="1" applyFont="1" applyAlignment="1">
      <alignment horizontal="center" vertical="center"/>
    </xf>
    <xf numFmtId="0" fontId="11" fillId="0" borderId="3" xfId="0" applyFont="1" applyBorder="1" applyAlignment="1">
      <alignment vertical="top" wrapText="1"/>
    </xf>
    <xf numFmtId="37" fontId="11" fillId="0" borderId="3" xfId="0" applyNumberFormat="1" applyFont="1" applyBorder="1" applyAlignment="1">
      <alignment horizontal="center" vertical="top"/>
    </xf>
    <xf numFmtId="37" fontId="1" fillId="0" borderId="3" xfId="0" applyNumberFormat="1" applyFont="1" applyBorder="1" applyAlignment="1">
      <alignment horizontal="center" vertical="top"/>
    </xf>
    <xf numFmtId="37" fontId="0" fillId="0" borderId="3" xfId="0" applyNumberFormat="1" applyBorder="1" applyAlignment="1">
      <alignment horizontal="center" vertical="center"/>
    </xf>
    <xf numFmtId="37" fontId="0" fillId="0" borderId="0" xfId="0" applyNumberFormat="1" applyAlignment="1">
      <alignment horizontal="center"/>
    </xf>
    <xf numFmtId="37" fontId="0" fillId="0" borderId="0" xfId="0" applyNumberFormat="1" applyAlignment="1">
      <alignment horizontal="center" vertical="center"/>
    </xf>
    <xf numFmtId="166" fontId="0" fillId="2" borderId="0" xfId="0" applyNumberFormat="1" applyFill="1" applyBorder="1" applyAlignment="1">
      <alignment horizontal="center" vertical="center"/>
    </xf>
    <xf numFmtId="0" fontId="17" fillId="2" borderId="0" xfId="0" applyFont="1" applyFill="1"/>
    <xf numFmtId="0" fontId="0" fillId="0" borderId="2" xfId="0" applyBorder="1"/>
    <xf numFmtId="0" fontId="17" fillId="2" borderId="0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18" fillId="2" borderId="4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4" fillId="0" borderId="5" xfId="0" applyFont="1" applyBorder="1" applyAlignment="1">
      <alignment horizontal="left" vertical="center"/>
    </xf>
    <xf numFmtId="3" fontId="1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0" fillId="2" borderId="0" xfId="0" applyFont="1" applyFill="1" applyAlignment="1">
      <alignment vertical="top" wrapText="1"/>
    </xf>
    <xf numFmtId="37" fontId="11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11" fillId="0" borderId="7" xfId="0" applyFont="1" applyBorder="1" applyAlignment="1">
      <alignment vertical="top" wrapText="1"/>
    </xf>
    <xf numFmtId="0" fontId="11" fillId="0" borderId="9" xfId="0" applyFont="1" applyBorder="1" applyAlignment="1">
      <alignment vertical="top" wrapText="1"/>
    </xf>
    <xf numFmtId="0" fontId="1" fillId="0" borderId="1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11" xfId="0" applyFont="1" applyBorder="1" applyAlignment="1">
      <alignment vertical="top" wrapText="1"/>
    </xf>
    <xf numFmtId="0" fontId="11" fillId="0" borderId="4" xfId="0" applyFont="1" applyBorder="1" applyAlignment="1">
      <alignment vertical="top" wrapText="1"/>
    </xf>
    <xf numFmtId="0" fontId="8" fillId="0" borderId="14" xfId="0" applyFont="1" applyBorder="1" applyAlignment="1">
      <alignment horizontal="left" vertical="center"/>
    </xf>
    <xf numFmtId="37" fontId="19" fillId="0" borderId="0" xfId="0" applyNumberFormat="1" applyFont="1" applyAlignment="1">
      <alignment horizontal="center" vertical="center"/>
    </xf>
    <xf numFmtId="37" fontId="19" fillId="0" borderId="0" xfId="0" applyNumberFormat="1" applyFont="1" applyBorder="1" applyAlignment="1">
      <alignment horizontal="center" vertical="center"/>
    </xf>
    <xf numFmtId="37" fontId="1" fillId="0" borderId="0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left" vertical="center" wrapText="1"/>
    </xf>
    <xf numFmtId="37" fontId="1" fillId="0" borderId="0" xfId="0" applyNumberFormat="1" applyFont="1" applyFill="1" applyBorder="1" applyAlignment="1">
      <alignment horizontal="center" vertical="top"/>
    </xf>
    <xf numFmtId="0" fontId="9" fillId="2" borderId="0" xfId="0" applyFont="1" applyFill="1" applyBorder="1" applyAlignment="1">
      <alignment vertical="top" wrapText="1"/>
    </xf>
    <xf numFmtId="165" fontId="1" fillId="2" borderId="0" xfId="0" applyNumberFormat="1" applyFont="1" applyFill="1" applyBorder="1" applyAlignment="1">
      <alignment horizontal="right" vertical="top"/>
    </xf>
    <xf numFmtId="0" fontId="0" fillId="2" borderId="0" xfId="0" applyFill="1" applyBorder="1"/>
    <xf numFmtId="9" fontId="0" fillId="0" borderId="0" xfId="0" applyNumberFormat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0" borderId="0" xfId="0" applyFill="1"/>
    <xf numFmtId="9" fontId="0" fillId="0" borderId="0" xfId="0" applyNumberFormat="1"/>
    <xf numFmtId="166" fontId="0" fillId="3" borderId="0" xfId="0" applyNumberFormat="1" applyFill="1" applyBorder="1" applyAlignment="1">
      <alignment horizontal="center" vertical="center"/>
    </xf>
    <xf numFmtId="0" fontId="0" fillId="3" borderId="0" xfId="0" applyFill="1"/>
    <xf numFmtId="0" fontId="11" fillId="3" borderId="13" xfId="0" applyFont="1" applyFill="1" applyBorder="1" applyAlignment="1">
      <alignment vertical="top" wrapText="1"/>
    </xf>
    <xf numFmtId="9" fontId="0" fillId="3" borderId="0" xfId="0" applyNumberFormat="1" applyFill="1" applyAlignment="1">
      <alignment horizontal="center" vertical="center"/>
    </xf>
    <xf numFmtId="0" fontId="7" fillId="3" borderId="13" xfId="0" applyFont="1" applyFill="1" applyBorder="1" applyAlignment="1">
      <alignment horizontal="left" vertical="center" wrapText="1"/>
    </xf>
    <xf numFmtId="9" fontId="4" fillId="3" borderId="0" xfId="0" applyNumberFormat="1" applyFont="1" applyFill="1" applyAlignment="1">
      <alignment horizontal="center" vertical="center"/>
    </xf>
    <xf numFmtId="0" fontId="10" fillId="2" borderId="0" xfId="0" applyFont="1" applyFill="1" applyBorder="1" applyAlignment="1" applyProtection="1">
      <alignment horizontal="left" vertical="center" wrapText="1"/>
    </xf>
    <xf numFmtId="37" fontId="1" fillId="2" borderId="0" xfId="0" applyNumberFormat="1" applyFont="1" applyFill="1" applyBorder="1" applyAlignment="1" applyProtection="1">
      <alignment horizontal="center" vertical="top"/>
    </xf>
    <xf numFmtId="0" fontId="0" fillId="0" borderId="0" xfId="0" applyProtection="1"/>
    <xf numFmtId="0" fontId="12" fillId="3" borderId="16" xfId="0" applyFont="1" applyFill="1" applyBorder="1" applyAlignment="1" applyProtection="1">
      <alignment horizontal="left" vertical="center" wrapText="1"/>
    </xf>
    <xf numFmtId="9" fontId="1" fillId="3" borderId="3" xfId="0" applyNumberFormat="1" applyFont="1" applyFill="1" applyBorder="1" applyAlignment="1" applyProtection="1">
      <alignment horizontal="center" vertical="top"/>
    </xf>
    <xf numFmtId="166" fontId="0" fillId="3" borderId="0" xfId="0" applyNumberFormat="1" applyFill="1" applyBorder="1" applyAlignment="1" applyProtection="1">
      <alignment horizontal="center" vertical="center"/>
    </xf>
    <xf numFmtId="37" fontId="1" fillId="3" borderId="3" xfId="0" applyNumberFormat="1" applyFont="1" applyFill="1" applyBorder="1" applyAlignment="1" applyProtection="1">
      <alignment horizontal="center" vertical="top"/>
    </xf>
    <xf numFmtId="0" fontId="11" fillId="3" borderId="13" xfId="0" applyFont="1" applyFill="1" applyBorder="1" applyAlignment="1" applyProtection="1">
      <alignment horizontal="left" vertical="center" wrapText="1"/>
    </xf>
    <xf numFmtId="9" fontId="1" fillId="3" borderId="0" xfId="0" applyNumberFormat="1" applyFont="1" applyFill="1" applyBorder="1" applyAlignment="1" applyProtection="1">
      <alignment horizontal="center" vertical="top"/>
    </xf>
    <xf numFmtId="37" fontId="1" fillId="3" borderId="0" xfId="0" applyNumberFormat="1" applyFont="1" applyFill="1" applyBorder="1" applyAlignment="1" applyProtection="1">
      <alignment horizontal="center" vertical="top"/>
    </xf>
    <xf numFmtId="9" fontId="4" fillId="3" borderId="0" xfId="0" applyNumberFormat="1" applyFont="1" applyFill="1" applyBorder="1" applyAlignment="1" applyProtection="1">
      <alignment horizontal="center" vertical="top"/>
    </xf>
    <xf numFmtId="0" fontId="0" fillId="3" borderId="0" xfId="0" applyFill="1" applyProtection="1"/>
    <xf numFmtId="0" fontId="12" fillId="3" borderId="16" xfId="0" applyFont="1" applyFill="1" applyBorder="1" applyAlignment="1" applyProtection="1">
      <alignment vertical="top" wrapText="1"/>
    </xf>
    <xf numFmtId="9" fontId="0" fillId="3" borderId="3" xfId="0" applyNumberFormat="1" applyFill="1" applyBorder="1" applyAlignment="1" applyProtection="1">
      <alignment horizontal="center" vertical="center"/>
    </xf>
    <xf numFmtId="0" fontId="11" fillId="3" borderId="13" xfId="0" applyFont="1" applyFill="1" applyBorder="1" applyAlignment="1" applyProtection="1">
      <alignment vertical="top" wrapText="1"/>
    </xf>
    <xf numFmtId="9" fontId="0" fillId="3" borderId="0" xfId="0" applyNumberFormat="1" applyFill="1" applyAlignment="1" applyProtection="1">
      <alignment horizontal="center" vertical="center"/>
    </xf>
    <xf numFmtId="9" fontId="0" fillId="3" borderId="0" xfId="0" applyNumberFormat="1" applyFill="1" applyProtection="1"/>
    <xf numFmtId="9" fontId="4" fillId="3" borderId="0" xfId="0" applyNumberFormat="1" applyFont="1" applyFill="1" applyAlignment="1" applyProtection="1">
      <alignment horizontal="center" vertical="center"/>
    </xf>
    <xf numFmtId="0" fontId="7" fillId="3" borderId="13" xfId="0" applyFont="1" applyFill="1" applyBorder="1" applyAlignment="1" applyProtection="1">
      <alignment vertical="top" wrapText="1"/>
    </xf>
    <xf numFmtId="0" fontId="7" fillId="3" borderId="13" xfId="0" applyFont="1" applyFill="1" applyBorder="1" applyAlignment="1" applyProtection="1">
      <alignment horizontal="left" vertical="center" wrapText="1"/>
    </xf>
    <xf numFmtId="166" fontId="0" fillId="2" borderId="2" xfId="0" applyNumberFormat="1" applyFill="1" applyBorder="1" applyAlignment="1" applyProtection="1">
      <alignment horizontal="center" vertical="center"/>
    </xf>
    <xf numFmtId="166" fontId="0" fillId="3" borderId="3" xfId="0" applyNumberFormat="1" applyFill="1" applyBorder="1" applyAlignment="1" applyProtection="1">
      <alignment horizontal="center" vertical="center"/>
    </xf>
    <xf numFmtId="0" fontId="7" fillId="0" borderId="14" xfId="0" applyFont="1" applyBorder="1" applyAlignment="1">
      <alignment horizontal="left" vertical="center"/>
    </xf>
    <xf numFmtId="37" fontId="11" fillId="0" borderId="0" xfId="0" applyNumberFormat="1" applyFont="1" applyAlignment="1">
      <alignment horizontal="center" vertical="top"/>
    </xf>
    <xf numFmtId="37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37" fontId="3" fillId="0" borderId="16" xfId="0" applyNumberFormat="1" applyFont="1" applyBorder="1" applyAlignment="1">
      <alignment horizontal="center" vertical="center"/>
    </xf>
    <xf numFmtId="37" fontId="0" fillId="2" borderId="0" xfId="0" applyNumberFormat="1" applyFill="1" applyAlignment="1">
      <alignment horizontal="center" vertical="center"/>
    </xf>
    <xf numFmtId="37" fontId="3" fillId="0" borderId="3" xfId="0" applyNumberFormat="1" applyFont="1" applyBorder="1" applyAlignment="1">
      <alignment horizontal="center" vertical="center"/>
    </xf>
    <xf numFmtId="37" fontId="3" fillId="0" borderId="0" xfId="0" applyNumberFormat="1" applyFont="1" applyBorder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0" fontId="0" fillId="0" borderId="0" xfId="0" applyBorder="1"/>
    <xf numFmtId="0" fontId="14" fillId="0" borderId="0" xfId="0" applyFont="1" applyBorder="1" applyAlignment="1">
      <alignment horizontal="left" vertical="center"/>
    </xf>
    <xf numFmtId="9" fontId="0" fillId="0" borderId="13" xfId="0" applyNumberFormat="1" applyBorder="1" applyAlignment="1">
      <alignment horizontal="center" vertical="center"/>
    </xf>
    <xf numFmtId="9" fontId="0" fillId="2" borderId="13" xfId="0" applyNumberFormat="1" applyFill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166" fontId="0" fillId="0" borderId="18" xfId="0" applyNumberFormat="1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166" fontId="0" fillId="0" borderId="17" xfId="0" applyNumberFormat="1" applyBorder="1" applyAlignment="1">
      <alignment horizontal="center" vertical="center"/>
    </xf>
    <xf numFmtId="166" fontId="0" fillId="0" borderId="16" xfId="0" applyNumberFormat="1" applyBorder="1" applyAlignment="1">
      <alignment horizontal="center" vertical="center"/>
    </xf>
    <xf numFmtId="166" fontId="0" fillId="2" borderId="17" xfId="0" applyNumberFormat="1" applyFill="1" applyBorder="1" applyAlignment="1" applyProtection="1">
      <alignment horizontal="center" vertical="center"/>
    </xf>
    <xf numFmtId="166" fontId="0" fillId="3" borderId="16" xfId="0" applyNumberFormat="1" applyFill="1" applyBorder="1" applyAlignment="1" applyProtection="1">
      <alignment horizontal="center" vertical="center"/>
    </xf>
    <xf numFmtId="166" fontId="0" fillId="3" borderId="13" xfId="0" applyNumberFormat="1" applyFill="1" applyBorder="1" applyAlignment="1" applyProtection="1">
      <alignment horizontal="center" vertical="center"/>
    </xf>
    <xf numFmtId="166" fontId="0" fillId="2" borderId="13" xfId="0" applyNumberFormat="1" applyFill="1" applyBorder="1" applyAlignment="1">
      <alignment horizontal="center" vertical="center"/>
    </xf>
    <xf numFmtId="166" fontId="0" fillId="3" borderId="13" xfId="0" applyNumberFormat="1" applyFill="1" applyBorder="1" applyAlignment="1">
      <alignment horizontal="center" vertical="center"/>
    </xf>
    <xf numFmtId="37" fontId="1" fillId="0" borderId="18" xfId="0" applyNumberFormat="1" applyFont="1" applyBorder="1" applyAlignment="1">
      <alignment horizontal="center" vertical="top"/>
    </xf>
    <xf numFmtId="37" fontId="1" fillId="0" borderId="13" xfId="0" applyNumberFormat="1" applyFont="1" applyBorder="1" applyAlignment="1">
      <alignment horizontal="center" vertical="top"/>
    </xf>
    <xf numFmtId="37" fontId="1" fillId="0" borderId="17" xfId="0" applyNumberFormat="1" applyFont="1" applyBorder="1" applyAlignment="1">
      <alignment horizontal="center" vertical="top"/>
    </xf>
    <xf numFmtId="37" fontId="11" fillId="0" borderId="16" xfId="0" applyNumberFormat="1" applyFont="1" applyBorder="1" applyAlignment="1">
      <alignment horizontal="center" vertical="top"/>
    </xf>
    <xf numFmtId="3" fontId="16" fillId="2" borderId="0" xfId="0" applyNumberFormat="1" applyFont="1" applyFill="1" applyAlignment="1">
      <alignment horizontal="center" vertical="center"/>
    </xf>
    <xf numFmtId="0" fontId="17" fillId="0" borderId="0" xfId="0" applyFont="1" applyFill="1" applyBorder="1" applyAlignment="1">
      <alignment horizontal="left" vertical="center"/>
    </xf>
    <xf numFmtId="3" fontId="16" fillId="0" borderId="0" xfId="0" applyNumberFormat="1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8" fillId="2" borderId="0" xfId="0" applyFont="1" applyFill="1"/>
    <xf numFmtId="3" fontId="3" fillId="2" borderId="0" xfId="0" applyNumberFormat="1" applyFont="1" applyFill="1" applyAlignment="1">
      <alignment horizontal="center" vertical="center"/>
    </xf>
    <xf numFmtId="0" fontId="8" fillId="3" borderId="0" xfId="0" applyFont="1" applyFill="1" applyBorder="1" applyAlignment="1">
      <alignment horizontal="left" vertical="center"/>
    </xf>
    <xf numFmtId="167" fontId="0" fillId="3" borderId="0" xfId="0" applyNumberFormat="1" applyFill="1" applyBorder="1" applyAlignment="1">
      <alignment horizontal="center" vertical="center"/>
    </xf>
    <xf numFmtId="167" fontId="0" fillId="3" borderId="0" xfId="0" applyNumberFormat="1" applyFill="1" applyBorder="1" applyAlignment="1">
      <alignment horizontal="center"/>
    </xf>
    <xf numFmtId="0" fontId="7" fillId="3" borderId="0" xfId="0" applyFont="1" applyFill="1" applyBorder="1" applyAlignment="1">
      <alignment horizontal="left" vertical="center"/>
    </xf>
    <xf numFmtId="9" fontId="0" fillId="3" borderId="0" xfId="0" applyNumberFormat="1" applyFill="1" applyBorder="1" applyAlignment="1">
      <alignment horizontal="center"/>
    </xf>
    <xf numFmtId="167" fontId="7" fillId="3" borderId="0" xfId="0" applyNumberFormat="1" applyFont="1" applyFill="1" applyBorder="1" applyAlignment="1">
      <alignment horizontal="center" vertical="center" wrapText="1"/>
    </xf>
    <xf numFmtId="9" fontId="0" fillId="3" borderId="0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9" fontId="7" fillId="3" borderId="0" xfId="0" applyNumberFormat="1" applyFont="1" applyFill="1" applyBorder="1" applyAlignment="1">
      <alignment horizontal="center" vertical="center" wrapText="1"/>
    </xf>
    <xf numFmtId="37" fontId="0" fillId="0" borderId="2" xfId="0" applyNumberFormat="1" applyBorder="1" applyAlignment="1">
      <alignment horizontal="center" vertical="center"/>
    </xf>
    <xf numFmtId="37" fontId="0" fillId="0" borderId="0" xfId="0" applyNumberFormat="1" applyBorder="1" applyAlignment="1">
      <alignment horizontal="center" vertical="center"/>
    </xf>
    <xf numFmtId="37" fontId="3" fillId="0" borderId="15" xfId="0" applyNumberFormat="1" applyFont="1" applyBorder="1" applyAlignment="1">
      <alignment horizontal="center" vertical="center"/>
    </xf>
    <xf numFmtId="37" fontId="3" fillId="0" borderId="19" xfId="0" applyNumberFormat="1" applyFont="1" applyBorder="1" applyAlignment="1">
      <alignment horizontal="center" vertical="center"/>
    </xf>
    <xf numFmtId="37" fontId="0" fillId="0" borderId="13" xfId="0" applyNumberFormat="1" applyBorder="1" applyAlignment="1">
      <alignment horizontal="center" vertical="center"/>
    </xf>
    <xf numFmtId="37" fontId="0" fillId="2" borderId="13" xfId="0" applyNumberFormat="1" applyFill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0" fontId="11" fillId="0" borderId="0" xfId="0" applyFont="1" applyFill="1" applyBorder="1" applyAlignment="1">
      <alignment vertical="top" wrapText="1"/>
    </xf>
    <xf numFmtId="37" fontId="11" fillId="0" borderId="3" xfId="0" applyNumberFormat="1" applyFont="1" applyBorder="1" applyAlignment="1">
      <alignment horizontal="center" vertical="center"/>
    </xf>
    <xf numFmtId="37" fontId="3" fillId="0" borderId="13" xfId="0" applyNumberFormat="1" applyFont="1" applyBorder="1" applyAlignment="1">
      <alignment horizontal="center" vertical="center"/>
    </xf>
    <xf numFmtId="0" fontId="11" fillId="3" borderId="0" xfId="0" applyFont="1" applyFill="1" applyBorder="1" applyAlignment="1">
      <alignment vertical="top" wrapText="1"/>
    </xf>
    <xf numFmtId="9" fontId="3" fillId="3" borderId="0" xfId="0" applyNumberFormat="1" applyFont="1" applyFill="1" applyAlignment="1">
      <alignment horizontal="center" vertical="center"/>
    </xf>
    <xf numFmtId="0" fontId="3" fillId="3" borderId="0" xfId="0" applyFont="1" applyFill="1"/>
    <xf numFmtId="37" fontId="8" fillId="0" borderId="3" xfId="0" applyNumberFormat="1" applyFont="1" applyBorder="1" applyAlignment="1">
      <alignment horizontal="center"/>
    </xf>
    <xf numFmtId="37" fontId="8" fillId="0" borderId="0" xfId="0" applyNumberFormat="1" applyFont="1" applyBorder="1" applyAlignment="1">
      <alignment horizontal="center"/>
    </xf>
    <xf numFmtId="37" fontId="8" fillId="0" borderId="13" xfId="0" applyNumberFormat="1" applyFont="1" applyBorder="1" applyAlignment="1">
      <alignment horizontal="center"/>
    </xf>
    <xf numFmtId="3" fontId="3" fillId="3" borderId="0" xfId="0" applyNumberFormat="1" applyFont="1" applyFill="1" applyAlignment="1">
      <alignment horizontal="center" vertical="center"/>
    </xf>
    <xf numFmtId="0" fontId="20" fillId="2" borderId="0" xfId="0" applyFont="1" applyFill="1" applyBorder="1" applyAlignment="1">
      <alignment vertical="top" wrapText="1"/>
    </xf>
    <xf numFmtId="0" fontId="20" fillId="0" borderId="0" xfId="0" applyFont="1" applyFill="1"/>
    <xf numFmtId="37" fontId="0" fillId="0" borderId="0" xfId="0" applyNumberFormat="1" applyFill="1" applyAlignment="1">
      <alignment horizontal="center" vertical="center"/>
    </xf>
    <xf numFmtId="37" fontId="11" fillId="0" borderId="0" xfId="0" applyNumberFormat="1" applyFon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0" fontId="20" fillId="2" borderId="0" xfId="0" applyFont="1" applyFill="1" applyAlignment="1">
      <alignment horizontal="center"/>
    </xf>
    <xf numFmtId="37" fontId="1" fillId="0" borderId="6" xfId="0" applyNumberFormat="1" applyFont="1" applyBorder="1" applyAlignment="1">
      <alignment horizontal="center" vertical="top"/>
    </xf>
    <xf numFmtId="37" fontId="1" fillId="0" borderId="7" xfId="0" applyNumberFormat="1" applyFont="1" applyBorder="1" applyAlignment="1">
      <alignment horizontal="center" vertical="top"/>
    </xf>
    <xf numFmtId="37" fontId="1" fillId="0" borderId="8" xfId="0" applyNumberFormat="1" applyFont="1" applyBorder="1" applyAlignment="1">
      <alignment horizontal="center" vertical="top"/>
    </xf>
    <xf numFmtId="37" fontId="11" fillId="0" borderId="9" xfId="0" applyNumberFormat="1" applyFont="1" applyBorder="1" applyAlignment="1">
      <alignment horizontal="center" vertical="top"/>
    </xf>
    <xf numFmtId="37" fontId="0" fillId="0" borderId="7" xfId="0" applyNumberFormat="1" applyBorder="1" applyAlignment="1">
      <alignment horizontal="center" vertical="center"/>
    </xf>
    <xf numFmtId="37" fontId="1" fillId="0" borderId="19" xfId="0" applyNumberFormat="1" applyFont="1" applyBorder="1" applyAlignment="1">
      <alignment horizontal="center" vertical="top"/>
    </xf>
    <xf numFmtId="37" fontId="0" fillId="0" borderId="19" xfId="0" applyNumberFormat="1" applyBorder="1" applyAlignment="1">
      <alignment horizontal="center" vertical="center"/>
    </xf>
    <xf numFmtId="37" fontId="0" fillId="0" borderId="0" xfId="0" applyNumberFormat="1" applyBorder="1" applyAlignment="1">
      <alignment horizontal="center"/>
    </xf>
    <xf numFmtId="0" fontId="0" fillId="0" borderId="7" xfId="0" applyBorder="1"/>
    <xf numFmtId="37" fontId="3" fillId="0" borderId="20" xfId="0" applyNumberFormat="1" applyFont="1" applyBorder="1" applyAlignment="1">
      <alignment horizontal="center" vertical="center"/>
    </xf>
    <xf numFmtId="37" fontId="0" fillId="2" borderId="7" xfId="0" applyNumberFormat="1" applyFill="1" applyBorder="1" applyAlignment="1">
      <alignment horizontal="center" vertical="center"/>
    </xf>
    <xf numFmtId="9" fontId="1" fillId="0" borderId="0" xfId="0" applyNumberFormat="1" applyFont="1" applyFill="1" applyBorder="1" applyAlignment="1" applyProtection="1">
      <alignment horizontal="center" vertical="top"/>
    </xf>
    <xf numFmtId="0" fontId="0" fillId="3" borderId="13" xfId="0" applyFill="1" applyBorder="1" applyProtection="1"/>
    <xf numFmtId="166" fontId="0" fillId="3" borderId="13" xfId="0" applyNumberFormat="1" applyFill="1" applyBorder="1" applyAlignment="1" applyProtection="1">
      <alignment horizontal="left" vertical="center"/>
    </xf>
    <xf numFmtId="166" fontId="14" fillId="3" borderId="0" xfId="0" applyNumberFormat="1" applyFont="1" applyFill="1" applyBorder="1" applyAlignment="1" applyProtection="1">
      <alignment horizontal="center" vertical="center"/>
    </xf>
    <xf numFmtId="37" fontId="0" fillId="0" borderId="17" xfId="0" applyNumberFormat="1" applyBorder="1" applyAlignment="1">
      <alignment horizontal="center" vertical="center"/>
    </xf>
    <xf numFmtId="37" fontId="0" fillId="0" borderId="6" xfId="0" applyNumberFormat="1" applyBorder="1" applyAlignment="1">
      <alignment horizontal="center" vertical="center"/>
    </xf>
    <xf numFmtId="37" fontId="3" fillId="0" borderId="7" xfId="0" applyNumberFormat="1" applyFont="1" applyBorder="1" applyAlignment="1">
      <alignment horizontal="center" vertical="center"/>
    </xf>
    <xf numFmtId="37" fontId="11" fillId="0" borderId="9" xfId="0" applyNumberFormat="1" applyFon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37" fontId="1" fillId="0" borderId="16" xfId="0" applyNumberFormat="1" applyFont="1" applyBorder="1" applyAlignment="1">
      <alignment horizontal="center" vertical="top"/>
    </xf>
    <xf numFmtId="37" fontId="1" fillId="0" borderId="9" xfId="0" applyNumberFormat="1" applyFont="1" applyBorder="1" applyAlignment="1">
      <alignment horizontal="center" vertical="top"/>
    </xf>
    <xf numFmtId="0" fontId="12" fillId="0" borderId="4" xfId="0" applyFont="1" applyBorder="1" applyAlignment="1">
      <alignment horizontal="left" vertical="center" wrapText="1"/>
    </xf>
    <xf numFmtId="0" fontId="11" fillId="0" borderId="2" xfId="0" applyFont="1" applyFill="1" applyBorder="1" applyAlignment="1">
      <alignment vertical="top" wrapText="1"/>
    </xf>
    <xf numFmtId="37" fontId="8" fillId="3" borderId="0" xfId="0" applyNumberFormat="1" applyFont="1" applyFill="1" applyBorder="1" applyAlignment="1">
      <alignment horizontal="center"/>
    </xf>
    <xf numFmtId="37" fontId="1" fillId="3" borderId="0" xfId="0" applyNumberFormat="1" applyFont="1" applyFill="1" applyAlignment="1">
      <alignment horizontal="center" vertical="top"/>
    </xf>
    <xf numFmtId="37" fontId="8" fillId="3" borderId="2" xfId="0" applyNumberFormat="1" applyFont="1" applyFill="1" applyBorder="1" applyAlignment="1">
      <alignment horizontal="center"/>
    </xf>
    <xf numFmtId="0" fontId="11" fillId="0" borderId="12" xfId="0" applyFont="1" applyBorder="1" applyAlignment="1">
      <alignment vertical="top" wrapText="1"/>
    </xf>
    <xf numFmtId="0" fontId="11" fillId="0" borderId="12" xfId="0" applyFont="1" applyFill="1" applyBorder="1" applyAlignment="1">
      <alignment vertical="top" wrapText="1"/>
    </xf>
    <xf numFmtId="37" fontId="8" fillId="0" borderId="0" xfId="0" applyNumberFormat="1" applyFont="1" applyBorder="1" applyAlignment="1">
      <alignment horizontal="center" vertical="center"/>
    </xf>
    <xf numFmtId="37" fontId="8" fillId="0" borderId="6" xfId="0" applyNumberFormat="1" applyFont="1" applyBorder="1" applyAlignment="1">
      <alignment horizontal="center" vertical="center"/>
    </xf>
    <xf numFmtId="37" fontId="0" fillId="0" borderId="9" xfId="0" applyNumberFormat="1" applyBorder="1" applyAlignment="1">
      <alignment horizontal="center" vertical="center"/>
    </xf>
    <xf numFmtId="37" fontId="0" fillId="0" borderId="7" xfId="0" applyNumberFormat="1" applyBorder="1" applyAlignment="1">
      <alignment horizontal="center"/>
    </xf>
    <xf numFmtId="37" fontId="0" fillId="0" borderId="3" xfId="0" applyNumberFormat="1" applyBorder="1" applyAlignment="1">
      <alignment horizontal="center"/>
    </xf>
    <xf numFmtId="37" fontId="0" fillId="0" borderId="9" xfId="0" applyNumberFormat="1" applyBorder="1" applyAlignment="1">
      <alignment horizontal="center"/>
    </xf>
    <xf numFmtId="37" fontId="0" fillId="0" borderId="0" xfId="0" applyNumberFormat="1" applyFill="1" applyBorder="1" applyAlignment="1">
      <alignment horizontal="center" vertical="center"/>
    </xf>
    <xf numFmtId="37" fontId="0" fillId="0" borderId="8" xfId="0" applyNumberFormat="1" applyBorder="1" applyAlignment="1">
      <alignment horizontal="center" vertical="center"/>
    </xf>
    <xf numFmtId="0" fontId="17" fillId="2" borderId="19" xfId="0" applyFont="1" applyFill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37" fontId="3" fillId="0" borderId="17" xfId="0" applyNumberFormat="1" applyFont="1" applyBorder="1" applyAlignment="1">
      <alignment horizontal="center" vertical="center"/>
    </xf>
    <xf numFmtId="37" fontId="3" fillId="0" borderId="2" xfId="0" applyNumberFormat="1" applyFont="1" applyBorder="1" applyAlignment="1">
      <alignment horizontal="center" vertical="center"/>
    </xf>
    <xf numFmtId="37" fontId="3" fillId="0" borderId="8" xfId="0" applyNumberFormat="1" applyFont="1" applyBorder="1" applyAlignment="1">
      <alignment horizontal="center" vertical="center"/>
    </xf>
    <xf numFmtId="3" fontId="7" fillId="0" borderId="13" xfId="0" applyNumberFormat="1" applyFont="1" applyFill="1" applyBorder="1" applyAlignment="1">
      <alignment horizontal="center" vertical="center"/>
    </xf>
    <xf numFmtId="3" fontId="7" fillId="0" borderId="7" xfId="0" applyNumberFormat="1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14" fillId="0" borderId="4" xfId="0" applyFont="1" applyBorder="1"/>
    <xf numFmtId="0" fontId="7" fillId="0" borderId="11" xfId="0" applyFont="1" applyBorder="1"/>
    <xf numFmtId="0" fontId="23" fillId="0" borderId="0" xfId="0" applyFont="1" applyFill="1"/>
    <xf numFmtId="0" fontId="14" fillId="0" borderId="0" xfId="0" applyFont="1" applyFill="1"/>
    <xf numFmtId="0" fontId="25" fillId="0" borderId="0" xfId="0" applyFont="1" applyFill="1"/>
    <xf numFmtId="0" fontId="26" fillId="0" borderId="0" xfId="2" applyFont="1" applyFill="1"/>
    <xf numFmtId="0" fontId="0" fillId="0" borderId="0" xfId="0" applyFill="1" applyBorder="1"/>
    <xf numFmtId="0" fontId="28" fillId="0" borderId="0" xfId="0" applyFont="1"/>
    <xf numFmtId="0" fontId="29" fillId="2" borderId="1" xfId="0" applyFont="1" applyFill="1" applyBorder="1"/>
    <xf numFmtId="9" fontId="0" fillId="0" borderId="0" xfId="0" applyNumberFormat="1" applyFill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9" fontId="0" fillId="0" borderId="11" xfId="0" applyNumberFormat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37" fontId="11" fillId="3" borderId="0" xfId="0" applyNumberFormat="1" applyFont="1" applyFill="1" applyBorder="1" applyAlignment="1" applyProtection="1">
      <alignment horizontal="center" vertical="top"/>
    </xf>
    <xf numFmtId="0" fontId="1" fillId="3" borderId="0" xfId="0" applyNumberFormat="1" applyFont="1" applyFill="1" applyBorder="1" applyAlignment="1" applyProtection="1">
      <alignment horizontal="center" vertical="center"/>
    </xf>
    <xf numFmtId="0" fontId="0" fillId="3" borderId="0" xfId="0" applyNumberFormat="1" applyFill="1" applyAlignment="1" applyProtection="1">
      <alignment horizontal="center" vertical="center"/>
    </xf>
    <xf numFmtId="9" fontId="0" fillId="3" borderId="0" xfId="0" applyNumberFormat="1" applyFill="1" applyAlignment="1" applyProtection="1">
      <alignment horizontal="center"/>
    </xf>
    <xf numFmtId="0" fontId="0" fillId="3" borderId="0" xfId="0" applyFill="1" applyAlignment="1" applyProtection="1">
      <alignment horizontal="center"/>
    </xf>
    <xf numFmtId="9" fontId="0" fillId="0" borderId="0" xfId="1" applyFont="1"/>
    <xf numFmtId="9" fontId="0" fillId="0" borderId="0" xfId="1" applyFont="1" applyAlignment="1">
      <alignment horizontal="center"/>
    </xf>
    <xf numFmtId="9" fontId="0" fillId="0" borderId="0" xfId="1" applyFont="1" applyAlignment="1">
      <alignment horizontal="center" vertical="center"/>
    </xf>
    <xf numFmtId="0" fontId="11" fillId="0" borderId="0" xfId="0" applyFont="1" applyAlignment="1">
      <alignment horizontal="center" wrapText="1"/>
    </xf>
    <xf numFmtId="9" fontId="3" fillId="0" borderId="0" xfId="1" applyFont="1" applyFill="1" applyBorder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9" fontId="3" fillId="0" borderId="0" xfId="1" applyNumberFormat="1" applyFont="1" applyFill="1" applyBorder="1" applyAlignment="1">
      <alignment horizontal="center" vertical="center"/>
    </xf>
    <xf numFmtId="9" fontId="0" fillId="0" borderId="0" xfId="0" applyNumberFormat="1" applyProtection="1"/>
    <xf numFmtId="168" fontId="0" fillId="0" borderId="0" xfId="0" applyNumberFormat="1"/>
    <xf numFmtId="9" fontId="1" fillId="0" borderId="0" xfId="1" applyFont="1" applyBorder="1" applyAlignment="1">
      <alignment horizontal="center" vertical="center"/>
    </xf>
    <xf numFmtId="0" fontId="16" fillId="2" borderId="8" xfId="0" applyFont="1" applyFill="1" applyBorder="1"/>
    <xf numFmtId="0" fontId="16" fillId="2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9" fontId="1" fillId="0" borderId="13" xfId="1" applyFont="1" applyBorder="1" applyAlignment="1">
      <alignment horizontal="center" vertical="center"/>
    </xf>
    <xf numFmtId="169" fontId="0" fillId="0" borderId="0" xfId="0" applyNumberFormat="1"/>
    <xf numFmtId="10" fontId="1" fillId="0" borderId="13" xfId="1" applyNumberFormat="1" applyFont="1" applyBorder="1" applyAlignment="1">
      <alignment horizontal="center" vertical="center"/>
    </xf>
    <xf numFmtId="10" fontId="1" fillId="0" borderId="0" xfId="1" applyNumberFormat="1" applyFont="1" applyBorder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4" borderId="0" xfId="0" applyFont="1" applyFill="1" applyAlignment="1">
      <alignment horizontal="center"/>
    </xf>
    <xf numFmtId="9" fontId="7" fillId="4" borderId="0" xfId="0" applyNumberFormat="1" applyFont="1" applyFill="1" applyAlignment="1">
      <alignment horizontal="center"/>
    </xf>
    <xf numFmtId="9" fontId="7" fillId="0" borderId="0" xfId="0" applyNumberFormat="1" applyFont="1" applyAlignment="1">
      <alignment horizontal="center"/>
    </xf>
    <xf numFmtId="9" fontId="7" fillId="0" borderId="0" xfId="0" applyNumberFormat="1" applyFont="1" applyFill="1" applyAlignment="1">
      <alignment horizontal="center"/>
    </xf>
    <xf numFmtId="166" fontId="0" fillId="0" borderId="0" xfId="0" applyNumberFormat="1"/>
    <xf numFmtId="166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0" xfId="1" applyNumberFormat="1" applyFont="1" applyAlignment="1">
      <alignment horizontal="center"/>
    </xf>
    <xf numFmtId="0" fontId="33" fillId="0" borderId="0" xfId="0" applyFont="1"/>
    <xf numFmtId="10" fontId="0" fillId="0" borderId="0" xfId="1" applyNumberFormat="1" applyFont="1"/>
    <xf numFmtId="37" fontId="11" fillId="0" borderId="0" xfId="0" applyNumberFormat="1" applyFont="1" applyBorder="1" applyAlignment="1">
      <alignment horizontal="center" vertical="top"/>
    </xf>
    <xf numFmtId="0" fontId="24" fillId="0" borderId="0" xfId="2" applyFont="1" applyFill="1" applyBorder="1" applyAlignment="1">
      <alignment horizontal="center" vertical="center"/>
    </xf>
    <xf numFmtId="170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37" fontId="13" fillId="0" borderId="11" xfId="0" applyNumberFormat="1" applyFon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70" fontId="0" fillId="0" borderId="7" xfId="0" applyNumberFormat="1" applyBorder="1" applyAlignment="1">
      <alignment horizontal="center"/>
    </xf>
    <xf numFmtId="0" fontId="17" fillId="0" borderId="0" xfId="0" applyFont="1" applyFill="1" applyAlignment="1">
      <alignment horizontal="center"/>
    </xf>
    <xf numFmtId="0" fontId="18" fillId="2" borderId="13" xfId="0" applyFont="1" applyFill="1" applyBorder="1"/>
    <xf numFmtId="0" fontId="14" fillId="0" borderId="13" xfId="0" applyFont="1" applyBorder="1" applyAlignment="1">
      <alignment horizontal="left" vertical="center"/>
    </xf>
    <xf numFmtId="0" fontId="7" fillId="0" borderId="13" xfId="3" applyFont="1" applyBorder="1" applyAlignment="1">
      <alignment horizontal="left" vertical="center"/>
    </xf>
    <xf numFmtId="0" fontId="7" fillId="0" borderId="13" xfId="3" applyFont="1" applyFill="1" applyBorder="1" applyAlignment="1">
      <alignment horizontal="left" vertical="center"/>
    </xf>
    <xf numFmtId="0" fontId="7" fillId="0" borderId="0" xfId="3" applyFont="1" applyFill="1" applyBorder="1" applyAlignment="1">
      <alignment horizontal="left" vertical="center"/>
    </xf>
    <xf numFmtId="0" fontId="14" fillId="0" borderId="24" xfId="3" applyFont="1" applyBorder="1" applyAlignment="1">
      <alignment horizontal="left" vertical="center"/>
    </xf>
    <xf numFmtId="0" fontId="0" fillId="0" borderId="23" xfId="0" applyBorder="1"/>
    <xf numFmtId="37" fontId="0" fillId="0" borderId="25" xfId="0" applyNumberFormat="1" applyBorder="1" applyAlignment="1">
      <alignment horizontal="center"/>
    </xf>
    <xf numFmtId="37" fontId="0" fillId="0" borderId="26" xfId="0" applyNumberFormat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35" fillId="0" borderId="0" xfId="0" applyFont="1" applyFill="1" applyAlignment="1">
      <alignment horizontal="center"/>
    </xf>
    <xf numFmtId="171" fontId="0" fillId="0" borderId="0" xfId="1" applyNumberFormat="1" applyFont="1"/>
    <xf numFmtId="10" fontId="0" fillId="0" borderId="0" xfId="0" applyNumberFormat="1" applyFill="1" applyBorder="1"/>
    <xf numFmtId="9" fontId="8" fillId="0" borderId="0" xfId="1" applyFont="1" applyBorder="1" applyAlignment="1">
      <alignment horizontal="center"/>
    </xf>
    <xf numFmtId="10" fontId="0" fillId="0" borderId="21" xfId="0" applyNumberFormat="1" applyBorder="1" applyAlignment="1">
      <alignment horizontal="center"/>
    </xf>
    <xf numFmtId="10" fontId="0" fillId="0" borderId="0" xfId="1" applyNumberFormat="1" applyFont="1" applyFill="1" applyBorder="1" applyAlignment="1">
      <alignment horizontal="center" vertical="center"/>
    </xf>
    <xf numFmtId="10" fontId="0" fillId="0" borderId="21" xfId="0" applyNumberFormat="1" applyFill="1" applyBorder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10" fontId="0" fillId="0" borderId="21" xfId="1" applyNumberFormat="1" applyFont="1" applyBorder="1" applyAlignment="1">
      <alignment horizontal="center"/>
    </xf>
    <xf numFmtId="0" fontId="14" fillId="0" borderId="1" xfId="3" applyFont="1" applyFill="1" applyBorder="1" applyAlignment="1">
      <alignment horizontal="left" vertical="center"/>
    </xf>
    <xf numFmtId="0" fontId="0" fillId="0" borderId="1" xfId="0" applyBorder="1"/>
    <xf numFmtId="10" fontId="0" fillId="0" borderId="13" xfId="0" applyNumberFormat="1" applyFill="1" applyBorder="1" applyAlignment="1">
      <alignment horizontal="center" vertical="center"/>
    </xf>
    <xf numFmtId="37" fontId="11" fillId="0" borderId="11" xfId="0" applyNumberFormat="1" applyFont="1" applyBorder="1" applyAlignment="1">
      <alignment horizontal="center" vertical="center"/>
    </xf>
    <xf numFmtId="37" fontId="0" fillId="0" borderId="11" xfId="0" applyNumberFormat="1" applyFill="1" applyBorder="1" applyAlignment="1">
      <alignment horizontal="center" vertical="center"/>
    </xf>
    <xf numFmtId="10" fontId="0" fillId="0" borderId="11" xfId="1" applyNumberFormat="1" applyFont="1" applyFill="1" applyBorder="1" applyAlignment="1">
      <alignment horizontal="center" vertical="center"/>
    </xf>
    <xf numFmtId="10" fontId="0" fillId="0" borderId="11" xfId="0" applyNumberFormat="1" applyFill="1" applyBorder="1" applyAlignment="1">
      <alignment horizontal="center" vertical="center"/>
    </xf>
    <xf numFmtId="0" fontId="0" fillId="2" borderId="11" xfId="0" applyFill="1" applyBorder="1" applyAlignment="1">
      <alignment vertical="center"/>
    </xf>
    <xf numFmtId="3" fontId="0" fillId="0" borderId="11" xfId="0" applyNumberFormat="1" applyBorder="1" applyAlignment="1">
      <alignment horizontal="center" vertical="center"/>
    </xf>
    <xf numFmtId="39" fontId="0" fillId="0" borderId="11" xfId="0" applyNumberFormat="1" applyBorder="1" applyAlignment="1">
      <alignment horizontal="center" vertical="center"/>
    </xf>
    <xf numFmtId="37" fontId="0" fillId="0" borderId="11" xfId="0" applyNumberFormat="1" applyBorder="1" applyAlignment="1">
      <alignment horizontal="center" vertical="center"/>
    </xf>
    <xf numFmtId="37" fontId="0" fillId="0" borderId="11" xfId="0" applyNumberFormat="1" applyFill="1" applyBorder="1" applyAlignment="1">
      <alignment vertical="center"/>
    </xf>
    <xf numFmtId="0" fontId="0" fillId="0" borderId="7" xfId="0" applyFill="1" applyBorder="1"/>
    <xf numFmtId="172" fontId="0" fillId="0" borderId="7" xfId="0" applyNumberFormat="1" applyFill="1" applyBorder="1"/>
    <xf numFmtId="0" fontId="17" fillId="2" borderId="7" xfId="0" applyFont="1" applyFill="1" applyBorder="1" applyAlignment="1">
      <alignment horizontal="center"/>
    </xf>
    <xf numFmtId="0" fontId="0" fillId="0" borderId="27" xfId="0" applyBorder="1"/>
    <xf numFmtId="0" fontId="0" fillId="0" borderId="0" xfId="0" applyNumberFormat="1"/>
    <xf numFmtId="0" fontId="37" fillId="5" borderId="28" xfId="0" applyFont="1" applyFill="1" applyBorder="1"/>
    <xf numFmtId="0" fontId="0" fillId="0" borderId="0" xfId="0" pivotButton="1"/>
    <xf numFmtId="0" fontId="38" fillId="2" borderId="0" xfId="0" applyFont="1" applyFill="1" applyAlignment="1">
      <alignment horizontal="left"/>
    </xf>
    <xf numFmtId="0" fontId="39" fillId="2" borderId="0" xfId="0" applyFont="1" applyFill="1" applyAlignment="1">
      <alignment horizontal="center"/>
    </xf>
    <xf numFmtId="164" fontId="11" fillId="0" borderId="0" xfId="0" applyNumberFormat="1" applyFont="1" applyAlignment="1">
      <alignment horizontal="center" vertical="top"/>
    </xf>
    <xf numFmtId="4" fontId="0" fillId="0" borderId="0" xfId="0" applyNumberFormat="1"/>
    <xf numFmtId="0" fontId="0" fillId="0" borderId="0" xfId="0" applyAlignment="1">
      <alignment horizontal="left"/>
    </xf>
    <xf numFmtId="1" fontId="0" fillId="0" borderId="0" xfId="1" applyNumberFormat="1" applyFont="1" applyAlignment="1">
      <alignment horizontal="center"/>
    </xf>
    <xf numFmtId="0" fontId="16" fillId="0" borderId="0" xfId="0" applyFont="1" applyFill="1"/>
    <xf numFmtId="0" fontId="37" fillId="5" borderId="29" xfId="0" applyNumberFormat="1" applyFont="1" applyFill="1" applyBorder="1"/>
    <xf numFmtId="0" fontId="0" fillId="6" borderId="0" xfId="0" applyFill="1"/>
    <xf numFmtId="0" fontId="0" fillId="7" borderId="0" xfId="0" applyFill="1"/>
    <xf numFmtId="0" fontId="17" fillId="7" borderId="0" xfId="0" applyFont="1" applyFill="1"/>
    <xf numFmtId="0" fontId="17" fillId="7" borderId="0" xfId="0" applyFont="1" applyFill="1" applyAlignment="1">
      <alignment horizontal="center"/>
    </xf>
    <xf numFmtId="0" fontId="17" fillId="7" borderId="0" xfId="0" applyFont="1" applyFill="1" applyAlignment="1">
      <alignment horizontal="left"/>
    </xf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37" fontId="1" fillId="0" borderId="0" xfId="0" applyNumberFormat="1" applyFont="1" applyBorder="1" applyAlignment="1">
      <alignment vertical="center"/>
    </xf>
    <xf numFmtId="0" fontId="0" fillId="0" borderId="0" xfId="0" applyNumberFormat="1" applyBorder="1" applyAlignment="1">
      <alignment vertical="center"/>
    </xf>
    <xf numFmtId="37" fontId="11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1" fillId="0" borderId="0" xfId="0" applyFont="1" applyAlignment="1">
      <alignment vertical="center" wrapText="1"/>
    </xf>
    <xf numFmtId="37" fontId="1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64" fontId="11" fillId="0" borderId="0" xfId="0" applyNumberFormat="1" applyFont="1" applyAlignment="1">
      <alignment vertical="center"/>
    </xf>
    <xf numFmtId="9" fontId="0" fillId="0" borderId="0" xfId="0" applyNumberFormat="1" applyAlignment="1">
      <alignment vertical="center"/>
    </xf>
    <xf numFmtId="1" fontId="0" fillId="0" borderId="0" xfId="1" applyNumberFormat="1" applyFont="1" applyAlignment="1">
      <alignment vertical="center"/>
    </xf>
    <xf numFmtId="4" fontId="0" fillId="0" borderId="0" xfId="0" applyNumberFormat="1" applyAlignment="1">
      <alignment vertical="center"/>
    </xf>
    <xf numFmtId="0" fontId="37" fillId="5" borderId="29" xfId="0" applyFont="1" applyFill="1" applyBorder="1" applyAlignment="1">
      <alignment horizontal="left"/>
    </xf>
    <xf numFmtId="39" fontId="0" fillId="0" borderId="0" xfId="1" applyNumberFormat="1" applyFont="1" applyAlignment="1">
      <alignment horizontal="center"/>
    </xf>
    <xf numFmtId="0" fontId="36" fillId="2" borderId="0" xfId="0" applyFont="1" applyFill="1"/>
    <xf numFmtId="37" fontId="1" fillId="0" borderId="19" xfId="0" applyNumberFormat="1" applyFont="1" applyBorder="1" applyAlignment="1">
      <alignment horizontal="center" vertical="center"/>
    </xf>
    <xf numFmtId="37" fontId="1" fillId="0" borderId="7" xfId="0" applyNumberFormat="1" applyFont="1" applyBorder="1" applyAlignment="1">
      <alignment horizontal="center" vertical="center"/>
    </xf>
    <xf numFmtId="37" fontId="1" fillId="0" borderId="18" xfId="0" applyNumberFormat="1" applyFont="1" applyBorder="1" applyAlignment="1">
      <alignment horizontal="center" vertical="center"/>
    </xf>
    <xf numFmtId="37" fontId="1" fillId="0" borderId="6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2" fontId="0" fillId="0" borderId="0" xfId="1" applyNumberFormat="1" applyFont="1"/>
    <xf numFmtId="0" fontId="40" fillId="2" borderId="21" xfId="2" applyFont="1" applyFill="1" applyBorder="1" applyAlignment="1">
      <alignment horizontal="center" vertical="center"/>
    </xf>
    <xf numFmtId="0" fontId="27" fillId="0" borderId="0" xfId="0" applyFont="1" applyFill="1"/>
    <xf numFmtId="0" fontId="0" fillId="2" borderId="30" xfId="0" applyFill="1" applyBorder="1"/>
    <xf numFmtId="0" fontId="0" fillId="2" borderId="31" xfId="0" applyFill="1" applyBorder="1"/>
    <xf numFmtId="0" fontId="0" fillId="0" borderId="32" xfId="0" applyBorder="1"/>
    <xf numFmtId="0" fontId="0" fillId="0" borderId="33" xfId="0" applyBorder="1"/>
    <xf numFmtId="0" fontId="21" fillId="0" borderId="0" xfId="0" applyFont="1" applyBorder="1"/>
    <xf numFmtId="0" fontId="29" fillId="2" borderId="34" xfId="0" applyFont="1" applyFill="1" applyBorder="1"/>
    <xf numFmtId="0" fontId="44" fillId="2" borderId="1" xfId="0" applyFont="1" applyFill="1" applyBorder="1" applyAlignment="1">
      <alignment horizontal="center"/>
    </xf>
    <xf numFmtId="0" fontId="21" fillId="0" borderId="0" xfId="0" applyFont="1" applyFill="1"/>
    <xf numFmtId="0" fontId="0" fillId="0" borderId="0" xfId="0" applyFont="1" applyFill="1"/>
    <xf numFmtId="0" fontId="28" fillId="0" borderId="0" xfId="0" applyFont="1" applyFill="1"/>
    <xf numFmtId="0" fontId="40" fillId="0" borderId="0" xfId="2" applyFont="1" applyFill="1" applyBorder="1" applyAlignment="1">
      <alignment horizontal="center" vertical="center"/>
    </xf>
    <xf numFmtId="0" fontId="17" fillId="0" borderId="0" xfId="0" applyFont="1" applyFill="1"/>
    <xf numFmtId="0" fontId="42" fillId="0" borderId="0" xfId="0" applyFont="1" applyFill="1"/>
    <xf numFmtId="0" fontId="43" fillId="0" borderId="0" xfId="0" applyFont="1" applyFill="1"/>
    <xf numFmtId="0" fontId="2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left" vertical="center"/>
    </xf>
    <xf numFmtId="0" fontId="4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22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32" fillId="0" borderId="0" xfId="2" applyFont="1" applyFill="1" applyBorder="1" applyAlignment="1">
      <alignment horizontal="left" vertical="center"/>
    </xf>
    <xf numFmtId="0" fontId="41" fillId="0" borderId="0" xfId="0" applyFont="1" applyFill="1" applyAlignment="1">
      <alignment horizontal="left" vertical="center"/>
    </xf>
    <xf numFmtId="0" fontId="23" fillId="0" borderId="0" xfId="0" applyFont="1" applyFill="1" applyAlignment="1">
      <alignment horizontal="left" vertical="center"/>
    </xf>
    <xf numFmtId="0" fontId="31" fillId="0" borderId="0" xfId="2" applyFont="1" applyFill="1" applyAlignment="1">
      <alignment horizontal="left" vertical="center"/>
    </xf>
    <xf numFmtId="0" fontId="28" fillId="0" borderId="0" xfId="0" applyFont="1" applyFill="1" applyAlignment="1">
      <alignment horizontal="left" vertical="center"/>
    </xf>
    <xf numFmtId="0" fontId="28" fillId="0" borderId="0" xfId="0" applyFont="1" applyFill="1" applyBorder="1" applyAlignment="1">
      <alignment horizontal="left" vertical="center"/>
    </xf>
    <xf numFmtId="0" fontId="13" fillId="0" borderId="0" xfId="0" applyFont="1" applyFill="1" applyAlignment="1">
      <alignment horizontal="left" vertical="center"/>
    </xf>
  </cellXfs>
  <cellStyles count="4">
    <cellStyle name="Hyperlink" xfId="2" builtinId="8"/>
    <cellStyle name="Normal" xfId="0" builtinId="0"/>
    <cellStyle name="Normal 2" xfId="3" xr:uid="{9E087148-2D5E-1E4B-8D66-CABB8DE0EB00}"/>
    <cellStyle name="Per cent" xfId="1" builtinId="5"/>
  </cellStyles>
  <dxfs count="2">
    <dxf>
      <numFmt numFmtId="14" formatCode="0.00%"/>
    </dxf>
    <dxf>
      <numFmt numFmtId="14" formatCode="0.00%"/>
    </dxf>
  </dxfs>
  <tableStyles count="0" defaultTableStyle="TableStyleMedium9" defaultPivotStyle="PivotStyleLight16"/>
  <colors>
    <mruColors>
      <color rgb="FF4B89CF"/>
      <color rgb="FF2F6193"/>
      <color rgb="FF0035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'Pivot Tables for Dashboard'!$D$9</c:f>
          <c:strCache>
            <c:ptCount val="1"/>
            <c:pt idx="0">
              <c:v>Contribution of Sum of Office Products and Cloud Services to Revenue and EBITDA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for Dashboard'!$C$12</c:f>
              <c:strCache>
                <c:ptCount val="1"/>
                <c:pt idx="0">
                  <c:v>Sum of Total Revenue</c:v>
                </c:pt>
              </c:strCache>
            </c:strRef>
          </c:tx>
          <c:spPr>
            <a:solidFill>
              <a:srgbClr val="00B0F0"/>
            </a:solidFill>
            <a:ln w="25400">
              <a:solidFill>
                <a:schemeClr val="bg1"/>
              </a:solidFill>
            </a:ln>
            <a:effectLst/>
          </c:spPr>
          <c:invertIfNegative val="0"/>
          <c:cat>
            <c:numRef>
              <c:f>'Pivot Tables for Dashboard'!$B$13:$B$18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'Pivot Tables for Dashboard'!$C$13:$C$18</c:f>
              <c:numCache>
                <c:formatCode>General</c:formatCode>
                <c:ptCount val="6"/>
                <c:pt idx="0">
                  <c:v>125843</c:v>
                </c:pt>
                <c:pt idx="1">
                  <c:v>143015</c:v>
                </c:pt>
                <c:pt idx="2">
                  <c:v>168088</c:v>
                </c:pt>
                <c:pt idx="3">
                  <c:v>193417.09184444867</c:v>
                </c:pt>
                <c:pt idx="4">
                  <c:v>223568.20696513751</c:v>
                </c:pt>
                <c:pt idx="5">
                  <c:v>262763.57565539301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2-4542-B3A0-B6B13AEACAC9}"/>
            </c:ext>
          </c:extLst>
        </c:ser>
        <c:ser>
          <c:idx val="1"/>
          <c:order val="1"/>
          <c:tx>
            <c:strRef>
              <c:f>'Pivot Tables for Dashboard'!$D$12</c:f>
              <c:strCache>
                <c:ptCount val="1"/>
                <c:pt idx="0">
                  <c:v>Sum of EBITDA</c:v>
                </c:pt>
              </c:strCache>
            </c:strRef>
          </c:tx>
          <c:spPr>
            <a:solidFill>
              <a:srgbClr val="4B89CF"/>
            </a:solidFill>
            <a:ln w="25400">
              <a:solidFill>
                <a:schemeClr val="bg1"/>
              </a:solidFill>
            </a:ln>
            <a:effectLst/>
          </c:spPr>
          <c:invertIfNegative val="0"/>
          <c:cat>
            <c:numRef>
              <c:f>'Pivot Tables for Dashboard'!$B$13:$B$18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'Pivot Tables for Dashboard'!$D$13:$D$18</c:f>
              <c:numCache>
                <c:formatCode>General</c:formatCode>
                <c:ptCount val="6"/>
                <c:pt idx="0">
                  <c:v>58056</c:v>
                </c:pt>
                <c:pt idx="1">
                  <c:v>68423</c:v>
                </c:pt>
                <c:pt idx="2">
                  <c:v>85119</c:v>
                </c:pt>
                <c:pt idx="3">
                  <c:v>97480.838549605367</c:v>
                </c:pt>
                <c:pt idx="4">
                  <c:v>119525.26342835472</c:v>
                </c:pt>
                <c:pt idx="5">
                  <c:v>149691.10161623926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2-4542-B3A0-B6B13AEAC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36192"/>
        <c:axId val="155499136"/>
      </c:barChart>
      <c:lineChart>
        <c:grouping val="standard"/>
        <c:varyColors val="0"/>
        <c:ser>
          <c:idx val="2"/>
          <c:order val="2"/>
          <c:tx>
            <c:strRef>
              <c:f>'Pivot Tables for Dashboard'!$E$12</c:f>
              <c:strCache>
                <c:ptCount val="1"/>
                <c:pt idx="0">
                  <c:v>Sum of Office Products and Cloud Services</c:v>
                </c:pt>
              </c:strCache>
            </c:strRef>
          </c:tx>
          <c:spPr>
            <a:ln w="60325" cap="rnd">
              <a:solidFill>
                <a:schemeClr val="bg1">
                  <a:lumMod val="75000"/>
                  <a:alpha val="84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'Pivot Tables for Dashboard'!$E$13:$E$18</c:f>
              <c:numCache>
                <c:formatCode>General</c:formatCode>
                <c:ptCount val="6"/>
                <c:pt idx="0">
                  <c:v>32622</c:v>
                </c:pt>
                <c:pt idx="1">
                  <c:v>41379</c:v>
                </c:pt>
                <c:pt idx="2">
                  <c:v>52589</c:v>
                </c:pt>
                <c:pt idx="3">
                  <c:v>58237.805747349092</c:v>
                </c:pt>
                <c:pt idx="4">
                  <c:v>67316.293944642472</c:v>
                </c:pt>
                <c:pt idx="5">
                  <c:v>79118.003122519061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02-4542-B3A0-B6B13AEAC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192"/>
        <c:axId val="155499136"/>
      </c:lineChart>
      <c:catAx>
        <c:axId val="236192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99136"/>
        <c:crosses val="autoZero"/>
        <c:auto val="1"/>
        <c:lblAlgn val="ctr"/>
        <c:lblOffset val="100"/>
        <c:noMultiLvlLbl val="0"/>
      </c:catAx>
      <c:valAx>
        <c:axId val="1554991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25400"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9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'Pivot Tables for Dashboard'!$C$52</c:f>
          <c:strCache>
            <c:ptCount val="1"/>
            <c:pt idx="0">
              <c:v>Profitability of  Enterprise Services to Revenue and Gross Profit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for Dashboard'!$B$54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numRef>
              <c:f>'Pivot Tables for Dashboard'!$A$55:$A$60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'Pivot Tables for Dashboard'!$B$55:$B$60</c:f>
              <c:numCache>
                <c:formatCode>General</c:formatCode>
                <c:ptCount val="6"/>
                <c:pt idx="0">
                  <c:v>125843</c:v>
                </c:pt>
                <c:pt idx="1">
                  <c:v>143015</c:v>
                </c:pt>
                <c:pt idx="2">
                  <c:v>168088</c:v>
                </c:pt>
                <c:pt idx="3">
                  <c:v>193417.09184444867</c:v>
                </c:pt>
                <c:pt idx="4">
                  <c:v>223568.20696513751</c:v>
                </c:pt>
                <c:pt idx="5">
                  <c:v>262763.57565539301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1-334A-B851-6BB217757607}"/>
            </c:ext>
          </c:extLst>
        </c:ser>
        <c:ser>
          <c:idx val="1"/>
          <c:order val="1"/>
          <c:tx>
            <c:strRef>
              <c:f>'Pivot Tables for Dashboard'!$C$54</c:f>
              <c:strCache>
                <c:ptCount val="1"/>
                <c:pt idx="0">
                  <c:v>Gross Profit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numRef>
              <c:f>'Pivot Tables for Dashboard'!$A$55:$A$60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'Pivot Tables for Dashboard'!$C$55:$C$60</c:f>
              <c:numCache>
                <c:formatCode>#,##0_);\(#,##0\)</c:formatCode>
                <c:ptCount val="6"/>
                <c:pt idx="0">
                  <c:v>82933</c:v>
                </c:pt>
                <c:pt idx="1">
                  <c:v>96937</c:v>
                </c:pt>
                <c:pt idx="2">
                  <c:v>115856</c:v>
                </c:pt>
                <c:pt idx="3">
                  <c:v>130626.65711512038</c:v>
                </c:pt>
                <c:pt idx="4">
                  <c:v>152816.47386922268</c:v>
                </c:pt>
                <c:pt idx="5">
                  <c:v>181111.89865505695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1-334A-B851-6BB217757607}"/>
            </c:ext>
          </c:extLst>
        </c:ser>
        <c:ser>
          <c:idx val="2"/>
          <c:order val="2"/>
          <c:tx>
            <c:strRef>
              <c:f>'Pivot Tables for Dashboard'!$D$54</c:f>
              <c:strCache>
                <c:ptCount val="1"/>
                <c:pt idx="0">
                  <c:v> Enterprise Services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numRef>
              <c:f>'Pivot Tables for Dashboard'!$A$55:$A$60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'Pivot Tables for Dashboard'!$D$55:$D$60</c:f>
              <c:numCache>
                <c:formatCode>General</c:formatCode>
                <c:ptCount val="6"/>
                <c:pt idx="0">
                  <c:v>6095</c:v>
                </c:pt>
                <c:pt idx="1">
                  <c:v>6457</c:v>
                </c:pt>
                <c:pt idx="2">
                  <c:v>6791</c:v>
                </c:pt>
                <c:pt idx="3">
                  <c:v>8273.4708999833947</c:v>
                </c:pt>
                <c:pt idx="4">
                  <c:v>9563.1933912805252</c:v>
                </c:pt>
                <c:pt idx="5">
                  <c:v>11239.786391312526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81-334A-B851-6BB217757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5"/>
        <c:axId val="83148512"/>
        <c:axId val="203702208"/>
      </c:barChart>
      <c:catAx>
        <c:axId val="8314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02208"/>
        <c:crosses val="autoZero"/>
        <c:auto val="1"/>
        <c:lblAlgn val="ctr"/>
        <c:lblOffset val="100"/>
        <c:noMultiLvlLbl val="0"/>
      </c:catAx>
      <c:valAx>
        <c:axId val="2037022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4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'Pivot Tables for Dashboard'!$E$63</c:f>
          <c:strCache>
            <c:ptCount val="1"/>
            <c:pt idx="0">
              <c:v>Net Income Margin of  2019  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ln>
              <a:solidFill>
                <a:schemeClr val="accent1">
                  <a:shade val="50000"/>
                  <a:alpha val="74000"/>
                </a:schemeClr>
              </a:solidFill>
            </a:ln>
          </c:spPr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accent1">
                    <a:shade val="50000"/>
                    <a:alpha val="74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BB-D549-925D-0E9817342A04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accent1">
                    <a:shade val="50000"/>
                    <a:alpha val="74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BB-D549-925D-0E9817342A04}"/>
              </c:ext>
            </c:extLst>
          </c:dPt>
          <c:cat>
            <c:strRef>
              <c:f>'Pivot Tables for Dashboard'!$E$65:$F$65</c:f>
              <c:strCache>
                <c:ptCount val="2"/>
                <c:pt idx="0">
                  <c:v>Net Income</c:v>
                </c:pt>
                <c:pt idx="1">
                  <c:v>Expense</c:v>
                </c:pt>
              </c:strCache>
            </c:strRef>
          </c:cat>
          <c:val>
            <c:numRef>
              <c:f>'Pivot Tables for Dashboard'!$E$66:$F$66</c:f>
              <c:numCache>
                <c:formatCode>General</c:formatCode>
                <c:ptCount val="2"/>
                <c:pt idx="0">
                  <c:v>39240</c:v>
                </c:pt>
                <c:pt idx="1">
                  <c:v>86603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BB-D549-925D-0E9817342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Dashboard!$S$19</c:f>
          <c:strCache>
            <c:ptCount val="1"/>
            <c:pt idx="0">
              <c:v>2019</c:v>
            </c:pt>
          </c:strCache>
        </c:strRef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'Pivot Tables for Dashboard'!$I$104:$J$104</c:f>
              <c:strCache>
                <c:ptCount val="2"/>
                <c:pt idx="0">
                  <c:v>ROCE</c:v>
                </c:pt>
                <c:pt idx="1">
                  <c:v>ROE</c:v>
                </c:pt>
              </c:strCache>
            </c:strRef>
          </c:cat>
          <c:val>
            <c:numRef>
              <c:f>'Pivot Tables for Dashboard'!$I$105:$J$105</c:f>
              <c:numCache>
                <c:formatCode>0.00%</c:formatCode>
                <c:ptCount val="2"/>
                <c:pt idx="0">
                  <c:v>0.21357121803846438</c:v>
                </c:pt>
                <c:pt idx="1">
                  <c:v>0.38346525945470539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9E-684C-85F8-428B8C16B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2"/>
        <c:axId val="187539152"/>
        <c:axId val="190423952"/>
      </c:barChart>
      <c:catAx>
        <c:axId val="18753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23952"/>
        <c:crosses val="autoZero"/>
        <c:auto val="1"/>
        <c:lblAlgn val="ctr"/>
        <c:lblOffset val="100"/>
        <c:noMultiLvlLbl val="0"/>
      </c:catAx>
      <c:valAx>
        <c:axId val="1904239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25400"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3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'Pivot Tables for Dashboard'!$I$134</c:f>
          <c:strCache>
            <c:ptCount val="1"/>
            <c:pt idx="0">
              <c:v>Opex as a % in  2022  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6C-9E42-A4BB-58B28AA6CC3A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6C-9E42-A4BB-58B28AA6CC3A}"/>
              </c:ext>
            </c:extLst>
          </c:dPt>
          <c:cat>
            <c:strRef>
              <c:f>'Pivot Tables for Dashboard'!$H$136:$H$137</c:f>
              <c:strCache>
                <c:ptCount val="2"/>
                <c:pt idx="0">
                  <c:v>Revenue</c:v>
                </c:pt>
                <c:pt idx="1">
                  <c:v>Opex</c:v>
                </c:pt>
              </c:strCache>
            </c:strRef>
          </c:cat>
          <c:val>
            <c:numRef>
              <c:f>'Pivot Tables for Dashboard'!$I$136:$I$137</c:f>
              <c:numCache>
                <c:formatCode>0.00</c:formatCode>
                <c:ptCount val="2"/>
                <c:pt idx="0" formatCode="General">
                  <c:v>168088</c:v>
                </c:pt>
                <c:pt idx="1">
                  <c:v>57926.175019368049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6C-9E42-A4BB-58B28AA6C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746125</xdr:colOff>
      <xdr:row>5</xdr:row>
      <xdr:rowOff>31750</xdr:rowOff>
    </xdr:from>
    <xdr:to>
      <xdr:col>3</xdr:col>
      <xdr:colOff>1473200</xdr:colOff>
      <xdr:row>13</xdr:row>
      <xdr:rowOff>190706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5A1131-6BCA-F04F-A288-CADB1B5A03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1301750"/>
          <a:ext cx="3330575" cy="21909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17</xdr:col>
      <xdr:colOff>152400</xdr:colOff>
      <xdr:row>46</xdr:row>
      <xdr:rowOff>127000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6BC02ECD-2B00-4F4F-BC24-D8FA0A2E4DA8}"/>
            </a:ext>
          </a:extLst>
        </xdr:cNvPr>
        <xdr:cNvSpPr/>
      </xdr:nvSpPr>
      <xdr:spPr>
        <a:xfrm>
          <a:off x="0" y="1066800"/>
          <a:ext cx="14185900" cy="8128000"/>
        </a:xfrm>
        <a:prstGeom prst="roundRect">
          <a:avLst>
            <a:gd name="adj" fmla="val 0"/>
          </a:avLst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266700</xdr:colOff>
      <xdr:row>5</xdr:row>
      <xdr:rowOff>0</xdr:rowOff>
    </xdr:from>
    <xdr:to>
      <xdr:col>16</xdr:col>
      <xdr:colOff>457200</xdr:colOff>
      <xdr:row>42</xdr:row>
      <xdr:rowOff>63500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F28330F-7755-EA48-BBC5-6EE1AF700248}"/>
            </a:ext>
          </a:extLst>
        </xdr:cNvPr>
        <xdr:cNvSpPr/>
      </xdr:nvSpPr>
      <xdr:spPr>
        <a:xfrm>
          <a:off x="266700" y="1257300"/>
          <a:ext cx="13398500" cy="7112000"/>
        </a:xfrm>
        <a:prstGeom prst="rect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393700</xdr:colOff>
      <xdr:row>5</xdr:row>
      <xdr:rowOff>0</xdr:rowOff>
    </xdr:from>
    <xdr:to>
      <xdr:col>4</xdr:col>
      <xdr:colOff>482600</xdr:colOff>
      <xdr:row>42</xdr:row>
      <xdr:rowOff>76200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3928E1E-AB22-0242-8C4D-0B6C2C5261A5}"/>
            </a:ext>
          </a:extLst>
        </xdr:cNvPr>
        <xdr:cNvSpPr/>
      </xdr:nvSpPr>
      <xdr:spPr>
        <a:xfrm>
          <a:off x="3695700" y="1257300"/>
          <a:ext cx="88900" cy="71247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266700</xdr:colOff>
      <xdr:row>23</xdr:row>
      <xdr:rowOff>114300</xdr:rowOff>
    </xdr:from>
    <xdr:to>
      <xdr:col>16</xdr:col>
      <xdr:colOff>444500</xdr:colOff>
      <xdr:row>24</xdr:row>
      <xdr:rowOff>25400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251A57E7-73CE-CB4F-9603-045CC8F363D9}"/>
            </a:ext>
          </a:extLst>
        </xdr:cNvPr>
        <xdr:cNvSpPr/>
      </xdr:nvSpPr>
      <xdr:spPr>
        <a:xfrm>
          <a:off x="266700" y="4800600"/>
          <a:ext cx="13385800" cy="1016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101600</xdr:colOff>
      <xdr:row>24</xdr:row>
      <xdr:rowOff>25400</xdr:rowOff>
    </xdr:from>
    <xdr:to>
      <xdr:col>12</xdr:col>
      <xdr:colOff>203200</xdr:colOff>
      <xdr:row>42</xdr:row>
      <xdr:rowOff>76200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8DEC1DD-D49E-0A45-83E5-1D89E6B514A6}"/>
            </a:ext>
          </a:extLst>
        </xdr:cNvPr>
        <xdr:cNvSpPr/>
      </xdr:nvSpPr>
      <xdr:spPr>
        <a:xfrm flipH="1">
          <a:off x="10007600" y="4902200"/>
          <a:ext cx="101600" cy="34798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76200</xdr:colOff>
      <xdr:row>25</xdr:row>
      <xdr:rowOff>38100</xdr:rowOff>
    </xdr:from>
    <xdr:to>
      <xdr:col>11</xdr:col>
      <xdr:colOff>177800</xdr:colOff>
      <xdr:row>27</xdr:row>
      <xdr:rowOff>139700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32C833CC-6063-104D-BEFA-B69EFE0C9217}"/>
            </a:ext>
          </a:extLst>
        </xdr:cNvPr>
        <xdr:cNvSpPr/>
      </xdr:nvSpPr>
      <xdr:spPr>
        <a:xfrm>
          <a:off x="4203700" y="5105400"/>
          <a:ext cx="5054600" cy="482600"/>
        </a:xfrm>
        <a:prstGeom prst="roundRect">
          <a:avLst>
            <a:gd name="adj" fmla="val 40351"/>
          </a:avLst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736600</xdr:colOff>
      <xdr:row>5</xdr:row>
      <xdr:rowOff>127000</xdr:rowOff>
    </xdr:from>
    <xdr:to>
      <xdr:col>11</xdr:col>
      <xdr:colOff>12700</xdr:colOff>
      <xdr:row>8</xdr:row>
      <xdr:rowOff>38100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4C297B0C-F6C3-6846-A438-9C01C3103814}"/>
            </a:ext>
          </a:extLst>
        </xdr:cNvPr>
        <xdr:cNvSpPr/>
      </xdr:nvSpPr>
      <xdr:spPr>
        <a:xfrm>
          <a:off x="4038600" y="1384300"/>
          <a:ext cx="5054600" cy="482600"/>
        </a:xfrm>
        <a:prstGeom prst="roundRect">
          <a:avLst>
            <a:gd name="adj" fmla="val 40351"/>
          </a:avLst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381000</xdr:colOff>
      <xdr:row>5</xdr:row>
      <xdr:rowOff>165100</xdr:rowOff>
    </xdr:from>
    <xdr:to>
      <xdr:col>4</xdr:col>
      <xdr:colOff>165100</xdr:colOff>
      <xdr:row>8</xdr:row>
      <xdr:rowOff>63500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F7583382-6C3B-5C4F-8618-9154C246F917}"/>
            </a:ext>
          </a:extLst>
        </xdr:cNvPr>
        <xdr:cNvSpPr/>
      </xdr:nvSpPr>
      <xdr:spPr>
        <a:xfrm>
          <a:off x="381000" y="1422400"/>
          <a:ext cx="3086100" cy="469900"/>
        </a:xfrm>
        <a:prstGeom prst="roundRect">
          <a:avLst>
            <a:gd name="adj" fmla="val 40351"/>
          </a:avLst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393700</xdr:colOff>
      <xdr:row>25</xdr:row>
      <xdr:rowOff>88900</xdr:rowOff>
    </xdr:from>
    <xdr:to>
      <xdr:col>16</xdr:col>
      <xdr:colOff>177800</xdr:colOff>
      <xdr:row>27</xdr:row>
      <xdr:rowOff>177800</xdr:rowOff>
    </xdr:to>
    <xdr:sp macro="" textlink="">
      <xdr:nvSpPr>
        <xdr:cNvPr id="13" name="Rounded Rectangle 12">
          <a:extLst>
            <a:ext uri="{FF2B5EF4-FFF2-40B4-BE49-F238E27FC236}">
              <a16:creationId xmlns:a16="http://schemas.microsoft.com/office/drawing/2014/main" id="{23366A48-6D58-7149-8879-694BD0684C8B}"/>
            </a:ext>
          </a:extLst>
        </xdr:cNvPr>
        <xdr:cNvSpPr/>
      </xdr:nvSpPr>
      <xdr:spPr>
        <a:xfrm>
          <a:off x="10299700" y="5156200"/>
          <a:ext cx="3086100" cy="469900"/>
        </a:xfrm>
        <a:prstGeom prst="roundRect">
          <a:avLst>
            <a:gd name="adj" fmla="val 40351"/>
          </a:avLst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406400</xdr:colOff>
      <xdr:row>25</xdr:row>
      <xdr:rowOff>88900</xdr:rowOff>
    </xdr:from>
    <xdr:to>
      <xdr:col>4</xdr:col>
      <xdr:colOff>190500</xdr:colOff>
      <xdr:row>27</xdr:row>
      <xdr:rowOff>177800</xdr:rowOff>
    </xdr:to>
    <xdr:sp macro="" textlink="">
      <xdr:nvSpPr>
        <xdr:cNvPr id="14" name="Rounded Rectangle 13">
          <a:extLst>
            <a:ext uri="{FF2B5EF4-FFF2-40B4-BE49-F238E27FC236}">
              <a16:creationId xmlns:a16="http://schemas.microsoft.com/office/drawing/2014/main" id="{6B0EB926-F0F3-C64A-BCA3-3D6CFB6AD15E}"/>
            </a:ext>
          </a:extLst>
        </xdr:cNvPr>
        <xdr:cNvSpPr/>
      </xdr:nvSpPr>
      <xdr:spPr>
        <a:xfrm>
          <a:off x="406400" y="5156200"/>
          <a:ext cx="3086100" cy="469900"/>
        </a:xfrm>
        <a:prstGeom prst="roundRect">
          <a:avLst>
            <a:gd name="adj" fmla="val 40351"/>
          </a:avLst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673100</xdr:colOff>
      <xdr:row>6</xdr:row>
      <xdr:rowOff>0</xdr:rowOff>
    </xdr:from>
    <xdr:to>
      <xdr:col>11</xdr:col>
      <xdr:colOff>355600</xdr:colOff>
      <xdr:row>7</xdr:row>
      <xdr:rowOff>114300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28384DA3-1BED-E049-88CF-EA3275F61460}"/>
            </a:ext>
          </a:extLst>
        </xdr:cNvPr>
        <xdr:cNvSpPr txBox="1"/>
      </xdr:nvSpPr>
      <xdr:spPr>
        <a:xfrm>
          <a:off x="4800600" y="1447800"/>
          <a:ext cx="46355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aseline="0">
              <a:solidFill>
                <a:schemeClr val="bg1"/>
              </a:solidFill>
            </a:rPr>
            <a:t>          </a:t>
          </a:r>
          <a:r>
            <a:rPr lang="en-GB" sz="1400">
              <a:solidFill>
                <a:schemeClr val="bg1"/>
              </a:solidFill>
            </a:rPr>
            <a:t>Revenue and EBITDA</a:t>
          </a:r>
          <a:r>
            <a:rPr lang="en-GB" sz="1400" baseline="0">
              <a:solidFill>
                <a:schemeClr val="bg1"/>
              </a:solidFill>
            </a:rPr>
            <a:t> Forecast</a:t>
          </a:r>
        </a:p>
        <a:p>
          <a:endParaRPr lang="en-GB" sz="1100"/>
        </a:p>
      </xdr:txBody>
    </xdr:sp>
    <xdr:clientData/>
  </xdr:twoCellAnchor>
  <xdr:twoCellAnchor>
    <xdr:from>
      <xdr:col>1</xdr:col>
      <xdr:colOff>177800</xdr:colOff>
      <xdr:row>6</xdr:row>
      <xdr:rowOff>76200</xdr:rowOff>
    </xdr:from>
    <xdr:to>
      <xdr:col>4</xdr:col>
      <xdr:colOff>317500</xdr:colOff>
      <xdr:row>8</xdr:row>
      <xdr:rowOff>50800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666C993-1ACC-9D42-814D-08B91A87074B}"/>
            </a:ext>
          </a:extLst>
        </xdr:cNvPr>
        <xdr:cNvSpPr txBox="1"/>
      </xdr:nvSpPr>
      <xdr:spPr>
        <a:xfrm>
          <a:off x="1003300" y="1524000"/>
          <a:ext cx="26162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aseline="0">
              <a:solidFill>
                <a:schemeClr val="bg1"/>
              </a:solidFill>
            </a:rPr>
            <a:t>ROCE and ROE Analysis</a:t>
          </a:r>
        </a:p>
        <a:p>
          <a:endParaRPr lang="en-GB" sz="1200" baseline="0">
            <a:solidFill>
              <a:schemeClr val="bg1"/>
            </a:solidFill>
          </a:endParaRPr>
        </a:p>
        <a:p>
          <a:endParaRPr lang="en-GB" sz="1200" baseline="0">
            <a:solidFill>
              <a:schemeClr val="bg1"/>
            </a:solidFill>
          </a:endParaRPr>
        </a:p>
        <a:p>
          <a:endParaRPr lang="en-GB" sz="1100"/>
        </a:p>
      </xdr:txBody>
    </xdr:sp>
    <xdr:clientData/>
  </xdr:twoCellAnchor>
  <xdr:twoCellAnchor>
    <xdr:from>
      <xdr:col>0</xdr:col>
      <xdr:colOff>457200</xdr:colOff>
      <xdr:row>25</xdr:row>
      <xdr:rowOff>177800</xdr:rowOff>
    </xdr:from>
    <xdr:to>
      <xdr:col>3</xdr:col>
      <xdr:colOff>596900</xdr:colOff>
      <xdr:row>27</xdr:row>
      <xdr:rowOff>152400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14F5183-0818-3A4D-B764-5797433F46F7}"/>
            </a:ext>
          </a:extLst>
        </xdr:cNvPr>
        <xdr:cNvSpPr txBox="1"/>
      </xdr:nvSpPr>
      <xdr:spPr>
        <a:xfrm>
          <a:off x="457200" y="5245100"/>
          <a:ext cx="26162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aseline="0">
              <a:solidFill>
                <a:schemeClr val="bg1"/>
              </a:solidFill>
            </a:rPr>
            <a:t>          Margin </a:t>
          </a:r>
          <a:r>
            <a:rPr lang="en-GB" sz="1200" b="1" baseline="0">
              <a:solidFill>
                <a:schemeClr val="bg1"/>
              </a:solidFill>
            </a:rPr>
            <a:t>Analysis</a:t>
          </a:r>
        </a:p>
        <a:p>
          <a:endParaRPr lang="en-GB" sz="1200" baseline="0">
            <a:solidFill>
              <a:schemeClr val="bg1"/>
            </a:solidFill>
          </a:endParaRPr>
        </a:p>
        <a:p>
          <a:endParaRPr lang="en-GB" sz="1100"/>
        </a:p>
      </xdr:txBody>
    </xdr:sp>
    <xdr:clientData/>
  </xdr:twoCellAnchor>
  <xdr:twoCellAnchor>
    <xdr:from>
      <xdr:col>13</xdr:col>
      <xdr:colOff>469900</xdr:colOff>
      <xdr:row>25</xdr:row>
      <xdr:rowOff>165100</xdr:rowOff>
    </xdr:from>
    <xdr:to>
      <xdr:col>16</xdr:col>
      <xdr:colOff>609600</xdr:colOff>
      <xdr:row>27</xdr:row>
      <xdr:rowOff>139700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667A1EE-3F52-3B4D-8983-C8CB1AEA1B8D}"/>
            </a:ext>
          </a:extLst>
        </xdr:cNvPr>
        <xdr:cNvSpPr txBox="1"/>
      </xdr:nvSpPr>
      <xdr:spPr>
        <a:xfrm>
          <a:off x="11201400" y="5295900"/>
          <a:ext cx="26162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 baseline="0">
              <a:solidFill>
                <a:schemeClr val="bg1"/>
              </a:solidFill>
            </a:rPr>
            <a:t>Opex Analysis</a:t>
          </a:r>
        </a:p>
        <a:p>
          <a:endParaRPr lang="en-GB" sz="1200" baseline="0">
            <a:solidFill>
              <a:schemeClr val="bg1"/>
            </a:solidFill>
          </a:endParaRPr>
        </a:p>
        <a:p>
          <a:endParaRPr lang="en-GB" sz="1100"/>
        </a:p>
      </xdr:txBody>
    </xdr:sp>
    <xdr:clientData/>
  </xdr:twoCellAnchor>
  <xdr:twoCellAnchor>
    <xdr:from>
      <xdr:col>6</xdr:col>
      <xdr:colOff>139700</xdr:colOff>
      <xdr:row>25</xdr:row>
      <xdr:rowOff>101600</xdr:rowOff>
    </xdr:from>
    <xdr:to>
      <xdr:col>11</xdr:col>
      <xdr:colOff>647700</xdr:colOff>
      <xdr:row>27</xdr:row>
      <xdr:rowOff>25400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A0A32E00-EA1D-A247-AC10-614B1778E61F}"/>
            </a:ext>
          </a:extLst>
        </xdr:cNvPr>
        <xdr:cNvSpPr txBox="1"/>
      </xdr:nvSpPr>
      <xdr:spPr>
        <a:xfrm>
          <a:off x="5092700" y="5168900"/>
          <a:ext cx="463550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aseline="0">
              <a:solidFill>
                <a:schemeClr val="bg1"/>
              </a:solidFill>
            </a:rPr>
            <a:t>Product Profitability</a:t>
          </a:r>
        </a:p>
        <a:p>
          <a:endParaRPr lang="en-GB" sz="1400" baseline="0">
            <a:solidFill>
              <a:schemeClr val="bg1"/>
            </a:solidFill>
          </a:endParaRPr>
        </a:p>
        <a:p>
          <a:endParaRPr lang="en-GB" sz="1100"/>
        </a:p>
      </xdr:txBody>
    </xdr:sp>
    <xdr:clientData/>
  </xdr:twoCellAnchor>
  <xdr:twoCellAnchor>
    <xdr:from>
      <xdr:col>17</xdr:col>
      <xdr:colOff>533400</xdr:colOff>
      <xdr:row>5</xdr:row>
      <xdr:rowOff>76200</xdr:rowOff>
    </xdr:from>
    <xdr:to>
      <xdr:col>19</xdr:col>
      <xdr:colOff>825500</xdr:colOff>
      <xdr:row>8</xdr:row>
      <xdr:rowOff>0</xdr:rowOff>
    </xdr:to>
    <xdr:sp macro="" textlink="">
      <xdr:nvSpPr>
        <xdr:cNvPr id="24" name="Rounded Rectangle 23">
          <a:extLst>
            <a:ext uri="{FF2B5EF4-FFF2-40B4-BE49-F238E27FC236}">
              <a16:creationId xmlns:a16="http://schemas.microsoft.com/office/drawing/2014/main" id="{BF48AC3C-3985-B34D-98D5-A78F566D66DD}"/>
            </a:ext>
          </a:extLst>
        </xdr:cNvPr>
        <xdr:cNvSpPr/>
      </xdr:nvSpPr>
      <xdr:spPr>
        <a:xfrm>
          <a:off x="14808200" y="1333500"/>
          <a:ext cx="2933700" cy="495300"/>
        </a:xfrm>
        <a:prstGeom prst="roundRect">
          <a:avLst>
            <a:gd name="adj" fmla="val 40351"/>
          </a:avLst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17</xdr:col>
      <xdr:colOff>673100</xdr:colOff>
      <xdr:row>5</xdr:row>
      <xdr:rowOff>165100</xdr:rowOff>
    </xdr:from>
    <xdr:to>
      <xdr:col>19</xdr:col>
      <xdr:colOff>609600</xdr:colOff>
      <xdr:row>7</xdr:row>
      <xdr:rowOff>114300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320B372F-7959-E345-BAAB-58C8FA8B728A}"/>
            </a:ext>
          </a:extLst>
        </xdr:cNvPr>
        <xdr:cNvSpPr txBox="1"/>
      </xdr:nvSpPr>
      <xdr:spPr>
        <a:xfrm>
          <a:off x="14947900" y="1422400"/>
          <a:ext cx="2578100" cy="3302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b="1">
              <a:solidFill>
                <a:schemeClr val="bg1"/>
              </a:solidFill>
            </a:rPr>
            <a:t>                    Chart Filters</a:t>
          </a:r>
        </a:p>
      </xdr:txBody>
    </xdr:sp>
    <xdr:clientData/>
  </xdr:twoCellAnchor>
  <xdr:twoCellAnchor>
    <xdr:from>
      <xdr:col>17</xdr:col>
      <xdr:colOff>152400</xdr:colOff>
      <xdr:row>3</xdr:row>
      <xdr:rowOff>177800</xdr:rowOff>
    </xdr:from>
    <xdr:to>
      <xdr:col>23</xdr:col>
      <xdr:colOff>25400</xdr:colOff>
      <xdr:row>5</xdr:row>
      <xdr:rowOff>88900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A5395209-2625-6446-9471-7EB2971355A7}"/>
            </a:ext>
          </a:extLst>
        </xdr:cNvPr>
        <xdr:cNvSpPr/>
      </xdr:nvSpPr>
      <xdr:spPr>
        <a:xfrm rot="5400000">
          <a:off x="16452850" y="-1212850"/>
          <a:ext cx="292100" cy="48260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431800</xdr:colOff>
      <xdr:row>42</xdr:row>
      <xdr:rowOff>50800</xdr:rowOff>
    </xdr:from>
    <xdr:to>
      <xdr:col>23</xdr:col>
      <xdr:colOff>12700</xdr:colOff>
      <xdr:row>46</xdr:row>
      <xdr:rowOff>139700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76905D54-CDF7-6746-8D8A-E7DDF033BA15}"/>
            </a:ext>
          </a:extLst>
        </xdr:cNvPr>
        <xdr:cNvSpPr/>
      </xdr:nvSpPr>
      <xdr:spPr>
        <a:xfrm rot="5400000" flipH="1">
          <a:off x="15894050" y="6102350"/>
          <a:ext cx="850900" cy="53594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1225550</xdr:colOff>
      <xdr:row>5</xdr:row>
      <xdr:rowOff>63500</xdr:rowOff>
    </xdr:from>
    <xdr:to>
      <xdr:col>20</xdr:col>
      <xdr:colOff>298450</xdr:colOff>
      <xdr:row>42</xdr:row>
      <xdr:rowOff>82550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775305D3-0355-7941-A6D2-8B8F01B7C5B0}"/>
            </a:ext>
          </a:extLst>
        </xdr:cNvPr>
        <xdr:cNvSpPr/>
      </xdr:nvSpPr>
      <xdr:spPr>
        <a:xfrm flipH="1">
          <a:off x="18141950" y="1320800"/>
          <a:ext cx="660400" cy="713105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723900</xdr:colOff>
      <xdr:row>9</xdr:row>
      <xdr:rowOff>0</xdr:rowOff>
    </xdr:from>
    <xdr:to>
      <xdr:col>16</xdr:col>
      <xdr:colOff>279400</xdr:colOff>
      <xdr:row>23</xdr:row>
      <xdr:rowOff>12700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5035852-D80B-544B-86DF-1D919199C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317500</xdr:colOff>
      <xdr:row>9</xdr:row>
      <xdr:rowOff>38100</xdr:rowOff>
    </xdr:from>
    <xdr:to>
      <xdr:col>17</xdr:col>
      <xdr:colOff>508000</xdr:colOff>
      <xdr:row>9</xdr:row>
      <xdr:rowOff>241300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1577D293-730D-D346-9179-8359DCA2CC90}"/>
            </a:ext>
          </a:extLst>
        </xdr:cNvPr>
        <xdr:cNvSpPr/>
      </xdr:nvSpPr>
      <xdr:spPr>
        <a:xfrm>
          <a:off x="14592300" y="2057400"/>
          <a:ext cx="190500" cy="2032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17</xdr:col>
      <xdr:colOff>304800</xdr:colOff>
      <xdr:row>12</xdr:row>
      <xdr:rowOff>0</xdr:rowOff>
    </xdr:from>
    <xdr:to>
      <xdr:col>17</xdr:col>
      <xdr:colOff>495300</xdr:colOff>
      <xdr:row>13</xdr:row>
      <xdr:rowOff>12700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EAB6AB77-61E0-6549-AF09-96791B77E1BC}"/>
            </a:ext>
          </a:extLst>
        </xdr:cNvPr>
        <xdr:cNvSpPr/>
      </xdr:nvSpPr>
      <xdr:spPr>
        <a:xfrm>
          <a:off x="14579600" y="2654300"/>
          <a:ext cx="190500" cy="203200"/>
        </a:xfrm>
        <a:prstGeom prst="ellipse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4</xdr:col>
      <xdr:colOff>787400</xdr:colOff>
      <xdr:row>28</xdr:row>
      <xdr:rowOff>177800</xdr:rowOff>
    </xdr:from>
    <xdr:to>
      <xdr:col>11</xdr:col>
      <xdr:colOff>800100</xdr:colOff>
      <xdr:row>41</xdr:row>
      <xdr:rowOff>101600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F933F327-B0AA-B142-AD6B-FA4BE6209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647700</xdr:colOff>
      <xdr:row>25</xdr:row>
      <xdr:rowOff>177800</xdr:rowOff>
    </xdr:from>
    <xdr:to>
      <xdr:col>6</xdr:col>
      <xdr:colOff>12700</xdr:colOff>
      <xdr:row>27</xdr:row>
      <xdr:rowOff>0</xdr:rowOff>
    </xdr:to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E07A0A51-AA02-C345-AA56-9D97DA8DE789}"/>
            </a:ext>
          </a:extLst>
        </xdr:cNvPr>
        <xdr:cNvSpPr/>
      </xdr:nvSpPr>
      <xdr:spPr>
        <a:xfrm>
          <a:off x="4775200" y="5308600"/>
          <a:ext cx="190500" cy="203200"/>
        </a:xfrm>
        <a:prstGeom prst="ellipse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25400</xdr:colOff>
      <xdr:row>6</xdr:row>
      <xdr:rowOff>114300</xdr:rowOff>
    </xdr:from>
    <xdr:to>
      <xdr:col>6</xdr:col>
      <xdr:colOff>215900</xdr:colOff>
      <xdr:row>7</xdr:row>
      <xdr:rowOff>127000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BD1C7129-194A-264E-B223-A6BCF9C5E734}"/>
            </a:ext>
          </a:extLst>
        </xdr:cNvPr>
        <xdr:cNvSpPr/>
      </xdr:nvSpPr>
      <xdr:spPr>
        <a:xfrm>
          <a:off x="4978400" y="1562100"/>
          <a:ext cx="190500" cy="2032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622300</xdr:colOff>
      <xdr:row>6</xdr:row>
      <xdr:rowOff>127000</xdr:rowOff>
    </xdr:from>
    <xdr:to>
      <xdr:col>0</xdr:col>
      <xdr:colOff>812800</xdr:colOff>
      <xdr:row>7</xdr:row>
      <xdr:rowOff>139700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9E0E0CE8-878C-EA49-99DB-63DE4E062643}"/>
            </a:ext>
          </a:extLst>
        </xdr:cNvPr>
        <xdr:cNvSpPr/>
      </xdr:nvSpPr>
      <xdr:spPr>
        <a:xfrm>
          <a:off x="622300" y="1574800"/>
          <a:ext cx="190500" cy="2032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546100</xdr:colOff>
      <xdr:row>26</xdr:row>
      <xdr:rowOff>38100</xdr:rowOff>
    </xdr:from>
    <xdr:to>
      <xdr:col>0</xdr:col>
      <xdr:colOff>736600</xdr:colOff>
      <xdr:row>27</xdr:row>
      <xdr:rowOff>50800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F75A929B-68E5-E043-97F7-4A3D0001E47F}"/>
            </a:ext>
          </a:extLst>
        </xdr:cNvPr>
        <xdr:cNvSpPr/>
      </xdr:nvSpPr>
      <xdr:spPr>
        <a:xfrm>
          <a:off x="546100" y="5359400"/>
          <a:ext cx="190500" cy="203200"/>
        </a:xfrm>
        <a:prstGeom prst="ellipse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17</xdr:col>
      <xdr:colOff>304800</xdr:colOff>
      <xdr:row>15</xdr:row>
      <xdr:rowOff>0</xdr:rowOff>
    </xdr:from>
    <xdr:to>
      <xdr:col>17</xdr:col>
      <xdr:colOff>495300</xdr:colOff>
      <xdr:row>16</xdr:row>
      <xdr:rowOff>12700</xdr:rowOff>
    </xdr:to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EA00FBD3-772B-3247-B41E-B826A41CB2E3}"/>
            </a:ext>
          </a:extLst>
        </xdr:cNvPr>
        <xdr:cNvSpPr/>
      </xdr:nvSpPr>
      <xdr:spPr>
        <a:xfrm>
          <a:off x="14579600" y="2654300"/>
          <a:ext cx="190500" cy="203200"/>
        </a:xfrm>
        <a:prstGeom prst="ellipse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28</xdr:row>
      <xdr:rowOff>63500</xdr:rowOff>
    </xdr:from>
    <xdr:to>
      <xdr:col>4</xdr:col>
      <xdr:colOff>317500</xdr:colOff>
      <xdr:row>42</xdr:row>
      <xdr:rowOff>12700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F16F70FE-A5FB-9040-88E7-7CFC0FC84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304800</xdr:colOff>
      <xdr:row>18</xdr:row>
      <xdr:rowOff>0</xdr:rowOff>
    </xdr:from>
    <xdr:to>
      <xdr:col>17</xdr:col>
      <xdr:colOff>495300</xdr:colOff>
      <xdr:row>19</xdr:row>
      <xdr:rowOff>12700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E17F5173-7E2F-4C4C-84A9-F711C799CAB9}"/>
            </a:ext>
          </a:extLst>
        </xdr:cNvPr>
        <xdr:cNvSpPr/>
      </xdr:nvSpPr>
      <xdr:spPr>
        <a:xfrm>
          <a:off x="14579600" y="3225800"/>
          <a:ext cx="190500" cy="203200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393700</xdr:colOff>
      <xdr:row>9</xdr:row>
      <xdr:rowOff>12700</xdr:rowOff>
    </xdr:from>
    <xdr:to>
      <xdr:col>4</xdr:col>
      <xdr:colOff>241300</xdr:colOff>
      <xdr:row>23</xdr:row>
      <xdr:rowOff>0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FA8FE3E3-F072-F045-BCA1-C12F881F5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673100</xdr:colOff>
      <xdr:row>26</xdr:row>
      <xdr:rowOff>25400</xdr:rowOff>
    </xdr:from>
    <xdr:to>
      <xdr:col>13</xdr:col>
      <xdr:colOff>38100</xdr:colOff>
      <xdr:row>27</xdr:row>
      <xdr:rowOff>38100</xdr:rowOff>
    </xdr:to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57B17B67-0E89-D749-B419-FC18CFE6A762}"/>
            </a:ext>
          </a:extLst>
        </xdr:cNvPr>
        <xdr:cNvSpPr/>
      </xdr:nvSpPr>
      <xdr:spPr>
        <a:xfrm>
          <a:off x="10579100" y="5346700"/>
          <a:ext cx="190500" cy="203200"/>
        </a:xfrm>
        <a:prstGeom prst="ellipse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17</xdr:col>
      <xdr:colOff>304800</xdr:colOff>
      <xdr:row>21</xdr:row>
      <xdr:rowOff>0</xdr:rowOff>
    </xdr:from>
    <xdr:to>
      <xdr:col>17</xdr:col>
      <xdr:colOff>495300</xdr:colOff>
      <xdr:row>22</xdr:row>
      <xdr:rowOff>12700</xdr:rowOff>
    </xdr:to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5787B513-29AC-BA46-8EEB-C3E8C5147E43}"/>
            </a:ext>
          </a:extLst>
        </xdr:cNvPr>
        <xdr:cNvSpPr/>
      </xdr:nvSpPr>
      <xdr:spPr>
        <a:xfrm>
          <a:off x="14579600" y="3797300"/>
          <a:ext cx="190500" cy="203200"/>
        </a:xfrm>
        <a:prstGeom prst="ellipse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647700</xdr:colOff>
      <xdr:row>28</xdr:row>
      <xdr:rowOff>127000</xdr:rowOff>
    </xdr:from>
    <xdr:to>
      <xdr:col>16</xdr:col>
      <xdr:colOff>469900</xdr:colOff>
      <xdr:row>42</xdr:row>
      <xdr:rowOff>50800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BF2B15D2-7F6B-2545-8E3C-2ABBBDE89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0.14386</cdr:x>
      <cdr:y>0.4466</cdr:y>
    </cdr:from>
    <cdr:to>
      <cdr:x>0.86667</cdr:x>
      <cdr:y>0.58252</cdr:y>
    </cdr:to>
    <cdr:sp macro="" textlink="'Pivot Tables for Dashboard'!$H$66">
      <cdr:nvSpPr>
        <cdr:cNvPr id="2" name="TextBox 18">
          <a:extLst xmlns:a="http://schemas.openxmlformats.org/drawingml/2006/main">
            <a:ext uri="{FF2B5EF4-FFF2-40B4-BE49-F238E27FC236}">
              <a16:creationId xmlns:a16="http://schemas.microsoft.com/office/drawing/2014/main" id="{9E8990F2-A0AF-6647-93A3-A8B6154D5F10}"/>
            </a:ext>
          </a:extLst>
        </cdr:cNvPr>
        <cdr:cNvSpPr txBox="1"/>
      </cdr:nvSpPr>
      <cdr:spPr>
        <a:xfrm xmlns:a="http://schemas.openxmlformats.org/drawingml/2006/main">
          <a:off x="520700" y="1168400"/>
          <a:ext cx="2616200" cy="355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4031033-D9F7-0949-B5C2-FF87D714242B}" type="TxLink">
            <a:rPr lang="en-US" sz="18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31.18%</a:t>
          </a:fld>
          <a:endParaRPr lang="en-GB" sz="1800" b="1">
            <a:solidFill>
              <a:schemeClr val="bg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0.39871</cdr:x>
      <cdr:y>0.38235</cdr:y>
    </cdr:from>
    <cdr:to>
      <cdr:x>0.55627</cdr:x>
      <cdr:y>0.61275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9F86EB9-2E99-AF46-B7C4-B9A5F48829AD}"/>
            </a:ext>
          </a:extLst>
        </cdr:cNvPr>
        <cdr:cNvSpPr txBox="1"/>
      </cdr:nvSpPr>
      <cdr:spPr>
        <a:xfrm xmlns:a="http://schemas.openxmlformats.org/drawingml/2006/main">
          <a:off x="1574800" y="990600"/>
          <a:ext cx="622300" cy="596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0.41158</cdr:x>
      <cdr:y>0.36275</cdr:y>
    </cdr:from>
    <cdr:to>
      <cdr:x>0.61736</cdr:x>
      <cdr:y>0.69118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4A1ED01-D85A-AD49-8817-767B8700F575}"/>
            </a:ext>
          </a:extLst>
        </cdr:cNvPr>
        <cdr:cNvSpPr txBox="1"/>
      </cdr:nvSpPr>
      <cdr:spPr>
        <a:xfrm xmlns:a="http://schemas.openxmlformats.org/drawingml/2006/main">
          <a:off x="1625600" y="939800"/>
          <a:ext cx="812800" cy="850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0.16399</cdr:x>
      <cdr:y>0.42647</cdr:y>
    </cdr:from>
    <cdr:to>
      <cdr:x>0.82637</cdr:x>
      <cdr:y>0.56373</cdr:y>
    </cdr:to>
    <cdr:sp macro="" textlink="'Pivot Tables for Dashboard'!$J$134">
      <cdr:nvSpPr>
        <cdr:cNvPr id="4" name="TextBox 18">
          <a:extLst xmlns:a="http://schemas.openxmlformats.org/drawingml/2006/main">
            <a:ext uri="{FF2B5EF4-FFF2-40B4-BE49-F238E27FC236}">
              <a16:creationId xmlns:a16="http://schemas.microsoft.com/office/drawing/2014/main" id="{2667A1EE-3F52-3B4D-8983-C8CB1AEA1B8D}"/>
            </a:ext>
          </a:extLst>
        </cdr:cNvPr>
        <cdr:cNvSpPr txBox="1"/>
      </cdr:nvSpPr>
      <cdr:spPr>
        <a:xfrm xmlns:a="http://schemas.openxmlformats.org/drawingml/2006/main">
          <a:off x="647700" y="1104900"/>
          <a:ext cx="2616200" cy="355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939F0963-D108-A144-B7F3-C263E5261361}" type="TxLink">
            <a:rPr lang="en-US" sz="1800" b="1" i="0" u="none" strike="noStrike" baseline="0">
              <a:solidFill>
                <a:schemeClr val="bg1"/>
              </a:solidFill>
              <a:latin typeface="Calibri"/>
              <a:cs typeface="Calibri"/>
            </a:rPr>
            <a:pPr algn="ctr"/>
            <a:t>34.46%</a:t>
          </a:fld>
          <a:endParaRPr lang="en-GB" sz="1800" b="1">
            <a:solidFill>
              <a:schemeClr val="bg1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(pg) Anirudh Srinivas" refreshedDate="44495.823780092593" createdVersion="7" refreshedVersion="7" minRefreshableVersion="3" recordCount="6" xr:uid="{206F6582-0742-3C4A-9CD7-1B841EAA402A}">
  <cacheSource type="worksheet">
    <worksheetSource ref="A86:L92" sheet="Ratio Calculations"/>
  </cacheSource>
  <cacheFields count="12">
    <cacheField name="Year" numFmtId="0">
      <sharedItems containsSemiMixedTypes="0" containsString="0" containsNumber="1" containsInteger="1" minValue="2019" maxValue="2024" count="6">
        <n v="2019"/>
        <n v="2020"/>
        <n v="2021"/>
        <n v="2022"/>
        <n v="2023"/>
        <n v="2024"/>
      </sharedItems>
    </cacheField>
    <cacheField name="Office Products and Cloud Services" numFmtId="0">
      <sharedItems containsSemiMixedTypes="0" containsString="0" containsNumber="1" minValue="32622" maxValue="79118.003122519061" count="6">
        <n v="32622"/>
        <n v="41379"/>
        <n v="52589"/>
        <n v="58237.805747349092"/>
        <n v="67316.293944642472"/>
        <n v="79118.003122519061"/>
      </sharedItems>
    </cacheField>
    <cacheField name="Windows" numFmtId="0">
      <sharedItems containsSemiMixedTypes="0" containsString="0" containsNumber="1" minValue="31769" maxValue="63608.257825961693"/>
    </cacheField>
    <cacheField name="Gaming" numFmtId="0">
      <sharedItems containsSemiMixedTypes="0" containsString="0" containsNumber="1" minValue="20395" maxValue="38635.352581339648"/>
    </cacheField>
    <cacheField name="Linkedin" numFmtId="0">
      <sharedItems containsSemiMixedTypes="0" containsString="0" containsNumber="1" minValue="11386" maxValue="22647.036077562974"/>
    </cacheField>
    <cacheField name="Search Advertising" numFmtId="0">
      <sharedItems containsSemiMixedTypes="0" containsString="0" containsNumber="1" minValue="6754" maxValue="15462.135727136694"/>
    </cacheField>
    <cacheField name="Devices" numFmtId="0">
      <sharedItems containsSemiMixedTypes="0" containsString="0" containsNumber="1" minValue="7628" maxValue="13776.106508308339"/>
    </cacheField>
    <cacheField name="Enterprise Services" numFmtId="0">
      <sharedItems containsSemiMixedTypes="0" containsString="0" containsNumber="1" minValue="6095" maxValue="11239.786391312526"/>
    </cacheField>
    <cacheField name="Other" numFmtId="0">
      <sharedItems containsSemiMixedTypes="0" containsString="0" containsNumber="1" minValue="6124" maxValue="11314.497840556458"/>
    </cacheField>
    <cacheField name="Commercial Cloud" numFmtId="0">
      <sharedItems containsSemiMixedTypes="0" containsString="0" containsNumber="1" minValue="3070" maxValue="6962.3995806956327"/>
    </cacheField>
    <cacheField name="Total Revenue" numFmtId="0">
      <sharedItems containsSemiMixedTypes="0" containsString="0" containsNumber="1" minValue="125843" maxValue="262763.57565539301"/>
    </cacheField>
    <cacheField name="EBITDA" numFmtId="4">
      <sharedItems containsSemiMixedTypes="0" containsString="0" containsNumber="1" minValue="58056" maxValue="149691.101616239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(pg) Anirudh Srinivas" refreshedDate="44495.904635648149" createdVersion="7" refreshedVersion="7" minRefreshableVersion="3" recordCount="6" xr:uid="{05F82C82-5FBC-7349-8550-39059D8815C0}">
  <cacheSource type="worksheet">
    <worksheetSource ref="A40:C46" sheet="Pivot Tables for Dashboard"/>
  </cacheSource>
  <cacheFields count="3">
    <cacheField name="Year" numFmtId="0">
      <sharedItems containsSemiMixedTypes="0" containsString="0" containsNumber="1" containsInteger="1" minValue="2019" maxValue="2024" count="6">
        <n v="2019"/>
        <n v="2020"/>
        <n v="2021"/>
        <n v="2022"/>
        <n v="2023"/>
        <n v="2024"/>
      </sharedItems>
    </cacheField>
    <cacheField name="Revenue" numFmtId="0">
      <sharedItems containsSemiMixedTypes="0" containsString="0" containsNumber="1" minValue="125843" maxValue="262763.57565539301" count="6">
        <n v="125843"/>
        <n v="143015"/>
        <n v="168088"/>
        <n v="193417.09184444867"/>
        <n v="223568.20696513751"/>
        <n v="262763.57565539301"/>
      </sharedItems>
    </cacheField>
    <cacheField name="COGS" numFmtId="0">
      <sharedItems containsSemiMixedTypes="0" containsString="0" containsNumber="1" minValue="42910" maxValue="81651.6770003361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(pg) Anirudh Srinivas" refreshedDate="44495.945493634259" createdVersion="7" refreshedVersion="7" minRefreshableVersion="3" recordCount="3" xr:uid="{077A6A7B-3906-F947-905C-5E9A24CC782B}">
  <cacheSource type="worksheet">
    <worksheetSource ref="F87:J90" sheet="Pivot Tables for Dashboard"/>
  </cacheSource>
  <cacheFields count="5">
    <cacheField name="Year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ROCE:" numFmtId="166">
      <sharedItems containsSemiMixedTypes="0" containsString="0" containsNumber="1" minValue="0.21357121803846438" maxValue="0.29957735331793967" count="3">
        <n v="0.21357121803846438"/>
        <n v="0.2429116030061004"/>
        <n v="0.29957735331793967"/>
      </sharedItems>
    </cacheField>
    <cacheField name="Capital Employed" numFmtId="37">
      <sharedItems containsSemiMixedTypes="0" containsString="0" containsNumber="1" containsInteger="1" minValue="217136" maxValue="245122"/>
    </cacheField>
    <cacheField name="EBIT:" numFmtId="37">
      <sharedItems containsSemiMixedTypes="0" containsString="0" containsNumber="1" containsInteger="1" minValue="46374" maxValue="73433"/>
    </cacheField>
    <cacheField name="ROE:" numFmtId="166">
      <sharedItems containsSemiMixedTypes="0" containsString="0" containsNumber="1" minValue="0.37429841763592103" maxValue="0.43152238217314137" count="3">
        <n v="0.38346525945470539"/>
        <n v="0.37429841763592103"/>
        <n v="0.4315223821731413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31769"/>
    <n v="20395"/>
    <n v="11386"/>
    <n v="6754"/>
    <n v="7628"/>
    <n v="6095"/>
    <n v="6124"/>
    <n v="3070"/>
    <n v="125843"/>
    <n v="58056"/>
  </r>
  <r>
    <x v="1"/>
    <x v="1"/>
    <n v="35316"/>
    <n v="22294"/>
    <n v="11575"/>
    <n v="8077"/>
    <n v="7740"/>
    <n v="6457"/>
    <n v="6409"/>
    <n v="3768"/>
    <n v="143015"/>
    <n v="68423"/>
  </r>
  <r>
    <x v="2"/>
    <x v="2"/>
    <n v="39872"/>
    <n v="23227"/>
    <n v="15370"/>
    <n v="10289"/>
    <n v="8528"/>
    <n v="6791"/>
    <n v="6943"/>
    <n v="4479"/>
    <n v="168088"/>
    <n v="85119"/>
  </r>
  <r>
    <x v="3"/>
    <x v="3"/>
    <n v="46821.269711005683"/>
    <n v="28439.016024305864"/>
    <n v="16670.209507132036"/>
    <n v="11381.491207780909"/>
    <n v="10140.42547994111"/>
    <n v="8273.4708999833947"/>
    <n v="8328.4650946856182"/>
    <n v="5124.9381722649705"/>
    <n v="193417.09184444867"/>
    <n v="97480.838549605367"/>
  </r>
  <r>
    <x v="4"/>
    <x v="4"/>
    <n v="54120.073967088145"/>
    <n v="32872.274935868649"/>
    <n v="19268.870262199973"/>
    <n v="13155.712133028263"/>
    <n v="11721.181002128154"/>
    <n v="9563.1933912805252"/>
    <n v="9626.7604389794742"/>
    <n v="5923.8468899218624"/>
    <n v="223568.20696513751"/>
    <n v="119525.26342835472"/>
  </r>
  <r>
    <x v="5"/>
    <x v="5"/>
    <n v="63608.257825961693"/>
    <n v="38635.352581339648"/>
    <n v="22647.036077562974"/>
    <n v="15462.135727136694"/>
    <n v="13776.106508308339"/>
    <n v="11239.786391312526"/>
    <n v="11314.497840556458"/>
    <n v="6962.3995806956327"/>
    <n v="262763.57565539301"/>
    <n v="149691.1016162392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42910"/>
  </r>
  <r>
    <x v="1"/>
    <x v="1"/>
    <n v="46078"/>
  </r>
  <r>
    <x v="2"/>
    <x v="2"/>
    <n v="52232"/>
  </r>
  <r>
    <x v="3"/>
    <x v="3"/>
    <n v="62790.434729328299"/>
  </r>
  <r>
    <x v="4"/>
    <x v="4"/>
    <n v="70751.733095914795"/>
  </r>
  <r>
    <x v="5"/>
    <x v="5"/>
    <n v="81651.67700033610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  <n v="217136"/>
    <n v="46374"/>
    <x v="0"/>
  </r>
  <r>
    <x v="1"/>
    <x v="1"/>
    <n v="229001"/>
    <n v="55627"/>
    <x v="1"/>
  </r>
  <r>
    <x v="2"/>
    <x v="2"/>
    <n v="245122"/>
    <n v="7343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6DA9D3-56C6-C848-AE8E-A92D81948ABF}" name="PivotTable36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91:C95" firstHeaderRow="0" firstDataRow="1" firstDataCol="1"/>
  <pivotFields count="5">
    <pivotField axis="axisRow" showAll="0">
      <items count="4">
        <item x="0"/>
        <item x="1"/>
        <item x="2"/>
        <item t="default"/>
      </items>
    </pivotField>
    <pivotField dataField="1" numFmtId="166" showAll="0">
      <items count="4">
        <item x="0"/>
        <item x="1"/>
        <item x="2"/>
        <item t="default"/>
      </items>
    </pivotField>
    <pivotField numFmtId="37" showAll="0"/>
    <pivotField numFmtId="37" showAll="0"/>
    <pivotField dataField="1" numFmtId="166" showAll="0">
      <items count="4">
        <item x="1"/>
        <item x="0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 ROCE:" fld="1" baseField="0" baseItem="0"/>
    <dataField name=" ROE:" fld="4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63941F-21BA-6F47-9A3A-CF060E729C85}" name="PivotTable30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E40:G47" firstHeaderRow="0" firstDataRow="1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1" baseField="0" baseItem="0"/>
    <dataField name="Sum of COG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6B116F-647A-B040-B9AC-502FFD659296}" name="PivotTable2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2:L29" firstHeaderRow="0" firstDataRow="1" firstDataCol="1"/>
  <pivotFields count="1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numFmtId="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Sum of Office Products and Cloud Services" fld="1" baseField="0" baseItem="0"/>
    <dataField name="Sum of Windows" fld="2" baseField="0" baseItem="0"/>
    <dataField name="Sum of Gaming" fld="3" baseField="0" baseItem="0"/>
    <dataField name="Sum of Linkedin" fld="4" baseField="0" baseItem="0"/>
    <dataField name="Sum of Search Advertising" fld="5" baseField="0" baseItem="0"/>
    <dataField name="Sum of Devices" fld="6" baseField="0" baseItem="0"/>
    <dataField name="Sum of Enterprise Services" fld="7" baseField="0" baseItem="0"/>
    <dataField name="Sum of Other" fld="8" baseField="0" baseItem="0"/>
    <dataField name="Sum of Commercial Cloud" fld="9" baseField="0" baseItem="0"/>
    <dataField name="Sum of Total Revenue" fld="10" baseField="0" baseItem="0"/>
    <dataField name="Sum of EBITDA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BD5107-A908-004B-A88C-238664727D5D}" name="PivotTable37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 rowHeaderCaption="Year">
  <location ref="A113:C117" firstHeaderRow="0" firstDataRow="1" firstDataCol="1"/>
  <pivotFields count="5">
    <pivotField axis="axisRow" showAll="0">
      <items count="4">
        <item x="0"/>
        <item x="1"/>
        <item x="2"/>
        <item t="default"/>
      </items>
    </pivotField>
    <pivotField dataField="1" numFmtId="166" showAll="0">
      <items count="4">
        <item x="0"/>
        <item x="1"/>
        <item x="2"/>
        <item t="default"/>
      </items>
    </pivotField>
    <pivotField numFmtId="37" showAll="0"/>
    <pivotField numFmtId="37" showAll="0"/>
    <pivotField dataField="1" numFmtId="166" showAll="0">
      <items count="4">
        <item x="1"/>
        <item x="0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 ROCE:" fld="1" baseField="0" baseItem="0"/>
    <dataField name=" ROE:" fld="4" baseField="0" baseItem="0"/>
  </dataFields>
  <formats count="1">
    <format dxfId="1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A.Srinivas-20@student.lboro.ac.u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AD063-175E-AB4C-9E42-EF5D79BDB387}">
  <dimension ref="A1:R41"/>
  <sheetViews>
    <sheetView showGridLines="0" zoomScaleNormal="100" workbookViewId="0">
      <selection activeCell="H21" sqref="H21"/>
    </sheetView>
  </sheetViews>
  <sheetFormatPr baseColWidth="10" defaultRowHeight="15"/>
  <cols>
    <col min="1" max="1" width="2.83203125" customWidth="1"/>
    <col min="2" max="2" width="20.83203125" customWidth="1"/>
    <col min="3" max="3" width="13.33203125" customWidth="1"/>
    <col min="4" max="7" width="20.83203125" customWidth="1"/>
    <col min="8" max="16" width="12.83203125" customWidth="1"/>
    <col min="17" max="19" width="15.83203125" customWidth="1"/>
  </cols>
  <sheetData>
    <row r="1" spans="1:18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</row>
    <row r="2" spans="1:18" ht="20" customHeight="1">
      <c r="A2" s="66"/>
      <c r="B2" s="66"/>
      <c r="C2" s="66"/>
      <c r="D2" s="66"/>
      <c r="E2" s="66"/>
      <c r="F2" s="365"/>
      <c r="G2" s="366" t="s">
        <v>209</v>
      </c>
      <c r="H2" s="367"/>
      <c r="I2" s="367"/>
      <c r="J2" s="367"/>
      <c r="K2" s="352" t="s">
        <v>210</v>
      </c>
      <c r="L2" s="66"/>
      <c r="M2" s="66"/>
      <c r="N2" s="66"/>
      <c r="O2" s="66"/>
      <c r="P2" s="66"/>
      <c r="Q2" s="66"/>
      <c r="R2" s="66"/>
    </row>
    <row r="3" spans="1:18" ht="20" customHeight="1">
      <c r="A3" s="66"/>
      <c r="B3" s="66"/>
      <c r="C3" s="66"/>
      <c r="D3" s="66"/>
      <c r="E3" s="66"/>
      <c r="F3" s="367"/>
      <c r="G3" s="367"/>
      <c r="H3" s="367"/>
      <c r="I3" s="367"/>
      <c r="J3" s="367"/>
      <c r="K3" s="66"/>
      <c r="L3" s="66"/>
      <c r="M3" s="66"/>
      <c r="N3" s="66"/>
      <c r="O3" s="66"/>
      <c r="P3" s="66"/>
      <c r="Q3" s="66"/>
      <c r="R3" s="66"/>
    </row>
    <row r="4" spans="1:18" ht="20" customHeight="1" thickBot="1">
      <c r="A4" s="66"/>
      <c r="B4" s="66"/>
      <c r="C4" s="66"/>
      <c r="D4" s="66"/>
      <c r="E4" s="66"/>
      <c r="F4" s="367"/>
      <c r="G4" s="367"/>
      <c r="H4" s="367"/>
      <c r="I4" s="367"/>
      <c r="J4" s="367"/>
      <c r="K4" s="66"/>
      <c r="L4" s="66"/>
      <c r="M4" s="66"/>
      <c r="N4" s="66"/>
      <c r="O4" s="66"/>
      <c r="P4" s="66"/>
      <c r="Q4" s="66"/>
      <c r="R4" s="66"/>
    </row>
    <row r="5" spans="1:18" ht="20" customHeight="1" thickBot="1">
      <c r="A5" s="345"/>
      <c r="B5" s="346"/>
      <c r="C5" s="346"/>
      <c r="D5" s="346"/>
      <c r="E5" s="346"/>
      <c r="F5" s="367"/>
      <c r="G5" s="368"/>
      <c r="H5" s="369"/>
      <c r="I5" s="370"/>
      <c r="J5" s="370"/>
      <c r="K5" s="359"/>
      <c r="L5" s="360"/>
      <c r="M5" s="360"/>
      <c r="N5" s="361"/>
      <c r="O5" s="361"/>
      <c r="P5" s="66"/>
      <c r="Q5" s="66"/>
      <c r="R5" s="66"/>
    </row>
    <row r="6" spans="1:18" ht="20" customHeight="1" thickBot="1">
      <c r="A6" s="347"/>
      <c r="B6" s="105"/>
      <c r="C6" s="105"/>
      <c r="D6" s="105"/>
      <c r="E6" s="348"/>
      <c r="F6" s="367"/>
      <c r="G6" s="371" t="s">
        <v>211</v>
      </c>
      <c r="H6" s="367"/>
      <c r="I6" s="367"/>
      <c r="J6" s="367"/>
      <c r="K6" s="343" t="str">
        <f>HYPERLINK("#'Dashboard'!S4","Dashboard")</f>
        <v>Dashboard</v>
      </c>
      <c r="L6" s="361"/>
      <c r="M6" s="361"/>
      <c r="N6" s="362"/>
      <c r="O6" s="362"/>
      <c r="P6" s="66"/>
      <c r="Q6" s="66"/>
      <c r="R6" s="66"/>
    </row>
    <row r="7" spans="1:18" ht="20" customHeight="1" thickBot="1">
      <c r="A7" s="347"/>
      <c r="B7" s="105"/>
      <c r="C7" s="105"/>
      <c r="D7" s="105"/>
      <c r="E7" s="348"/>
      <c r="F7" s="367"/>
      <c r="G7" s="369"/>
      <c r="H7" s="367"/>
      <c r="I7" s="367"/>
      <c r="J7" s="367"/>
      <c r="K7" s="361"/>
      <c r="L7" s="361"/>
      <c r="M7" s="361"/>
      <c r="N7" s="361"/>
      <c r="O7" s="361"/>
      <c r="P7" s="66"/>
      <c r="Q7" s="66"/>
      <c r="R7" s="66"/>
    </row>
    <row r="8" spans="1:18" ht="20" customHeight="1" thickBot="1">
      <c r="A8" s="347"/>
      <c r="B8" s="349"/>
      <c r="C8" s="105"/>
      <c r="D8" s="105"/>
      <c r="E8" s="348"/>
      <c r="F8" s="367"/>
      <c r="G8" s="371" t="s">
        <v>107</v>
      </c>
      <c r="H8" s="372"/>
      <c r="I8" s="373"/>
      <c r="J8" s="372"/>
      <c r="K8" s="343" t="str">
        <f>HYPERLINK("#'P&amp;L Model'!C2","Dynamic Switch")</f>
        <v>Dynamic Switch</v>
      </c>
      <c r="L8" s="362"/>
      <c r="M8" s="343" t="str">
        <f>HYPERLINK("#'P&amp;L Model'!B18","Assumptions")</f>
        <v>Assumptions</v>
      </c>
      <c r="N8" s="361"/>
      <c r="O8" s="361"/>
      <c r="P8" s="66"/>
      <c r="Q8" s="66"/>
      <c r="R8" s="66"/>
    </row>
    <row r="9" spans="1:18" ht="20" customHeight="1">
      <c r="A9" s="347"/>
      <c r="B9" s="105"/>
      <c r="C9" s="105"/>
      <c r="D9" s="105"/>
      <c r="E9" s="348"/>
      <c r="F9" s="367"/>
      <c r="G9" s="374"/>
      <c r="H9" s="375"/>
      <c r="I9" s="367"/>
      <c r="J9" s="369"/>
      <c r="K9" s="361"/>
      <c r="L9" s="361"/>
      <c r="M9" s="361"/>
      <c r="N9" s="361"/>
      <c r="O9" s="361"/>
      <c r="P9" s="66"/>
      <c r="Q9" s="66"/>
      <c r="R9" s="66"/>
    </row>
    <row r="10" spans="1:18" ht="20" customHeight="1" thickBot="1">
      <c r="A10" s="347"/>
      <c r="B10" s="105"/>
      <c r="C10" s="105"/>
      <c r="D10" s="105"/>
      <c r="E10" s="348"/>
      <c r="F10" s="367"/>
      <c r="G10" s="374"/>
      <c r="H10" s="375"/>
      <c r="I10" s="376"/>
      <c r="J10" s="369"/>
      <c r="K10" s="363"/>
      <c r="L10" s="361"/>
      <c r="M10" s="361"/>
      <c r="N10" s="361"/>
      <c r="O10" s="361"/>
      <c r="P10" s="66"/>
      <c r="Q10" s="66"/>
      <c r="R10" s="66"/>
    </row>
    <row r="11" spans="1:18" ht="20" customHeight="1" thickBot="1">
      <c r="A11" s="347"/>
      <c r="B11" s="105"/>
      <c r="C11" s="105"/>
      <c r="D11" s="105"/>
      <c r="E11" s="348"/>
      <c r="F11" s="367"/>
      <c r="G11" s="375" t="s">
        <v>108</v>
      </c>
      <c r="H11" s="369"/>
      <c r="I11" s="369"/>
      <c r="J11" s="369"/>
      <c r="K11" s="343" t="str">
        <f>HYPERLINK("#'Balance Sheet Model'!B24","Calculations")</f>
        <v>Calculations</v>
      </c>
      <c r="L11" s="361"/>
      <c r="M11" s="361"/>
      <c r="N11" s="361"/>
      <c r="O11" s="361"/>
      <c r="P11" s="66"/>
      <c r="Q11" s="66"/>
      <c r="R11" s="66"/>
    </row>
    <row r="12" spans="1:18" ht="20" customHeight="1" thickBot="1">
      <c r="A12" s="347"/>
      <c r="B12" s="105"/>
      <c r="C12" s="105"/>
      <c r="D12" s="105"/>
      <c r="E12" s="348"/>
      <c r="F12" s="367"/>
      <c r="G12" s="374"/>
      <c r="H12" s="369"/>
      <c r="I12" s="369"/>
      <c r="J12" s="369"/>
      <c r="K12" s="363"/>
      <c r="L12" s="361"/>
      <c r="M12" s="361"/>
      <c r="N12" s="361"/>
      <c r="O12" s="361"/>
      <c r="P12" s="66"/>
      <c r="Q12" s="66"/>
      <c r="R12" s="66"/>
    </row>
    <row r="13" spans="1:18" ht="20" customHeight="1" thickBot="1">
      <c r="A13" s="347"/>
      <c r="B13" s="105"/>
      <c r="C13" s="105"/>
      <c r="D13" s="105"/>
      <c r="E13" s="348"/>
      <c r="F13" s="367"/>
      <c r="G13" s="375" t="s">
        <v>109</v>
      </c>
      <c r="H13" s="369"/>
      <c r="I13" s="369"/>
      <c r="J13" s="369"/>
      <c r="K13" s="343" t="str">
        <f>HYPERLINK("#'Cash Flow Model'!B2","Net Cash Flows")</f>
        <v>Net Cash Flows</v>
      </c>
      <c r="L13" s="361"/>
      <c r="M13" s="361"/>
      <c r="N13" s="361"/>
      <c r="O13" s="361"/>
      <c r="P13" s="66"/>
      <c r="Q13" s="66"/>
      <c r="R13" s="66"/>
    </row>
    <row r="14" spans="1:18" ht="20" customHeight="1" thickBot="1">
      <c r="A14" s="347"/>
      <c r="B14" s="105"/>
      <c r="C14" s="105"/>
      <c r="D14" s="105"/>
      <c r="E14" s="348"/>
      <c r="F14" s="367"/>
      <c r="G14" s="374"/>
      <c r="H14" s="369"/>
      <c r="I14" s="369"/>
      <c r="J14" s="369"/>
      <c r="K14" s="361"/>
      <c r="L14" s="361"/>
      <c r="M14" s="361"/>
      <c r="N14" s="361"/>
      <c r="O14" s="361"/>
      <c r="P14" s="66"/>
      <c r="Q14" s="66"/>
      <c r="R14" s="66"/>
    </row>
    <row r="15" spans="1:18" s="216" customFormat="1" ht="20" customHeight="1" thickBot="1">
      <c r="A15" s="347"/>
      <c r="B15" s="105"/>
      <c r="C15" s="105"/>
      <c r="D15" s="105"/>
      <c r="E15" s="348"/>
      <c r="F15" s="377"/>
      <c r="G15" s="375" t="s">
        <v>110</v>
      </c>
      <c r="H15" s="369"/>
      <c r="I15" s="369"/>
      <c r="J15" s="369"/>
      <c r="K15" s="343" t="str">
        <f>HYPERLINK("#'Liability and Equity Sched.'!B4","Liabilities")</f>
        <v>Liabilities</v>
      </c>
      <c r="L15" s="361"/>
      <c r="M15" s="343" t="str">
        <f>HYPERLINK("#'Liability and Equity Sched.'!B27","Equities")</f>
        <v>Equities</v>
      </c>
      <c r="N15" s="361"/>
      <c r="O15" s="361"/>
      <c r="P15" s="354"/>
      <c r="Q15" s="354"/>
      <c r="R15" s="354"/>
    </row>
    <row r="16" spans="1:18" s="216" customFormat="1" ht="20" customHeight="1" thickBot="1">
      <c r="A16" s="350"/>
      <c r="B16" s="217"/>
      <c r="C16" s="351" t="s">
        <v>105</v>
      </c>
      <c r="D16" s="217"/>
      <c r="E16" s="217"/>
      <c r="F16" s="377"/>
      <c r="G16" s="378"/>
      <c r="H16" s="375"/>
      <c r="I16" s="369"/>
      <c r="J16" s="369"/>
      <c r="K16" s="364"/>
      <c r="L16" s="355"/>
      <c r="M16" s="361"/>
      <c r="N16" s="355"/>
      <c r="O16" s="361"/>
      <c r="P16" s="354"/>
      <c r="Q16" s="354"/>
      <c r="R16" s="354"/>
    </row>
    <row r="17" spans="1:18" ht="20" customHeight="1" thickBot="1">
      <c r="A17" s="66"/>
      <c r="B17" s="66"/>
      <c r="C17" s="66"/>
      <c r="D17" s="66"/>
      <c r="E17" s="66"/>
      <c r="F17" s="367"/>
      <c r="G17" s="375" t="s">
        <v>212</v>
      </c>
      <c r="H17" s="369"/>
      <c r="I17" s="369"/>
      <c r="J17" s="369"/>
      <c r="K17" s="343" t="str">
        <f>HYPERLINK("#'DCF'!C7","COE")</f>
        <v>COE</v>
      </c>
      <c r="L17" s="361"/>
      <c r="M17" s="343" t="str">
        <f>HYPERLINK("#'DCF'!D17","COD")</f>
        <v>COD</v>
      </c>
      <c r="N17" s="361"/>
      <c r="O17" s="343" t="str">
        <f>HYPERLINK("#'DCF'!C26","WACC")</f>
        <v>WACC</v>
      </c>
      <c r="P17" s="66"/>
      <c r="Q17" s="66"/>
      <c r="R17" s="66"/>
    </row>
    <row r="18" spans="1:18" ht="20" customHeight="1">
      <c r="A18" s="66"/>
      <c r="B18" s="66"/>
      <c r="C18" s="66"/>
      <c r="D18" s="66"/>
      <c r="E18" s="66"/>
      <c r="F18" s="367"/>
      <c r="G18" s="367"/>
      <c r="H18" s="379"/>
      <c r="I18" s="367"/>
      <c r="J18" s="367"/>
      <c r="K18" s="66"/>
      <c r="L18" s="356"/>
      <c r="M18" s="353"/>
      <c r="N18" s="353"/>
      <c r="O18" s="353"/>
      <c r="P18" s="66"/>
      <c r="Q18" s="66"/>
      <c r="R18" s="66"/>
    </row>
    <row r="19" spans="1:18" ht="20" customHeight="1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</row>
    <row r="20" spans="1:18" ht="20" customHeight="1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</row>
    <row r="21" spans="1:18" ht="20" customHeight="1">
      <c r="A21" s="211"/>
      <c r="B21" s="213" t="s">
        <v>106</v>
      </c>
      <c r="C21" s="211"/>
      <c r="D21" s="212"/>
      <c r="E21" s="212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</row>
    <row r="22" spans="1:18" ht="25" customHeight="1">
      <c r="A22" s="213"/>
      <c r="B22" s="214" t="s">
        <v>112</v>
      </c>
      <c r="C22" s="213"/>
      <c r="D22" s="211"/>
      <c r="E22" s="212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</row>
    <row r="23" spans="1:18" ht="25" customHeight="1">
      <c r="A23" s="213"/>
      <c r="B23" s="213" t="s">
        <v>111</v>
      </c>
      <c r="C23" s="213"/>
      <c r="D23" s="211"/>
      <c r="E23" s="212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</row>
    <row r="24" spans="1:18" ht="25" customHeight="1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</row>
    <row r="25" spans="1:18" ht="25" customHeight="1">
      <c r="A25" s="357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</row>
    <row r="26" spans="1:18" ht="35" customHeight="1">
      <c r="A26" s="357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</row>
    <row r="27" spans="1:18" ht="40" customHeight="1">
      <c r="A27" s="357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</row>
    <row r="28" spans="1:18" ht="40" customHeight="1">
      <c r="A28" s="357">
        <v>3</v>
      </c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</row>
    <row r="29" spans="1:18" ht="40" customHeight="1">
      <c r="A29" s="357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</row>
    <row r="30" spans="1:18" ht="40" customHeight="1">
      <c r="A30" s="357">
        <v>4</v>
      </c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</row>
    <row r="31" spans="1:18" ht="40" customHeight="1">
      <c r="A31" s="358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</row>
    <row r="32" spans="1:18" ht="40" customHeight="1">
      <c r="A32" s="358">
        <v>5</v>
      </c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</row>
    <row r="33" spans="1:17" ht="40" customHeight="1">
      <c r="A33" s="358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</row>
    <row r="34" spans="1:17" ht="40" customHeight="1">
      <c r="A34" s="358">
        <v>6</v>
      </c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</row>
    <row r="35" spans="1:17" ht="30" customHeight="1">
      <c r="A35" s="66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</row>
    <row r="36" spans="1:17" ht="40" customHeight="1">
      <c r="A36" s="66"/>
      <c r="B36" s="344"/>
      <c r="C36" s="66"/>
      <c r="D36" s="66"/>
      <c r="E36" s="66"/>
      <c r="F36" s="257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</row>
    <row r="37" spans="1:17" ht="30" customHeight="1">
      <c r="A37" s="66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</row>
    <row r="38" spans="1:17" ht="30" customHeight="1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</row>
    <row r="39" spans="1:17" ht="20" customHeight="1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</row>
    <row r="40" spans="1:17" ht="24">
      <c r="A40" s="66"/>
      <c r="B40" s="66"/>
      <c r="C40" s="66"/>
      <c r="D40" s="66"/>
      <c r="E40" s="66"/>
      <c r="F40" s="66"/>
      <c r="G40" s="66"/>
      <c r="H40" s="257"/>
      <c r="I40" s="66"/>
      <c r="J40" s="66"/>
      <c r="K40" s="66"/>
      <c r="L40" s="66"/>
      <c r="M40" s="66"/>
      <c r="N40" s="66"/>
      <c r="O40" s="66"/>
      <c r="P40" s="66"/>
      <c r="Q40" s="66"/>
    </row>
    <row r="41" spans="1:17">
      <c r="G41" s="66"/>
    </row>
  </sheetData>
  <hyperlinks>
    <hyperlink ref="B22" r:id="rId1" xr:uid="{D50D5899-1DA1-0542-A977-302E3DD555D0}"/>
  </hyperlinks>
  <pageMargins left="0.7" right="0.7" top="0.75" bottom="0.75" header="0.3" footer="0.3"/>
  <pageSetup paperSize="9"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1FD67-335A-684C-85E1-AB5C973BD168}">
  <dimension ref="A1:Y47"/>
  <sheetViews>
    <sheetView showGridLines="0" showRowColHeaders="0" tabSelected="1" topLeftCell="A3" zoomScaleNormal="100" workbookViewId="0">
      <selection activeCell="S19" sqref="S19"/>
    </sheetView>
  </sheetViews>
  <sheetFormatPr baseColWidth="10" defaultRowHeight="15"/>
  <cols>
    <col min="17" max="17" width="14" customWidth="1"/>
    <col min="18" max="18" width="13.83203125" customWidth="1"/>
    <col min="19" max="20" width="20.83203125" customWidth="1"/>
  </cols>
  <sheetData>
    <row r="1" spans="1: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>
        <v>2</v>
      </c>
      <c r="S1" s="21"/>
      <c r="T1" s="21"/>
      <c r="U1" s="21"/>
      <c r="V1" s="21"/>
      <c r="W1" s="21"/>
      <c r="X1" s="66"/>
      <c r="Y1" s="66"/>
    </row>
    <row r="2" spans="1: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66"/>
      <c r="Y2" s="66"/>
    </row>
    <row r="3" spans="1:25" ht="39">
      <c r="A3" s="21"/>
      <c r="B3" s="21"/>
      <c r="C3" s="21"/>
      <c r="D3" s="21"/>
      <c r="E3" s="21"/>
      <c r="F3" s="21"/>
      <c r="G3" s="21"/>
      <c r="H3" s="21"/>
      <c r="I3" s="303"/>
      <c r="J3" s="21"/>
      <c r="K3" s="21"/>
      <c r="L3" s="304" t="s">
        <v>175</v>
      </c>
      <c r="M3" s="21"/>
      <c r="N3" s="21"/>
      <c r="O3" s="335" t="s">
        <v>205</v>
      </c>
      <c r="P3" s="335" t="str">
        <f>'P&amp;L Model'!C2</f>
        <v>Base Case</v>
      </c>
      <c r="Q3" s="21"/>
      <c r="R3" s="21"/>
      <c r="S3" s="21"/>
      <c r="T3" s="21"/>
      <c r="U3" s="21"/>
      <c r="V3" s="21"/>
      <c r="W3" s="21"/>
      <c r="X3" s="66"/>
      <c r="Y3" s="66"/>
    </row>
    <row r="4" spans="1: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66"/>
      <c r="Y4" s="66"/>
    </row>
    <row r="5" spans="1:25">
      <c r="R5" s="311"/>
      <c r="S5" s="311"/>
      <c r="T5" s="311"/>
      <c r="U5" s="311"/>
      <c r="V5" s="311"/>
      <c r="W5" s="311"/>
      <c r="X5" s="66"/>
      <c r="Y5" s="66"/>
    </row>
    <row r="6" spans="1:25">
      <c r="R6" s="21"/>
      <c r="S6" s="21"/>
      <c r="T6" s="21"/>
      <c r="U6" s="21"/>
      <c r="V6" s="21"/>
      <c r="W6" s="21"/>
      <c r="X6" s="66"/>
      <c r="Y6" s="66"/>
    </row>
    <row r="7" spans="1:25">
      <c r="R7" s="21"/>
      <c r="S7" s="21"/>
      <c r="T7" s="21"/>
      <c r="U7" s="21"/>
      <c r="V7" s="21"/>
      <c r="W7" s="21"/>
      <c r="X7" s="66"/>
      <c r="Y7" s="66"/>
    </row>
    <row r="8" spans="1:25">
      <c r="R8" s="21"/>
      <c r="S8" s="21"/>
      <c r="T8" s="21"/>
      <c r="U8" s="21"/>
      <c r="V8" s="21"/>
      <c r="W8" s="21"/>
      <c r="X8" s="66"/>
      <c r="Y8" s="66"/>
    </row>
    <row r="9" spans="1:25">
      <c r="R9" s="21"/>
      <c r="S9" s="21"/>
      <c r="T9" s="21"/>
      <c r="U9" s="21"/>
      <c r="V9" s="21"/>
      <c r="W9" s="21"/>
      <c r="X9" s="66"/>
      <c r="Y9" s="66"/>
    </row>
    <row r="10" spans="1:25" ht="20" customHeight="1">
      <c r="R10" s="312"/>
      <c r="S10" s="315" t="s">
        <v>177</v>
      </c>
      <c r="T10" s="315"/>
      <c r="U10" s="21"/>
      <c r="V10" s="21"/>
      <c r="W10" s="21"/>
      <c r="X10" s="66"/>
      <c r="Y10" s="66"/>
    </row>
    <row r="11" spans="1:25">
      <c r="R11" s="21"/>
      <c r="S11" s="21"/>
      <c r="T11" s="21"/>
      <c r="U11" s="21"/>
      <c r="V11" s="21"/>
      <c r="W11" s="21"/>
      <c r="X11" s="66"/>
      <c r="Y11" s="66"/>
    </row>
    <row r="12" spans="1:25">
      <c r="R12" s="21"/>
      <c r="S12" s="21"/>
      <c r="T12" s="21"/>
      <c r="U12" s="21"/>
      <c r="V12" s="21"/>
      <c r="W12" s="21"/>
      <c r="X12" s="66"/>
      <c r="Y12" s="66"/>
    </row>
    <row r="13" spans="1:25">
      <c r="R13" s="312"/>
      <c r="S13" s="313" t="s">
        <v>195</v>
      </c>
      <c r="T13" s="312"/>
      <c r="U13" s="21"/>
      <c r="V13" s="21"/>
      <c r="W13" s="21"/>
      <c r="X13" s="66"/>
      <c r="Y13" s="66"/>
    </row>
    <row r="14" spans="1:25">
      <c r="R14" s="21"/>
      <c r="S14" s="21"/>
      <c r="T14" s="21"/>
      <c r="U14" s="21"/>
      <c r="V14" s="21"/>
      <c r="W14" s="21"/>
      <c r="X14" s="66"/>
      <c r="Y14" s="66"/>
    </row>
    <row r="15" spans="1:25">
      <c r="R15" s="21"/>
      <c r="S15" s="21"/>
      <c r="T15" s="21"/>
      <c r="U15" s="21"/>
      <c r="V15" s="21"/>
      <c r="W15" s="21"/>
      <c r="X15" s="66"/>
      <c r="Y15" s="66"/>
    </row>
    <row r="16" spans="1:25">
      <c r="R16" s="312"/>
      <c r="S16" s="314">
        <v>2019</v>
      </c>
      <c r="T16" s="312"/>
      <c r="U16" s="21"/>
      <c r="V16" s="21"/>
      <c r="W16" s="21"/>
      <c r="X16" s="66"/>
      <c r="Y16" s="66"/>
    </row>
    <row r="17" spans="18:25">
      <c r="R17" s="21"/>
      <c r="S17" s="21"/>
      <c r="T17" s="21"/>
      <c r="U17" s="21"/>
      <c r="V17" s="21"/>
      <c r="W17" s="21"/>
      <c r="X17" s="66"/>
      <c r="Y17" s="66"/>
    </row>
    <row r="18" spans="18:25">
      <c r="R18" s="21"/>
      <c r="S18" s="21"/>
      <c r="T18" s="21"/>
      <c r="U18" s="21"/>
      <c r="V18" s="21"/>
      <c r="W18" s="21"/>
      <c r="X18" s="66"/>
      <c r="Y18" s="66"/>
    </row>
    <row r="19" spans="18:25">
      <c r="R19" s="312"/>
      <c r="S19" s="314">
        <v>2019</v>
      </c>
      <c r="T19" s="312"/>
      <c r="U19" s="21"/>
      <c r="V19" s="21"/>
      <c r="W19" s="21"/>
      <c r="X19" s="66"/>
      <c r="Y19" s="66"/>
    </row>
    <row r="20" spans="18:25">
      <c r="R20" s="21"/>
      <c r="S20" s="21"/>
      <c r="T20" s="21"/>
      <c r="U20" s="21"/>
      <c r="V20" s="21"/>
      <c r="W20" s="21"/>
      <c r="X20" s="66"/>
      <c r="Y20" s="66"/>
    </row>
    <row r="21" spans="18:25">
      <c r="R21" s="21"/>
      <c r="S21" s="21"/>
      <c r="T21" s="21"/>
      <c r="U21" s="21"/>
      <c r="V21" s="21"/>
      <c r="W21" s="21"/>
      <c r="X21" s="66"/>
      <c r="Y21" s="66"/>
    </row>
    <row r="22" spans="18:25">
      <c r="R22" s="312"/>
      <c r="S22" s="314">
        <v>2022</v>
      </c>
      <c r="T22" s="312"/>
      <c r="U22" s="21"/>
      <c r="V22" s="21"/>
      <c r="W22" s="21"/>
      <c r="X22" s="66"/>
      <c r="Y22" s="66"/>
    </row>
    <row r="23" spans="18:25">
      <c r="R23" s="21"/>
      <c r="S23" s="21"/>
      <c r="T23" s="21"/>
      <c r="U23" s="21"/>
      <c r="V23" s="21"/>
      <c r="W23" s="21"/>
      <c r="X23" s="66"/>
      <c r="Y23" s="66"/>
    </row>
    <row r="24" spans="18:25">
      <c r="R24" s="21"/>
      <c r="S24" s="21"/>
      <c r="T24" s="21"/>
      <c r="U24" s="21"/>
      <c r="V24" s="21"/>
      <c r="W24" s="21"/>
      <c r="X24" s="66"/>
      <c r="Y24" s="66"/>
    </row>
    <row r="25" spans="18:25">
      <c r="R25" s="21"/>
      <c r="S25" s="21"/>
      <c r="T25" s="21"/>
      <c r="U25" s="21"/>
      <c r="V25" s="21"/>
      <c r="W25" s="21"/>
      <c r="X25" s="66"/>
      <c r="Y25" s="66"/>
    </row>
    <row r="26" spans="18:25">
      <c r="R26" s="21"/>
      <c r="S26" s="21"/>
      <c r="T26" s="21"/>
      <c r="U26" s="21"/>
      <c r="V26" s="21"/>
      <c r="W26" s="21"/>
      <c r="X26" s="66"/>
      <c r="Y26" s="66"/>
    </row>
    <row r="27" spans="18:25">
      <c r="R27" s="21"/>
      <c r="S27" s="21"/>
      <c r="T27" s="21"/>
      <c r="U27" s="21"/>
      <c r="V27" s="21"/>
      <c r="W27" s="21"/>
      <c r="X27" s="66"/>
      <c r="Y27" s="66"/>
    </row>
    <row r="28" spans="18:25">
      <c r="R28" s="21"/>
      <c r="S28" s="21"/>
      <c r="T28" s="21"/>
      <c r="U28" s="21"/>
      <c r="V28" s="21"/>
      <c r="W28" s="21"/>
      <c r="X28" s="66"/>
      <c r="Y28" s="66"/>
    </row>
    <row r="29" spans="18:25">
      <c r="R29" s="21"/>
      <c r="S29" s="21"/>
      <c r="T29" s="21"/>
      <c r="U29" s="21"/>
      <c r="V29" s="21"/>
      <c r="W29" s="21"/>
      <c r="X29" s="66"/>
      <c r="Y29" s="66"/>
    </row>
    <row r="30" spans="18:25">
      <c r="R30" s="21"/>
      <c r="S30" s="21"/>
      <c r="T30" s="21"/>
      <c r="U30" s="21"/>
      <c r="V30" s="21"/>
      <c r="W30" s="21"/>
      <c r="X30" s="66"/>
      <c r="Y30" s="66"/>
    </row>
    <row r="31" spans="18:25">
      <c r="R31" s="21"/>
      <c r="S31" s="21"/>
      <c r="T31" s="21"/>
      <c r="U31" s="21"/>
      <c r="V31" s="21"/>
      <c r="W31" s="21"/>
      <c r="X31" s="66"/>
      <c r="Y31" s="66"/>
    </row>
    <row r="32" spans="18:25">
      <c r="R32" s="21"/>
      <c r="S32" s="21"/>
      <c r="T32" s="21"/>
      <c r="U32" s="21"/>
      <c r="V32" s="21"/>
      <c r="W32" s="21"/>
      <c r="X32" s="66"/>
      <c r="Y32" s="66"/>
    </row>
    <row r="33" spans="18:25">
      <c r="R33" s="21"/>
      <c r="S33" s="21"/>
      <c r="T33" s="21"/>
      <c r="U33" s="21"/>
      <c r="V33" s="21"/>
      <c r="W33" s="21"/>
      <c r="X33" s="66"/>
      <c r="Y33" s="66"/>
    </row>
    <row r="34" spans="18:25">
      <c r="R34" s="21"/>
      <c r="S34" s="21"/>
      <c r="T34" s="21"/>
      <c r="U34" s="21"/>
      <c r="V34" s="21"/>
      <c r="W34" s="21"/>
      <c r="X34" s="66"/>
      <c r="Y34" s="66"/>
    </row>
    <row r="35" spans="18:25">
      <c r="R35" s="21"/>
      <c r="S35" s="21"/>
      <c r="T35" s="21"/>
      <c r="U35" s="21"/>
      <c r="V35" s="21"/>
      <c r="W35" s="21"/>
      <c r="X35" s="66"/>
      <c r="Y35" s="66"/>
    </row>
    <row r="36" spans="18:25">
      <c r="R36" s="21"/>
      <c r="S36" s="21"/>
      <c r="T36" s="21"/>
      <c r="U36" s="21"/>
      <c r="V36" s="21"/>
      <c r="W36" s="21"/>
      <c r="X36" s="66"/>
      <c r="Y36" s="66"/>
    </row>
    <row r="37" spans="18:25">
      <c r="R37" s="21"/>
      <c r="S37" s="21"/>
      <c r="T37" s="21"/>
      <c r="U37" s="21"/>
      <c r="V37" s="21"/>
      <c r="W37" s="21"/>
      <c r="X37" s="66"/>
      <c r="Y37" s="66"/>
    </row>
    <row r="38" spans="18:25">
      <c r="R38" s="21"/>
      <c r="S38" s="21"/>
      <c r="T38" s="21"/>
      <c r="U38" s="21"/>
      <c r="V38" s="21"/>
      <c r="W38" s="21"/>
      <c r="X38" s="66"/>
      <c r="Y38" s="66"/>
    </row>
    <row r="39" spans="18:25">
      <c r="R39" s="21"/>
      <c r="S39" s="21"/>
      <c r="T39" s="21"/>
      <c r="U39" s="21"/>
      <c r="V39" s="21"/>
      <c r="W39" s="21"/>
      <c r="X39" s="66"/>
      <c r="Y39" s="66"/>
    </row>
    <row r="40" spans="18:25">
      <c r="R40" s="21"/>
      <c r="S40" s="21"/>
      <c r="T40" s="21"/>
      <c r="U40" s="21"/>
      <c r="V40" s="21"/>
      <c r="W40" s="21"/>
      <c r="X40" s="66"/>
      <c r="Y40" s="66"/>
    </row>
    <row r="41" spans="18:25">
      <c r="R41" s="21"/>
      <c r="S41" s="21"/>
      <c r="T41" s="21"/>
      <c r="U41" s="21"/>
      <c r="V41" s="21"/>
      <c r="W41" s="21"/>
      <c r="X41" s="66"/>
      <c r="Y41" s="66"/>
    </row>
    <row r="42" spans="18:25">
      <c r="R42" s="21"/>
      <c r="S42" s="21"/>
      <c r="T42" s="21"/>
      <c r="U42" s="21"/>
      <c r="V42" s="21"/>
      <c r="W42" s="21"/>
      <c r="X42" s="66"/>
      <c r="Y42" s="66"/>
    </row>
    <row r="43" spans="18:25">
      <c r="R43" s="21"/>
      <c r="S43" s="21"/>
      <c r="T43" s="21"/>
      <c r="U43" s="21"/>
      <c r="V43" s="21"/>
      <c r="W43" s="21"/>
      <c r="X43" s="66"/>
    </row>
    <row r="44" spans="18:25">
      <c r="R44" s="66"/>
      <c r="S44" s="66"/>
      <c r="T44" s="21"/>
      <c r="U44" s="21"/>
      <c r="V44" s="21"/>
      <c r="W44" s="21"/>
      <c r="X44" s="66"/>
    </row>
    <row r="45" spans="18:25">
      <c r="R45" s="66"/>
      <c r="S45" s="66"/>
      <c r="T45" s="66"/>
      <c r="U45" s="66"/>
      <c r="V45" s="66"/>
      <c r="W45" s="66"/>
      <c r="X45" s="66"/>
    </row>
    <row r="46" spans="18:25">
      <c r="R46" s="66"/>
      <c r="S46" s="66"/>
      <c r="T46" s="66"/>
      <c r="U46" s="66"/>
      <c r="V46" s="66"/>
      <c r="W46" s="66"/>
      <c r="X46" s="66"/>
    </row>
    <row r="47" spans="18:25">
      <c r="T47" s="66"/>
      <c r="U47" s="66"/>
      <c r="V47" s="66"/>
      <c r="W47" s="66"/>
      <c r="X47" s="66"/>
    </row>
  </sheetData>
  <dataConsolidate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629CCDA-6B62-9C4A-BE40-F4D8F543A4A3}">
          <x14:formula1>
            <xm:f>'Pivot Tables for Dashboard'!$B$22:$J$22</xm:f>
          </x14:formula1>
          <xm:sqref>S10:T10</xm:sqref>
        </x14:dataValidation>
        <x14:dataValidation type="list" allowBlank="1" showInputMessage="1" showErrorMessage="1" xr:uid="{A437077D-41B4-8047-B3F9-AD33A04A1213}">
          <x14:formula1>
            <xm:f>'Pivot Tables for Dashboard'!$B$32:$J$32</xm:f>
          </x14:formula1>
          <xm:sqref>S13</xm:sqref>
        </x14:dataValidation>
        <x14:dataValidation type="list" allowBlank="1" showInputMessage="1" showErrorMessage="1" xr:uid="{8E460EBA-8AB7-F14F-9487-16D01706083E}">
          <x14:formula1>
            <xm:f>'Pivot Tables for Dashboard'!$A$68:$A$73</xm:f>
          </x14:formula1>
          <xm:sqref>S16</xm:sqref>
        </x14:dataValidation>
        <x14:dataValidation type="list" allowBlank="1" showInputMessage="1" showErrorMessage="1" xr:uid="{02AB83A7-2040-5743-951F-D73A671165C3}">
          <x14:formula1>
            <xm:f>'Pivot Tables for Dashboard'!$A$92:$A$94</xm:f>
          </x14:formula1>
          <xm:sqref>S19</xm:sqref>
        </x14:dataValidation>
        <x14:dataValidation type="list" allowBlank="1" showInputMessage="1" showErrorMessage="1" xr:uid="{FFED4A3F-0ED8-9246-80C7-E45F128AEF56}">
          <x14:formula1>
            <xm:f>'Pivot Tables for Dashboard'!$B$124:$G$124</xm:f>
          </x14:formula1>
          <xm:sqref>S22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3FFAC-678D-B647-A669-FC36097F35F0}">
  <dimension ref="B2:N67"/>
  <sheetViews>
    <sheetView showGridLines="0" zoomScale="110" zoomScaleNormal="110" workbookViewId="0">
      <selection activeCell="B5" sqref="B5:J5"/>
    </sheetView>
  </sheetViews>
  <sheetFormatPr baseColWidth="10" defaultRowHeight="15" outlineLevelRow="1" outlineLevelCol="1"/>
  <cols>
    <col min="1" max="1" width="3" customWidth="1"/>
    <col min="2" max="2" width="30.83203125" customWidth="1"/>
    <col min="3" max="5" width="15.83203125" customWidth="1"/>
    <col min="6" max="7" width="15.83203125" hidden="1" customWidth="1" outlineLevel="1"/>
    <col min="8" max="8" width="15.83203125" customWidth="1" collapsed="1"/>
    <col min="9" max="10" width="15.83203125" customWidth="1"/>
    <col min="11" max="11" width="12.5" bestFit="1" customWidth="1"/>
  </cols>
  <sheetData>
    <row r="2" spans="2:14" ht="21">
      <c r="B2" s="3" t="s">
        <v>23</v>
      </c>
      <c r="C2" s="38" t="s">
        <v>53</v>
      </c>
      <c r="H2" s="21"/>
      <c r="I2" s="39" t="s">
        <v>30</v>
      </c>
      <c r="J2" s="21"/>
    </row>
    <row r="4" spans="2:14" ht="17" thickBot="1">
      <c r="B4" s="10" t="s">
        <v>21</v>
      </c>
      <c r="C4" s="6" t="s">
        <v>2</v>
      </c>
      <c r="D4" s="6" t="s">
        <v>1</v>
      </c>
      <c r="E4" s="6" t="s">
        <v>0</v>
      </c>
      <c r="F4" s="6" t="s">
        <v>25</v>
      </c>
      <c r="G4" s="6" t="s">
        <v>26</v>
      </c>
      <c r="H4" s="6" t="s">
        <v>31</v>
      </c>
      <c r="I4" s="6" t="s">
        <v>32</v>
      </c>
      <c r="J4" s="6" t="s">
        <v>33</v>
      </c>
    </row>
    <row r="5" spans="2:14" ht="20" customHeight="1">
      <c r="B5" s="49" t="s">
        <v>3</v>
      </c>
      <c r="C5" s="7">
        <v>125843</v>
      </c>
      <c r="D5" s="7">
        <v>143015</v>
      </c>
      <c r="E5" s="7">
        <v>168088</v>
      </c>
      <c r="F5" s="110">
        <f t="shared" ref="F5:F16" si="0">D5/C5-1</f>
        <v>0.13645574247276371</v>
      </c>
      <c r="G5" s="13">
        <f t="shared" ref="G5:G16" si="1">E5/D5-1</f>
        <v>0.17531727441177503</v>
      </c>
      <c r="H5" s="119">
        <f>E5*(1+C24)</f>
        <v>193417.09184444867</v>
      </c>
      <c r="I5" s="7">
        <f>H5*(1+D24)</f>
        <v>223568.20696513751</v>
      </c>
      <c r="J5" s="162">
        <f>I5*(1+E24)</f>
        <v>262763.57565539301</v>
      </c>
      <c r="K5" s="24"/>
      <c r="L5" s="24"/>
      <c r="M5" s="228"/>
    </row>
    <row r="6" spans="2:14" ht="20" customHeight="1">
      <c r="B6" s="50" t="s">
        <v>22</v>
      </c>
      <c r="C6" s="7">
        <v>-42910</v>
      </c>
      <c r="D6" s="7">
        <v>-46078</v>
      </c>
      <c r="E6" s="7">
        <v>-52232</v>
      </c>
      <c r="F6" s="111">
        <f t="shared" si="0"/>
        <v>7.3828944302027466E-2</v>
      </c>
      <c r="G6" s="13">
        <f t="shared" si="1"/>
        <v>0.13355614392985804</v>
      </c>
      <c r="H6" s="120">
        <f>-H5*C30</f>
        <v>-62790.434729328292</v>
      </c>
      <c r="I6" s="7">
        <f>-I5*D30</f>
        <v>-70751.733095914824</v>
      </c>
      <c r="J6" s="163">
        <f>-J5*E30</f>
        <v>-81651.677000336058</v>
      </c>
      <c r="K6" s="24"/>
      <c r="L6" s="24"/>
    </row>
    <row r="7" spans="2:14" ht="20" customHeight="1">
      <c r="B7" s="51" t="s">
        <v>13</v>
      </c>
      <c r="C7" s="8">
        <f>SUM(C5:C6)</f>
        <v>82933</v>
      </c>
      <c r="D7" s="8">
        <f>SUM(D5:D6)</f>
        <v>96937</v>
      </c>
      <c r="E7" s="8">
        <f>SUM(E5:E6)</f>
        <v>115856</v>
      </c>
      <c r="F7" s="112">
        <f t="shared" si="0"/>
        <v>0.16885919959485363</v>
      </c>
      <c r="G7" s="14">
        <f t="shared" si="1"/>
        <v>0.19516799570855303</v>
      </c>
      <c r="H7" s="121">
        <f>SUM(H5:H6)</f>
        <v>130626.65711512038</v>
      </c>
      <c r="I7" s="8">
        <f>SUM(I5:I6)</f>
        <v>152816.47386922268</v>
      </c>
      <c r="J7" s="164">
        <f>SUM(J5:J6)</f>
        <v>181111.89865505695</v>
      </c>
      <c r="K7" s="24"/>
      <c r="L7" s="24"/>
    </row>
    <row r="8" spans="2:14" ht="20" customHeight="1">
      <c r="B8" s="50" t="s">
        <v>14</v>
      </c>
      <c r="C8" s="31">
        <v>-39974</v>
      </c>
      <c r="D8" s="31">
        <v>-43978</v>
      </c>
      <c r="E8" s="31">
        <v>-45940</v>
      </c>
      <c r="F8" s="111">
        <f t="shared" si="0"/>
        <v>0.10016510731975781</v>
      </c>
      <c r="G8" s="13">
        <f t="shared" si="1"/>
        <v>4.4613215698758424E-2</v>
      </c>
      <c r="H8" s="167">
        <f>-H5*C36</f>
        <v>-57926.175019368049</v>
      </c>
      <c r="I8" s="7">
        <f>-I5*D36</f>
        <v>-64925.931530362948</v>
      </c>
      <c r="J8" s="163">
        <f>-J5*E36</f>
        <v>-71815.70763890793</v>
      </c>
      <c r="K8" s="24"/>
      <c r="L8" s="24"/>
      <c r="M8" s="7"/>
    </row>
    <row r="9" spans="2:14" ht="20" customHeight="1">
      <c r="B9" s="50" t="s">
        <v>29</v>
      </c>
      <c r="C9" s="25">
        <v>3415</v>
      </c>
      <c r="D9" s="7">
        <v>2668</v>
      </c>
      <c r="E9" s="7">
        <v>3517</v>
      </c>
      <c r="F9" s="111">
        <f t="shared" si="0"/>
        <v>-0.21874084919472914</v>
      </c>
      <c r="G9" s="13">
        <f t="shared" si="1"/>
        <v>0.31821589205397305</v>
      </c>
      <c r="H9" s="120">
        <f>((E9/D9-1)+1)*E9</f>
        <v>4636.1652923538231</v>
      </c>
      <c r="I9" s="7">
        <f>((H9/E9-1)+1)*H9</f>
        <v>6111.4667665698635</v>
      </c>
      <c r="J9" s="163">
        <f>((I9/H9-1)+1)*I9</f>
        <v>8056.2326154521024</v>
      </c>
      <c r="K9" s="24"/>
      <c r="L9" s="24"/>
      <c r="M9" s="7"/>
    </row>
    <row r="10" spans="2:14" ht="20" customHeight="1">
      <c r="B10" s="50" t="s">
        <v>34</v>
      </c>
      <c r="C10" s="7">
        <v>11682</v>
      </c>
      <c r="D10" s="7">
        <v>12796</v>
      </c>
      <c r="E10" s="7">
        <v>11686</v>
      </c>
      <c r="F10" s="111">
        <f t="shared" si="0"/>
        <v>9.5360383495976642E-2</v>
      </c>
      <c r="G10" s="13">
        <f t="shared" si="1"/>
        <v>-8.6745858080650162E-2</v>
      </c>
      <c r="H10" s="120">
        <f>-H46</f>
        <v>20144.191161499206</v>
      </c>
      <c r="I10" s="24">
        <f>-I46</f>
        <v>25523.254322925128</v>
      </c>
      <c r="J10" s="163">
        <f>-J46</f>
        <v>32338.677984638129</v>
      </c>
      <c r="K10" s="24"/>
      <c r="L10" s="24"/>
    </row>
    <row r="11" spans="2:14" ht="20" customHeight="1">
      <c r="B11" s="51" t="s">
        <v>15</v>
      </c>
      <c r="C11" s="8">
        <f>SUM(C7:C10)</f>
        <v>58056</v>
      </c>
      <c r="D11" s="8">
        <f>SUM(D7:D10)</f>
        <v>68423</v>
      </c>
      <c r="E11" s="8">
        <f>SUM(E7:E10)</f>
        <v>85119</v>
      </c>
      <c r="F11" s="111">
        <f t="shared" si="0"/>
        <v>0.17856896789306886</v>
      </c>
      <c r="G11" s="13">
        <f t="shared" si="1"/>
        <v>0.24401151659529696</v>
      </c>
      <c r="H11" s="121">
        <f>SUM(H7:H10)</f>
        <v>97480.838549605367</v>
      </c>
      <c r="I11" s="8">
        <f>SUM(I7:I10)</f>
        <v>119525.26342835472</v>
      </c>
      <c r="J11" s="164">
        <f>SUM(J7:J10)</f>
        <v>149691.10161623926</v>
      </c>
      <c r="K11" s="24"/>
      <c r="L11" s="24"/>
    </row>
    <row r="12" spans="2:14" ht="20" customHeight="1">
      <c r="B12" s="52" t="s">
        <v>24</v>
      </c>
      <c r="C12" s="27">
        <f>C11-(SUM(C10:C10))</f>
        <v>46374</v>
      </c>
      <c r="D12" s="27">
        <f>D11-(SUM(D10:D10))</f>
        <v>55627</v>
      </c>
      <c r="E12" s="27">
        <f>E11-(SUM(E10:E10))</f>
        <v>73433</v>
      </c>
      <c r="F12" s="113">
        <f t="shared" si="0"/>
        <v>0.1995299090007332</v>
      </c>
      <c r="G12" s="18">
        <f t="shared" si="1"/>
        <v>0.32009635608607323</v>
      </c>
      <c r="H12" s="122">
        <f>H11-(SUM(H10:H10))</f>
        <v>77336.647388106154</v>
      </c>
      <c r="I12" s="27">
        <f>I11-(SUM(I10:I10))</f>
        <v>94002.009105429592</v>
      </c>
      <c r="J12" s="165">
        <f>J11-(SUM(J10:J10))</f>
        <v>117352.42363160114</v>
      </c>
      <c r="K12" s="256"/>
      <c r="L12" s="256"/>
    </row>
    <row r="13" spans="2:14" ht="20" customHeight="1">
      <c r="B13" s="50" t="s">
        <v>17</v>
      </c>
      <c r="C13" s="20">
        <f>-2686</f>
        <v>-2686</v>
      </c>
      <c r="D13" s="20">
        <v>-2591</v>
      </c>
      <c r="E13" s="20">
        <v>-2331</v>
      </c>
      <c r="F13" s="111">
        <f t="shared" si="0"/>
        <v>-3.5368577810871216E-2</v>
      </c>
      <c r="G13" s="13">
        <f t="shared" si="1"/>
        <v>-0.10034735623311464</v>
      </c>
      <c r="H13" s="168">
        <f>'Liability and Equity Sched.'!C16</f>
        <v>-2355.0106826472124</v>
      </c>
      <c r="I13" s="31">
        <f>'Liability and Equity Sched.'!D16</f>
        <v>-2159.3154935850544</v>
      </c>
      <c r="J13" s="166">
        <f>'Liability and Equity Sched.'!E16</f>
        <v>-1955.6943206068224</v>
      </c>
      <c r="K13" s="139"/>
      <c r="L13" s="139"/>
    </row>
    <row r="14" spans="2:14" ht="20" customHeight="1">
      <c r="B14" s="51" t="s">
        <v>18</v>
      </c>
      <c r="C14" s="8">
        <f>SUM(C12:C13)</f>
        <v>43688</v>
      </c>
      <c r="D14" s="8">
        <f>SUM(D12:D13)</f>
        <v>53036</v>
      </c>
      <c r="E14" s="8">
        <f>SUM(E12:E13)</f>
        <v>71102</v>
      </c>
      <c r="F14" s="112">
        <f t="shared" si="0"/>
        <v>0.21397180003662331</v>
      </c>
      <c r="G14" s="14">
        <f t="shared" si="1"/>
        <v>0.34063654875933325</v>
      </c>
      <c r="H14" s="121">
        <f>SUM(H12:H13)</f>
        <v>74981.636705458935</v>
      </c>
      <c r="I14" s="8">
        <f>SUM(I12:I13)</f>
        <v>91842.69361184453</v>
      </c>
      <c r="J14" s="164">
        <f>SUM(J12:J13)</f>
        <v>115396.72931099431</v>
      </c>
      <c r="K14" s="24"/>
      <c r="L14" s="24"/>
    </row>
    <row r="15" spans="2:14" ht="20" customHeight="1">
      <c r="B15" s="50" t="s">
        <v>19</v>
      </c>
      <c r="C15" s="7">
        <v>-4448</v>
      </c>
      <c r="D15" s="7">
        <v>-8755</v>
      </c>
      <c r="E15" s="7">
        <v>-9831</v>
      </c>
      <c r="F15" s="111">
        <f t="shared" si="0"/>
        <v>0.96830035971223016</v>
      </c>
      <c r="G15" s="13">
        <f t="shared" si="1"/>
        <v>0.12290119931467736</v>
      </c>
      <c r="H15" s="120">
        <f>-H14*$G$20</f>
        <v>-10126.408988429661</v>
      </c>
      <c r="I15" s="24">
        <f>-I14*$G$20</f>
        <v>-12403.525969510663</v>
      </c>
      <c r="J15" s="163">
        <f>-J14*$G$20</f>
        <v>-15584.542139571118</v>
      </c>
      <c r="K15" s="24"/>
      <c r="L15" s="24"/>
    </row>
    <row r="16" spans="2:14" ht="16">
      <c r="B16" s="184" t="s">
        <v>20</v>
      </c>
      <c r="C16" s="182">
        <f>SUM(C14:C15)</f>
        <v>39240</v>
      </c>
      <c r="D16" s="28">
        <f>SUM(D14:D15)</f>
        <v>44281</v>
      </c>
      <c r="E16" s="28">
        <f>SUM(E14:E15)</f>
        <v>61271</v>
      </c>
      <c r="F16" s="113">
        <f t="shared" si="0"/>
        <v>0.12846585117227316</v>
      </c>
      <c r="G16" s="18">
        <f t="shared" si="1"/>
        <v>0.38368600528443353</v>
      </c>
      <c r="H16" s="182">
        <f>SUM(H14:H15)</f>
        <v>64855.227717029273</v>
      </c>
      <c r="I16" s="28">
        <f>SUM(I14:I15)</f>
        <v>79439.167642333865</v>
      </c>
      <c r="J16" s="183">
        <f>SUM(J14:J15)</f>
        <v>99812.187171423197</v>
      </c>
      <c r="K16" s="24"/>
      <c r="L16" s="24"/>
      <c r="N16" s="67"/>
    </row>
    <row r="17" spans="2:12" ht="5" customHeight="1">
      <c r="B17" s="59"/>
      <c r="C17" s="24"/>
      <c r="D17" s="24"/>
      <c r="E17" s="24"/>
      <c r="F17" s="111"/>
      <c r="G17" s="19"/>
      <c r="H17" s="24"/>
      <c r="I17" s="24"/>
      <c r="J17" s="24"/>
      <c r="K17" s="24"/>
    </row>
    <row r="18" spans="2:12" s="76" customFormat="1" ht="20" hidden="1" customHeight="1" outlineLevel="1">
      <c r="B18" s="74" t="s">
        <v>51</v>
      </c>
      <c r="C18" s="75"/>
      <c r="D18" s="75"/>
      <c r="E18" s="75"/>
      <c r="F18" s="114"/>
      <c r="G18" s="94"/>
      <c r="H18" s="75"/>
      <c r="I18" s="75"/>
      <c r="J18" s="75"/>
      <c r="K18" s="75"/>
    </row>
    <row r="19" spans="2:12" s="76" customFormat="1" ht="20" hidden="1" customHeight="1" outlineLevel="1">
      <c r="B19" s="77" t="s">
        <v>52</v>
      </c>
      <c r="C19" s="78">
        <f>(C5/(110360))-1</f>
        <v>0.14029539688292858</v>
      </c>
      <c r="D19" s="78">
        <f>D5/C5-1</f>
        <v>0.13645574247276371</v>
      </c>
      <c r="E19" s="78">
        <f>E5/D5-1</f>
        <v>0.17531727441177503</v>
      </c>
      <c r="F19" s="115"/>
      <c r="G19" s="95"/>
      <c r="H19" s="80"/>
      <c r="I19" s="80"/>
      <c r="J19" s="80"/>
      <c r="K19" s="80"/>
    </row>
    <row r="20" spans="2:12" s="76" customFormat="1" ht="20" hidden="1" customHeight="1" outlineLevel="1">
      <c r="B20" s="81" t="s">
        <v>58</v>
      </c>
      <c r="C20" s="82">
        <f>STDEV(C19:E19)</f>
        <v>2.1414533679574577E-2</v>
      </c>
      <c r="D20" s="82"/>
      <c r="E20" s="82"/>
      <c r="F20" s="175" t="s">
        <v>84</v>
      </c>
      <c r="G20" s="176">
        <f>AVERAGE(H21:J21)</f>
        <v>0.13505185313849546</v>
      </c>
      <c r="H20" s="83"/>
      <c r="I20" s="83"/>
      <c r="J20" s="83"/>
      <c r="K20" s="83"/>
    </row>
    <row r="21" spans="2:12" s="76" customFormat="1" ht="20" hidden="1" customHeight="1" outlineLevel="1">
      <c r="B21" s="81" t="s">
        <v>54</v>
      </c>
      <c r="C21" s="82">
        <f>C22+$C$20</f>
        <v>0.17210400493539701</v>
      </c>
      <c r="D21" s="82">
        <f>D22+$C$20</f>
        <v>0.17730104212184394</v>
      </c>
      <c r="E21" s="82">
        <f>E22+$C$20</f>
        <v>0.1967318080913496</v>
      </c>
      <c r="F21" s="175" t="s">
        <v>85</v>
      </c>
      <c r="G21" s="79"/>
      <c r="H21" s="79">
        <f>-E15/E14</f>
        <v>0.13826615285083402</v>
      </c>
      <c r="I21" s="79">
        <f>-D15/D14</f>
        <v>0.16507655177615205</v>
      </c>
      <c r="J21" s="82">
        <f>-C15/C14</f>
        <v>0.10181285478850027</v>
      </c>
      <c r="K21" s="82">
        <f>-D15/D14</f>
        <v>0.16507655177615205</v>
      </c>
    </row>
    <row r="22" spans="2:12" s="76" customFormat="1" ht="20" hidden="1" customHeight="1" outlineLevel="1">
      <c r="B22" s="81" t="s">
        <v>53</v>
      </c>
      <c r="C22" s="82">
        <f>AVERAGE(C19:E19)</f>
        <v>0.15068947125582244</v>
      </c>
      <c r="D22" s="82">
        <f>AVERAGE(D19,E19)</f>
        <v>0.15588650844226937</v>
      </c>
      <c r="E22" s="82">
        <f>AVERAGE(E19:E19)</f>
        <v>0.17531727441177503</v>
      </c>
      <c r="F22" s="174"/>
      <c r="G22" s="85"/>
      <c r="H22" s="85"/>
      <c r="I22" s="85"/>
      <c r="J22" s="83"/>
      <c r="K22" s="83"/>
    </row>
    <row r="23" spans="2:12" s="76" customFormat="1" ht="20" hidden="1" customHeight="1" outlineLevel="1">
      <c r="B23" s="81" t="s">
        <v>55</v>
      </c>
      <c r="C23" s="82">
        <f>C22-$C$20</f>
        <v>0.12927493757624786</v>
      </c>
      <c r="D23" s="82">
        <f>D22-$C$20</f>
        <v>0.13447197476269479</v>
      </c>
      <c r="E23" s="82">
        <f>E22-$C$20</f>
        <v>0.15390274073220045</v>
      </c>
      <c r="F23" s="116"/>
      <c r="G23" s="79"/>
      <c r="H23" s="225">
        <v>2019</v>
      </c>
      <c r="I23" s="224">
        <v>2020</v>
      </c>
      <c r="J23" s="224">
        <v>2021</v>
      </c>
      <c r="K23" s="224">
        <v>2022</v>
      </c>
      <c r="L23" s="235"/>
    </row>
    <row r="24" spans="2:12" s="76" customFormat="1" ht="20" hidden="1" customHeight="1" outlineLevel="1">
      <c r="B24" s="81" t="s">
        <v>59</v>
      </c>
      <c r="C24" s="84">
        <f>VLOOKUP($C$2,$B$21:$E$23, COLUMNS($B$21:C23),FALSE)</f>
        <v>0.15068947125582244</v>
      </c>
      <c r="D24" s="84">
        <f>VLOOKUP($C$2,$B$21:$E$23, COLUMNS($B$21:D23),FALSE)</f>
        <v>0.15588650844226937</v>
      </c>
      <c r="E24" s="84">
        <f>VLOOKUP($C$2,$B$21:$E$23, COLUMNS($B$21:E23),FALSE)</f>
        <v>0.17531727441177503</v>
      </c>
      <c r="F24" s="116"/>
      <c r="G24" s="79"/>
      <c r="H24" s="226">
        <f>C42/C5</f>
        <v>0.79948030482426513</v>
      </c>
      <c r="I24" s="226">
        <f>D42/D5</f>
        <v>0.69767506904870114</v>
      </c>
      <c r="J24" s="226">
        <f>E42/E5</f>
        <v>0.53303626671743376</v>
      </c>
      <c r="K24" s="226">
        <f>F42/F5</f>
        <v>-6.0530237033961785E-2</v>
      </c>
    </row>
    <row r="25" spans="2:12" s="76" customFormat="1" ht="20" hidden="1" customHeight="1" outlineLevel="1">
      <c r="B25" s="86" t="s">
        <v>56</v>
      </c>
      <c r="C25" s="87">
        <f>-C6/C5</f>
        <v>0.34098042799361111</v>
      </c>
      <c r="D25" s="87">
        <f>-D6/D5</f>
        <v>0.32218998007202043</v>
      </c>
      <c r="E25" s="87">
        <f>-E6/E5</f>
        <v>0.31074199228975297</v>
      </c>
      <c r="F25" s="116"/>
      <c r="G25" s="223" t="s">
        <v>115</v>
      </c>
      <c r="H25" s="227"/>
      <c r="I25" s="227"/>
      <c r="J25" s="227"/>
      <c r="K25" s="227"/>
    </row>
    <row r="26" spans="2:12" s="76" customFormat="1" ht="20" hidden="1" customHeight="1" outlineLevel="1">
      <c r="B26" s="88" t="s">
        <v>58</v>
      </c>
      <c r="C26" s="89">
        <f>STDEV(C25:E25)</f>
        <v>1.5267068869374368E-2</v>
      </c>
      <c r="D26" s="90"/>
      <c r="E26" s="90"/>
      <c r="F26" s="116"/>
      <c r="G26" s="79" t="s">
        <v>116</v>
      </c>
      <c r="H26" s="226">
        <f>AVERAGE(H24:J24)</f>
        <v>0.67673054686346656</v>
      </c>
      <c r="I26" s="85"/>
      <c r="J26" s="85"/>
      <c r="K26" s="85"/>
    </row>
    <row r="27" spans="2:12" s="76" customFormat="1" ht="20" hidden="1" customHeight="1" outlineLevel="1">
      <c r="B27" s="81" t="s">
        <v>54</v>
      </c>
      <c r="C27" s="89">
        <f>C28-$C$26</f>
        <v>0.30937039791575383</v>
      </c>
      <c r="D27" s="89">
        <f>D28-$C$26</f>
        <v>0.30119891731151238</v>
      </c>
      <c r="E27" s="89">
        <f>E28-$C$26</f>
        <v>0.29547492342037862</v>
      </c>
      <c r="F27" s="116"/>
      <c r="G27" s="79"/>
      <c r="H27" s="85"/>
      <c r="I27" s="85"/>
      <c r="J27" s="85"/>
      <c r="K27" s="85"/>
    </row>
    <row r="28" spans="2:12" s="76" customFormat="1" ht="20" hidden="1" customHeight="1" outlineLevel="1">
      <c r="B28" s="81" t="s">
        <v>53</v>
      </c>
      <c r="C28" s="89">
        <f>AVERAGE(C25:E25)</f>
        <v>0.32463746678512817</v>
      </c>
      <c r="D28" s="89">
        <f>AVERAGE(D25:E25)</f>
        <v>0.31646598618088673</v>
      </c>
      <c r="E28" s="89">
        <f>AVERAGE(E25:E25)</f>
        <v>0.31074199228975297</v>
      </c>
      <c r="F28" s="116"/>
      <c r="G28" s="79"/>
      <c r="H28" s="85"/>
      <c r="I28" s="85"/>
      <c r="J28" s="85"/>
      <c r="K28" s="85"/>
    </row>
    <row r="29" spans="2:12" s="76" customFormat="1" ht="20" hidden="1" customHeight="1" outlineLevel="1">
      <c r="B29" s="81" t="s">
        <v>55</v>
      </c>
      <c r="C29" s="89">
        <f>C28+$C$26</f>
        <v>0.33990453565450252</v>
      </c>
      <c r="D29" s="89">
        <f>D28+$C$26</f>
        <v>0.33173305505026107</v>
      </c>
      <c r="E29" s="89">
        <f>E28+$C$26</f>
        <v>0.32600906115912731</v>
      </c>
      <c r="F29" s="116"/>
      <c r="G29" s="79"/>
      <c r="H29" s="85"/>
      <c r="I29" s="85"/>
      <c r="J29" s="85"/>
      <c r="K29" s="85"/>
    </row>
    <row r="30" spans="2:12" s="76" customFormat="1" ht="20" hidden="1" customHeight="1" outlineLevel="1">
      <c r="B30" s="81" t="s">
        <v>59</v>
      </c>
      <c r="C30" s="91">
        <f>VLOOKUP($C$2,$B$27:$E$29, COLUMNS($B$27:C29),FALSE)</f>
        <v>0.32463746678512817</v>
      </c>
      <c r="D30" s="91">
        <f>VLOOKUP($C$2,$B$27:$E$29, COLUMNS($B$27:D29),FALSE)</f>
        <v>0.31646598618088673</v>
      </c>
      <c r="E30" s="91">
        <f>VLOOKUP($C$2,$B$27:$E$29, COLUMNS($B$27:E29),FALSE)</f>
        <v>0.31074199228975297</v>
      </c>
      <c r="F30" s="116"/>
      <c r="G30" s="79"/>
      <c r="H30" s="85"/>
      <c r="I30" s="85"/>
      <c r="J30" s="85"/>
      <c r="K30" s="85"/>
    </row>
    <row r="31" spans="2:12" s="76" customFormat="1" ht="16" hidden="1" outlineLevel="1">
      <c r="B31" s="77" t="s">
        <v>57</v>
      </c>
      <c r="C31" s="87">
        <f>-C8/C5</f>
        <v>0.31764976995144745</v>
      </c>
      <c r="D31" s="87">
        <f>-D8/D5</f>
        <v>0.30750620564276476</v>
      </c>
      <c r="E31" s="87">
        <f>-E8/E5</f>
        <v>0.27330921898053401</v>
      </c>
      <c r="F31" s="116"/>
      <c r="G31" s="79"/>
      <c r="H31" s="85"/>
      <c r="I31" s="85"/>
      <c r="J31" s="85"/>
      <c r="K31" s="85"/>
    </row>
    <row r="32" spans="2:12" s="76" customFormat="1" ht="16" hidden="1" outlineLevel="1">
      <c r="B32" s="92" t="s">
        <v>58</v>
      </c>
      <c r="C32" s="89">
        <f>STDEV(C31:E31)</f>
        <v>2.3232198396712776E-2</v>
      </c>
      <c r="D32" s="89"/>
      <c r="E32" s="89"/>
      <c r="F32" s="116"/>
      <c r="G32" s="79"/>
      <c r="H32" s="85"/>
      <c r="I32" s="85"/>
      <c r="J32" s="85"/>
      <c r="K32" s="85"/>
    </row>
    <row r="33" spans="2:13" s="76" customFormat="1" ht="16" hidden="1" outlineLevel="1">
      <c r="B33" s="93" t="s">
        <v>54</v>
      </c>
      <c r="C33" s="89">
        <f>C34-$C$32</f>
        <v>0.27625619979486932</v>
      </c>
      <c r="D33" s="89">
        <f>D34-$C$32</f>
        <v>0.26717551391493666</v>
      </c>
      <c r="E33" s="89">
        <f>E34-$C$32</f>
        <v>0.25007702058382125</v>
      </c>
      <c r="F33" s="116"/>
      <c r="G33" s="79"/>
      <c r="H33" s="85"/>
      <c r="I33" s="85"/>
      <c r="J33" s="85"/>
      <c r="K33" s="85"/>
    </row>
    <row r="34" spans="2:13" s="76" customFormat="1" ht="16" hidden="1" outlineLevel="1">
      <c r="B34" s="93" t="s">
        <v>53</v>
      </c>
      <c r="C34" s="89">
        <f>AVERAGE(C31:E31)</f>
        <v>0.29948839819158207</v>
      </c>
      <c r="D34" s="89">
        <f>AVERAGE(D31:E31)</f>
        <v>0.29040771231164941</v>
      </c>
      <c r="E34" s="89">
        <f>-E8/E5</f>
        <v>0.27330921898053401</v>
      </c>
      <c r="F34" s="116"/>
      <c r="G34" s="79"/>
      <c r="H34" s="85"/>
      <c r="I34" s="85"/>
      <c r="J34" s="85"/>
      <c r="K34" s="85"/>
    </row>
    <row r="35" spans="2:13" ht="20" hidden="1" customHeight="1" outlineLevel="1">
      <c r="B35" s="72" t="s">
        <v>55</v>
      </c>
      <c r="C35" s="71">
        <f>C34+$C$32</f>
        <v>0.32272059658829483</v>
      </c>
      <c r="D35" s="71">
        <f>D34+$C$32</f>
        <v>0.31363991070836217</v>
      </c>
      <c r="E35" s="71">
        <f>E34+$C$32</f>
        <v>0.29654141737724676</v>
      </c>
      <c r="F35" s="118"/>
      <c r="G35" s="68"/>
      <c r="H35" s="69"/>
      <c r="I35" s="69"/>
      <c r="J35" s="69"/>
      <c r="K35" s="69"/>
    </row>
    <row r="36" spans="2:13" ht="20" hidden="1" customHeight="1" outlineLevel="1">
      <c r="B36" s="70" t="s">
        <v>59</v>
      </c>
      <c r="C36" s="73">
        <f>VLOOKUP($C$2,$B$33:$E$35, COLUMNS($B$33:C35),FALSE)</f>
        <v>0.29948839819158207</v>
      </c>
      <c r="D36" s="73">
        <f>VLOOKUP($C$2,$B$33:$E$35, COLUMNS($B$33:D35),FALSE)</f>
        <v>0.29040771231164941</v>
      </c>
      <c r="E36" s="73">
        <f>VLOOKUP($C$2,$B$33:$E$35, COLUMNS($B$33:E35),FALSE)</f>
        <v>0.27330921898053401</v>
      </c>
      <c r="F36" s="118"/>
      <c r="G36" s="68"/>
      <c r="H36" s="69"/>
      <c r="I36" s="69"/>
      <c r="J36" s="69"/>
      <c r="K36" s="69"/>
    </row>
    <row r="37" spans="2:13" ht="20" customHeight="1" collapsed="1">
      <c r="B37" s="61" t="s">
        <v>27</v>
      </c>
      <c r="C37" s="62"/>
      <c r="D37" s="62"/>
      <c r="E37" s="62"/>
      <c r="F37" s="117"/>
      <c r="G37" s="32"/>
      <c r="H37" s="63"/>
      <c r="I37" s="63"/>
      <c r="J37" s="63"/>
      <c r="K37" s="215"/>
    </row>
    <row r="38" spans="2:13" ht="20" customHeight="1">
      <c r="B38" s="53" t="s">
        <v>35</v>
      </c>
      <c r="C38" s="31">
        <v>175552</v>
      </c>
      <c r="D38" s="25">
        <v>181915</v>
      </c>
      <c r="E38" s="25">
        <v>184406</v>
      </c>
      <c r="F38" s="111">
        <f t="shared" ref="F38:G42" si="2">D38/C38-1</f>
        <v>3.6245670798396024E-2</v>
      </c>
      <c r="G38" s="159">
        <f t="shared" si="2"/>
        <v>1.3693208366544862E-2</v>
      </c>
    </row>
    <row r="39" spans="2:13" ht="20" customHeight="1">
      <c r="B39" s="53" t="s">
        <v>36</v>
      </c>
      <c r="C39" s="31">
        <v>-11356</v>
      </c>
      <c r="D39" s="25">
        <v>-13576</v>
      </c>
      <c r="E39" s="25">
        <v>-14224</v>
      </c>
      <c r="F39" s="111">
        <f t="shared" si="2"/>
        <v>0.19549137020077501</v>
      </c>
      <c r="G39" s="159">
        <f t="shared" si="2"/>
        <v>4.7731290512669444E-2</v>
      </c>
    </row>
    <row r="40" spans="2:13" ht="16">
      <c r="B40" s="53" t="s">
        <v>37</v>
      </c>
      <c r="C40" s="31">
        <v>-69420</v>
      </c>
      <c r="D40" s="25">
        <v>-72310</v>
      </c>
      <c r="E40" s="25">
        <v>-88657</v>
      </c>
      <c r="F40" s="111">
        <f t="shared" si="2"/>
        <v>4.1630653990204491E-2</v>
      </c>
      <c r="G40" s="159">
        <f t="shared" si="2"/>
        <v>0.2260683169686073</v>
      </c>
      <c r="K40" s="9"/>
      <c r="L40" s="9"/>
      <c r="M40" s="9"/>
    </row>
    <row r="41" spans="2:13" ht="16">
      <c r="B41" s="53" t="s">
        <v>38</v>
      </c>
      <c r="C41" s="31">
        <v>5833</v>
      </c>
      <c r="D41" s="25">
        <v>3749</v>
      </c>
      <c r="E41" s="25">
        <v>8072</v>
      </c>
      <c r="F41" s="111">
        <f t="shared" si="2"/>
        <v>-0.357277558717641</v>
      </c>
      <c r="G41" s="159">
        <f t="shared" si="2"/>
        <v>1.1531074953320886</v>
      </c>
    </row>
    <row r="42" spans="2:13" ht="16">
      <c r="B42" s="54" t="s">
        <v>39</v>
      </c>
      <c r="C42" s="29">
        <f>SUM(C38:C41)</f>
        <v>100609</v>
      </c>
      <c r="D42" s="29">
        <f>SUM(D38:D41)</f>
        <v>99778</v>
      </c>
      <c r="E42" s="29">
        <f>SUM(E38:E41)</f>
        <v>89597</v>
      </c>
      <c r="F42" s="113">
        <f t="shared" si="2"/>
        <v>-8.2596984365216342E-3</v>
      </c>
      <c r="G42" s="18">
        <f t="shared" si="2"/>
        <v>-0.10203652107679051</v>
      </c>
      <c r="H42" s="29">
        <f>$H$26*H5</f>
        <v>130891.25433663509</v>
      </c>
      <c r="I42" s="29">
        <f>$H$26*I5</f>
        <v>151295.43496080217</v>
      </c>
      <c r="J42" s="29">
        <f>$H$26*J5</f>
        <v>177820.13824907399</v>
      </c>
    </row>
    <row r="43" spans="2:13">
      <c r="B43" s="1"/>
      <c r="C43" s="2"/>
      <c r="D43" s="2"/>
      <c r="E43" s="2"/>
      <c r="F43" s="19"/>
      <c r="G43" s="19"/>
    </row>
    <row r="44" spans="2:13" ht="20" customHeight="1" thickBot="1">
      <c r="B44" s="43" t="s">
        <v>50</v>
      </c>
      <c r="C44" s="6" t="s">
        <v>2</v>
      </c>
      <c r="D44" s="6" t="s">
        <v>1</v>
      </c>
      <c r="E44" s="6" t="s">
        <v>0</v>
      </c>
      <c r="F44" s="6" t="s">
        <v>25</v>
      </c>
      <c r="G44" s="6" t="s">
        <v>26</v>
      </c>
      <c r="H44" s="6" t="s">
        <v>31</v>
      </c>
      <c r="I44" s="6" t="s">
        <v>32</v>
      </c>
      <c r="J44" s="6" t="s">
        <v>33</v>
      </c>
    </row>
    <row r="45" spans="2:13" ht="20" customHeight="1">
      <c r="B45" s="47" t="s">
        <v>47</v>
      </c>
      <c r="C45" s="45">
        <v>29460</v>
      </c>
      <c r="D45" s="98">
        <v>36477</v>
      </c>
      <c r="E45" s="44">
        <v>44151</v>
      </c>
      <c r="F45" s="110">
        <f t="shared" ref="F45:G48" si="3">D45/C45-1</f>
        <v>0.23818737270875756</v>
      </c>
      <c r="G45" s="181">
        <f t="shared" si="3"/>
        <v>0.21037914302162997</v>
      </c>
      <c r="H45" s="158">
        <v>59715</v>
      </c>
      <c r="I45" s="31">
        <f>H48</f>
        <v>75660.577268868772</v>
      </c>
      <c r="J45" s="178">
        <f>I48</f>
        <v>95864.070211143975</v>
      </c>
    </row>
    <row r="46" spans="2:13" ht="20" customHeight="1">
      <c r="B46" s="47" t="s">
        <v>16</v>
      </c>
      <c r="C46" s="97">
        <v>-11682</v>
      </c>
      <c r="D46" s="97">
        <v>-12796</v>
      </c>
      <c r="E46" s="97">
        <v>-11686</v>
      </c>
      <c r="F46" s="111">
        <f t="shared" si="3"/>
        <v>9.5360383495976642E-2</v>
      </c>
      <c r="G46" s="159">
        <f t="shared" si="3"/>
        <v>-8.6745858080650162E-2</v>
      </c>
      <c r="H46" s="103">
        <f>-$H$49*H45</f>
        <v>-20144.191161499206</v>
      </c>
      <c r="I46" s="98">
        <f>-$H$49*I45</f>
        <v>-25523.254322925128</v>
      </c>
      <c r="J46" s="179">
        <f>-$H$49*J45</f>
        <v>-32338.677984638129</v>
      </c>
    </row>
    <row r="47" spans="2:13" ht="20" customHeight="1">
      <c r="B47" s="47" t="s">
        <v>48</v>
      </c>
      <c r="C47" s="98">
        <f>C48-C46-C45</f>
        <v>18699</v>
      </c>
      <c r="D47" s="98">
        <f>D48-D46-D45</f>
        <v>20470</v>
      </c>
      <c r="E47" s="98">
        <f>E48-E46-E45</f>
        <v>27250</v>
      </c>
      <c r="F47" s="111">
        <f t="shared" si="3"/>
        <v>9.4710947109471144E-2</v>
      </c>
      <c r="G47" s="159">
        <f t="shared" si="3"/>
        <v>0.33121641426477777</v>
      </c>
      <c r="H47" s="103">
        <f>$H$50*H45</f>
        <v>36089.768430367985</v>
      </c>
      <c r="I47" s="98">
        <f>$H$50*I45</f>
        <v>45726.747265200334</v>
      </c>
      <c r="J47" s="179">
        <f>$H$50*J45</f>
        <v>57937.069324503456</v>
      </c>
    </row>
    <row r="48" spans="2:13" ht="20" customHeight="1">
      <c r="B48" s="48" t="s">
        <v>49</v>
      </c>
      <c r="C48" s="102">
        <f>D45</f>
        <v>36477</v>
      </c>
      <c r="D48" s="102">
        <f>E45</f>
        <v>44151</v>
      </c>
      <c r="E48" s="27">
        <v>59715</v>
      </c>
      <c r="F48" s="113">
        <f t="shared" si="3"/>
        <v>0.21037914302162997</v>
      </c>
      <c r="G48" s="160">
        <f t="shared" si="3"/>
        <v>0.35251749677244004</v>
      </c>
      <c r="H48" s="146">
        <f>SUM(H45:H47)</f>
        <v>75660.577268868772</v>
      </c>
      <c r="I48" s="146">
        <f>SUM(I45:I47)</f>
        <v>95864.070211143975</v>
      </c>
      <c r="J48" s="180">
        <f>SUM(J45:J47)</f>
        <v>121462.4615510093</v>
      </c>
    </row>
    <row r="49" spans="2:14" ht="20" hidden="1" customHeight="1" outlineLevel="1">
      <c r="B49" s="148" t="s">
        <v>70</v>
      </c>
      <c r="C49" s="149">
        <f>-C46/C45</f>
        <v>0.39653767820773933</v>
      </c>
      <c r="D49" s="149">
        <f>-D46/D45</f>
        <v>0.35079639224716946</v>
      </c>
      <c r="E49" s="149">
        <f>-E46/E45</f>
        <v>0.26468256664628209</v>
      </c>
      <c r="F49" s="150"/>
      <c r="G49" s="150"/>
      <c r="H49" s="149">
        <f>AVERAGE(C49:E49)</f>
        <v>0.33733887903373033</v>
      </c>
      <c r="I49" s="69"/>
      <c r="J49" s="69"/>
    </row>
    <row r="50" spans="2:14" ht="20" hidden="1" customHeight="1" outlineLevel="1">
      <c r="B50" s="148" t="s">
        <v>71</v>
      </c>
      <c r="C50" s="149">
        <f>C47/C45</f>
        <v>0.63472505091649689</v>
      </c>
      <c r="D50" s="149">
        <f>D47/D45</f>
        <v>0.56117553526879949</v>
      </c>
      <c r="E50" s="149">
        <f>E47/E45</f>
        <v>0.61720006341872213</v>
      </c>
      <c r="F50" s="150"/>
      <c r="G50" s="150"/>
      <c r="H50" s="149">
        <f>AVERAGE(C50:E50)</f>
        <v>0.60436688320133947</v>
      </c>
      <c r="I50" s="69"/>
      <c r="J50" s="69"/>
    </row>
    <row r="51" spans="2:14" ht="20" customHeight="1" collapsed="1">
      <c r="C51" s="57"/>
    </row>
    <row r="52" spans="2:14" ht="20" customHeight="1"/>
    <row r="53" spans="2:14" ht="20" customHeight="1"/>
    <row r="54" spans="2:14" ht="20" customHeight="1"/>
    <row r="55" spans="2:14" ht="20" customHeight="1"/>
    <row r="56" spans="2:14" ht="20" customHeight="1"/>
    <row r="57" spans="2:14">
      <c r="C57" s="44"/>
      <c r="D57" s="44"/>
      <c r="E57" s="44"/>
    </row>
    <row r="58" spans="2:14">
      <c r="C58" s="58"/>
      <c r="D58" s="58"/>
      <c r="E58" s="9"/>
    </row>
    <row r="59" spans="2:14">
      <c r="D59" s="9"/>
      <c r="E59" s="9"/>
    </row>
    <row r="62" spans="2:14">
      <c r="C62" s="4"/>
    </row>
    <row r="63" spans="2:14">
      <c r="M63" s="156"/>
      <c r="N63" s="156"/>
    </row>
    <row r="64" spans="2:14">
      <c r="M64" s="157"/>
      <c r="N64" s="157"/>
    </row>
    <row r="65" spans="13:14">
      <c r="M65" s="157"/>
      <c r="N65" s="157"/>
    </row>
    <row r="66" spans="13:14">
      <c r="M66" s="157"/>
      <c r="N66" s="157"/>
    </row>
    <row r="67" spans="13:14">
      <c r="M67" s="157"/>
      <c r="N67" s="157"/>
    </row>
  </sheetData>
  <conditionalFormatting sqref="F24:G24 F26:G33 F25">
    <cfRule type="iconSet" priority="28">
      <iconSet>
        <cfvo type="percent" val="0"/>
        <cfvo type="num" val="0"/>
        <cfvo type="num" val="0.1"/>
      </iconSet>
    </cfRule>
  </conditionalFormatting>
  <conditionalFormatting sqref="F34:G43 F5:G19 F21:G21 F20 F23:G23">
    <cfRule type="iconSet" priority="30">
      <iconSet>
        <cfvo type="percent" val="0"/>
        <cfvo type="num" val="0"/>
        <cfvo type="num" val="0.1"/>
      </iconSet>
    </cfRule>
  </conditionalFormatting>
  <conditionalFormatting sqref="F45:G48">
    <cfRule type="iconSet" priority="1">
      <iconSet>
        <cfvo type="percent" val="0"/>
        <cfvo type="num" val="0"/>
        <cfvo type="num" val="0.1"/>
      </iconSet>
    </cfRule>
  </conditionalFormatting>
  <dataValidations count="1">
    <dataValidation type="list" allowBlank="1" showInputMessage="1" showErrorMessage="1" sqref="C2" xr:uid="{126B439A-AD92-7B48-A0DE-CC67265B3171}">
      <formula1>$B$21:$B$23</formula1>
    </dataValidation>
  </dataValidations>
  <pageMargins left="0.7" right="0.7" top="0.75" bottom="0.75" header="0.3" footer="0.3"/>
  <ignoredErrors>
    <ignoredError sqref="D22 D28 H15:J15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F3371-D019-EF4A-BB9B-FD3D86E48D04}">
  <dimension ref="B4:L33"/>
  <sheetViews>
    <sheetView showGridLines="0" zoomScale="120" zoomScaleNormal="120" workbookViewId="0">
      <selection activeCell="C24" sqref="C24"/>
    </sheetView>
  </sheetViews>
  <sheetFormatPr baseColWidth="10" defaultRowHeight="15" outlineLevelRow="1" outlineLevelCol="1"/>
  <cols>
    <col min="1" max="1" width="2.83203125" customWidth="1"/>
    <col min="2" max="2" width="30.83203125" customWidth="1"/>
    <col min="3" max="5" width="15.83203125" customWidth="1"/>
    <col min="6" max="7" width="15.83203125" hidden="1" customWidth="1" outlineLevel="1"/>
    <col min="8" max="8" width="10.83203125" collapsed="1"/>
  </cols>
  <sheetData>
    <row r="4" spans="2:12" ht="21">
      <c r="B4" s="3" t="s">
        <v>40</v>
      </c>
      <c r="H4" s="21"/>
      <c r="I4" s="127" t="s">
        <v>30</v>
      </c>
      <c r="J4" s="21"/>
    </row>
    <row r="6" spans="2:12" ht="33" thickBot="1">
      <c r="B6" s="10" t="s">
        <v>21</v>
      </c>
      <c r="C6" s="6" t="s">
        <v>2</v>
      </c>
      <c r="D6" s="6" t="s">
        <v>1</v>
      </c>
      <c r="E6" s="6" t="s">
        <v>0</v>
      </c>
      <c r="F6" s="6" t="s">
        <v>25</v>
      </c>
      <c r="G6" s="6" t="s">
        <v>26</v>
      </c>
      <c r="H6" s="6" t="s">
        <v>31</v>
      </c>
      <c r="I6" s="6" t="s">
        <v>32</v>
      </c>
      <c r="J6" s="6" t="s">
        <v>33</v>
      </c>
    </row>
    <row r="7" spans="2:12" ht="20" customHeight="1">
      <c r="B7" s="33" t="s">
        <v>28</v>
      </c>
      <c r="C7" s="21"/>
      <c r="D7" s="21"/>
      <c r="E7" s="21"/>
      <c r="F7" s="21"/>
      <c r="G7" s="21"/>
      <c r="H7" s="21"/>
      <c r="I7" s="21"/>
      <c r="J7" s="128"/>
      <c r="K7" s="41"/>
      <c r="L7" s="41"/>
    </row>
    <row r="8" spans="2:12" ht="20" customHeight="1">
      <c r="B8" s="55" t="s">
        <v>46</v>
      </c>
      <c r="C8" s="98">
        <v>29524</v>
      </c>
      <c r="D8" s="44">
        <v>32011</v>
      </c>
      <c r="E8" s="44">
        <v>38043</v>
      </c>
      <c r="F8" s="107">
        <f t="shared" ref="F8:G13" si="0">D8/C8-1</f>
        <v>8.4236553312559304E-2</v>
      </c>
      <c r="G8" s="64">
        <f t="shared" si="0"/>
        <v>0.18843522539127178</v>
      </c>
      <c r="H8" s="142">
        <f>$H$24*'P&amp;L Model'!H5/360</f>
        <v>44761.743452109833</v>
      </c>
      <c r="I8" s="31">
        <f>$H$24*'P&amp;L Model'!I5/360</f>
        <v>51739.495350647841</v>
      </c>
      <c r="J8" s="166">
        <f>$H$24*'P&amp;L Model'!J5/360</f>
        <v>60810.322654964126</v>
      </c>
    </row>
    <row r="9" spans="2:12" ht="20" customHeight="1">
      <c r="B9" s="55" t="s">
        <v>4</v>
      </c>
      <c r="C9" s="98">
        <v>2063</v>
      </c>
      <c r="D9" s="44">
        <v>1895</v>
      </c>
      <c r="E9" s="44">
        <v>2636</v>
      </c>
      <c r="F9" s="107">
        <f t="shared" si="0"/>
        <v>-8.1434803683955392E-2</v>
      </c>
      <c r="G9" s="64">
        <f t="shared" si="0"/>
        <v>0.39102902374670179</v>
      </c>
      <c r="H9" s="142">
        <f>-$H$26*'P&amp;L Model'!H6/360</f>
        <v>2963.9241393088259</v>
      </c>
      <c r="I9" s="31">
        <f>-$H$26*'P&amp;L Model'!I6/360</f>
        <v>3339.7247610226959</v>
      </c>
      <c r="J9" s="166">
        <f>-$H$26*'P&amp;L Model'!J6/360</f>
        <v>3854.2395433249808</v>
      </c>
    </row>
    <row r="10" spans="2:12" ht="20" customHeight="1">
      <c r="B10" s="55" t="s">
        <v>41</v>
      </c>
      <c r="C10" s="98">
        <v>133819</v>
      </c>
      <c r="D10" s="44">
        <v>136527</v>
      </c>
      <c r="E10" s="44">
        <v>130334</v>
      </c>
      <c r="F10" s="107">
        <f t="shared" si="0"/>
        <v>2.0236289316165834E-2</v>
      </c>
      <c r="G10" s="64">
        <f t="shared" si="0"/>
        <v>-4.5360990866275541E-2</v>
      </c>
      <c r="H10" s="204">
        <f>E10+'Cash Flow Model'!C21</f>
        <v>143939.42945434648</v>
      </c>
      <c r="I10" s="206">
        <f>H10+'Cash Flow Model'!D21</f>
        <v>166022.3290117064</v>
      </c>
      <c r="J10" s="205">
        <f>I10+'Cash Flow Model'!E21</f>
        <v>194399.35914642358</v>
      </c>
      <c r="K10" s="9"/>
      <c r="L10" s="9"/>
    </row>
    <row r="11" spans="2:12" ht="20" customHeight="1">
      <c r="B11" s="55" t="s">
        <v>47</v>
      </c>
      <c r="C11" s="56">
        <v>36477</v>
      </c>
      <c r="D11" s="25">
        <v>44151</v>
      </c>
      <c r="E11" s="25">
        <v>59715</v>
      </c>
      <c r="F11" s="107">
        <f t="shared" si="0"/>
        <v>0.21037914302162997</v>
      </c>
      <c r="G11" s="64">
        <f t="shared" si="0"/>
        <v>0.35251749677244004</v>
      </c>
      <c r="H11" s="142">
        <f>'P&amp;L Model'!H48</f>
        <v>75660.577268868772</v>
      </c>
      <c r="I11" s="197">
        <f>'P&amp;L Model'!I48</f>
        <v>95864.070211143975</v>
      </c>
      <c r="J11" s="166">
        <f>'P&amp;L Model'!J48</f>
        <v>121462.4615510093</v>
      </c>
    </row>
    <row r="12" spans="2:12" ht="20" customHeight="1">
      <c r="B12" s="55" t="s">
        <v>64</v>
      </c>
      <c r="C12" s="98">
        <f>84673</f>
        <v>84673</v>
      </c>
      <c r="D12" s="44">
        <f>86727</f>
        <v>86727</v>
      </c>
      <c r="E12" s="44">
        <f>103051</f>
        <v>103051</v>
      </c>
      <c r="F12" s="107">
        <f t="shared" si="0"/>
        <v>2.4258027942791749E-2</v>
      </c>
      <c r="G12" s="64">
        <f t="shared" si="0"/>
        <v>0.18822281411786412</v>
      </c>
      <c r="H12" s="142">
        <f>$H$27*'P&amp;L Model'!H5</f>
        <v>122003.82049201663</v>
      </c>
      <c r="I12" s="139">
        <f>$H$27*'P&amp;L Model'!I5</f>
        <v>141022.5700851345</v>
      </c>
      <c r="J12" s="166">
        <f>$H$27*'P&amp;L Model'!J5</f>
        <v>165746.26270300377</v>
      </c>
      <c r="K12" s="9"/>
    </row>
    <row r="13" spans="2:12" ht="20" customHeight="1">
      <c r="B13" s="200" t="s">
        <v>42</v>
      </c>
      <c r="C13" s="141">
        <f>SUM(C8:C12)</f>
        <v>286556</v>
      </c>
      <c r="D13" s="140">
        <f>SUM(D8:D12)</f>
        <v>301311</v>
      </c>
      <c r="E13" s="140">
        <f>SUM(E8:E12)</f>
        <v>333779</v>
      </c>
      <c r="F13" s="109">
        <f t="shared" si="0"/>
        <v>5.1490808079398098E-2</v>
      </c>
      <c r="G13" s="144">
        <f t="shared" si="0"/>
        <v>0.10775577393457247</v>
      </c>
      <c r="H13" s="141">
        <f>SUM(H8:H12)</f>
        <v>389329.49480665056</v>
      </c>
      <c r="I13" s="140">
        <f>SUM(I8:I12)</f>
        <v>457988.18941965548</v>
      </c>
      <c r="J13" s="171">
        <f>SUM(J8:J12)</f>
        <v>546272.64559872577</v>
      </c>
    </row>
    <row r="14" spans="2:12" ht="20" customHeight="1">
      <c r="B14" s="35" t="s">
        <v>43</v>
      </c>
      <c r="C14" s="101"/>
      <c r="D14" s="101"/>
      <c r="E14" s="101"/>
      <c r="F14" s="108"/>
      <c r="G14" s="104"/>
      <c r="H14" s="143"/>
      <c r="I14" s="101"/>
      <c r="J14" s="172"/>
    </row>
    <row r="15" spans="2:12" ht="20" customHeight="1">
      <c r="B15" s="55" t="s">
        <v>44</v>
      </c>
      <c r="C15" s="98">
        <v>9382</v>
      </c>
      <c r="D15" s="44">
        <v>12530</v>
      </c>
      <c r="E15" s="44">
        <v>15163</v>
      </c>
      <c r="F15" s="107">
        <f t="shared" ref="F15:F19" si="1">D15/C15-1</f>
        <v>0.33553613302067786</v>
      </c>
      <c r="G15" s="64">
        <f t="shared" ref="G15:G19" si="2">E15/D15-1</f>
        <v>0.21013567438148439</v>
      </c>
      <c r="H15" s="142">
        <f>-$H$25*'P&amp;L Model'!H6/360</f>
        <v>16570.821171378659</v>
      </c>
      <c r="I15" s="31">
        <f>-$H$25*'P&amp;L Model'!I6/360</f>
        <v>18671.86175333014</v>
      </c>
      <c r="J15" s="166">
        <f>-$H$25*'P&amp;L Model'!J6/360</f>
        <v>21548.430803963874</v>
      </c>
    </row>
    <row r="16" spans="2:12" ht="20" customHeight="1">
      <c r="B16" s="55" t="s">
        <v>61</v>
      </c>
      <c r="C16" s="30">
        <v>35510</v>
      </c>
      <c r="D16" s="30">
        <v>31766</v>
      </c>
      <c r="E16" s="30">
        <v>29562</v>
      </c>
      <c r="F16" s="107">
        <f t="shared" si="1"/>
        <v>-0.10543508870740637</v>
      </c>
      <c r="G16" s="64">
        <f t="shared" si="2"/>
        <v>-6.9382358496505647E-2</v>
      </c>
      <c r="H16" s="142">
        <f>$E$16</f>
        <v>29562</v>
      </c>
      <c r="I16" s="31">
        <f>$E$16</f>
        <v>29562</v>
      </c>
      <c r="J16" s="166">
        <f>$E$16</f>
        <v>29562</v>
      </c>
    </row>
    <row r="17" spans="2:10" ht="20" customHeight="1">
      <c r="B17" s="55" t="s">
        <v>62</v>
      </c>
      <c r="C17" s="31">
        <v>72178</v>
      </c>
      <c r="D17" s="31">
        <v>63327</v>
      </c>
      <c r="E17" s="31">
        <v>58146</v>
      </c>
      <c r="F17" s="107">
        <f>D17/C17-1</f>
        <v>-0.12262739338856721</v>
      </c>
      <c r="G17" s="64">
        <f>E17/D17-1</f>
        <v>-8.1813444502344956E-2</v>
      </c>
      <c r="H17" s="142">
        <f>'Liability and Equity Sched.'!F8</f>
        <v>53314.220447128726</v>
      </c>
      <c r="I17" s="139">
        <f>'Liability and Equity Sched.'!G8</f>
        <v>48286.745705195288</v>
      </c>
      <c r="J17" s="166">
        <f>'Liability and Equity Sched.'!H8</f>
        <v>43055.64979028362</v>
      </c>
    </row>
    <row r="18" spans="2:10" ht="20" customHeight="1">
      <c r="B18" s="96" t="s">
        <v>45</v>
      </c>
      <c r="C18" s="31">
        <v>67156</v>
      </c>
      <c r="D18" s="31">
        <v>75384</v>
      </c>
      <c r="E18" s="31">
        <v>88920</v>
      </c>
      <c r="F18" s="107">
        <f>D18/C18-1</f>
        <v>0.12252069807612131</v>
      </c>
      <c r="G18" s="64">
        <f>E18/D18-1</f>
        <v>0.17956064947468953</v>
      </c>
      <c r="H18" s="142">
        <f>$H$28*'P&amp;L Model'!H5</f>
        <v>102495.79378622267</v>
      </c>
      <c r="I18" s="139">
        <f>$H$28*'P&amp;L Model'!I5</f>
        <v>118473.50520957577</v>
      </c>
      <c r="J18" s="166">
        <f>$H$28*'P&amp;L Model'!J5</f>
        <v>139243.95723292782</v>
      </c>
    </row>
    <row r="19" spans="2:10" ht="20" customHeight="1">
      <c r="B19" s="55" t="s">
        <v>63</v>
      </c>
      <c r="C19" s="98">
        <v>102330</v>
      </c>
      <c r="D19" s="44">
        <v>118304</v>
      </c>
      <c r="E19" s="44">
        <v>141988</v>
      </c>
      <c r="F19" s="107">
        <f t="shared" si="1"/>
        <v>0.1561028046516173</v>
      </c>
      <c r="G19" s="64">
        <f t="shared" si="2"/>
        <v>0.20019610494995943</v>
      </c>
      <c r="H19" s="177">
        <f>'Liability and Equity Sched.'!F32</f>
        <v>187386.65940192051</v>
      </c>
      <c r="I19" s="138">
        <f>'Liability and Equity Sched.'!G32</f>
        <v>242994.07675155424</v>
      </c>
      <c r="J19" s="198">
        <f>'Liability and Equity Sched.'!H32</f>
        <v>312862.60777155048</v>
      </c>
    </row>
    <row r="20" spans="2:10" ht="20" customHeight="1">
      <c r="B20" s="40" t="s">
        <v>43</v>
      </c>
      <c r="C20" s="100">
        <f>SUM(C15:C19)</f>
        <v>286556</v>
      </c>
      <c r="D20" s="102">
        <f>SUM(D15:D19)</f>
        <v>301311</v>
      </c>
      <c r="E20" s="102">
        <f>SUM(E15:E19)</f>
        <v>333779</v>
      </c>
      <c r="F20" s="109">
        <f>D20/C20-1</f>
        <v>5.1490808079398098E-2</v>
      </c>
      <c r="G20" s="65">
        <f>E20/D20-1</f>
        <v>0.10775577393457247</v>
      </c>
      <c r="H20" s="201">
        <f>SUM(H15:H19)</f>
        <v>389329.49480665056</v>
      </c>
      <c r="I20" s="202">
        <f>SUM(I15:I19)</f>
        <v>457988.18941965548</v>
      </c>
      <c r="J20" s="203">
        <f>SUM(J15:J19)</f>
        <v>546272.64559872577</v>
      </c>
    </row>
    <row r="21" spans="2:10" ht="20" hidden="1" customHeight="1" outlineLevel="1">
      <c r="B21" s="199" t="s">
        <v>60</v>
      </c>
      <c r="C21" s="123">
        <f>C20-C13</f>
        <v>0</v>
      </c>
      <c r="D21" s="123">
        <f>D20-D13</f>
        <v>0</v>
      </c>
      <c r="E21" s="123">
        <f>E20-E13</f>
        <v>0</v>
      </c>
      <c r="F21" s="23"/>
      <c r="G21" s="23"/>
      <c r="H21" s="123">
        <f>H20-H13</f>
        <v>0</v>
      </c>
      <c r="I21" s="123">
        <f>I20-I13</f>
        <v>0</v>
      </c>
      <c r="J21" s="123">
        <f>J20-J13</f>
        <v>0</v>
      </c>
    </row>
    <row r="22" spans="2:10" ht="20" customHeight="1" collapsed="1">
      <c r="B22" s="124"/>
      <c r="C22" s="125"/>
      <c r="D22" s="125"/>
      <c r="E22" s="125"/>
      <c r="F22" s="126"/>
      <c r="G22" s="126"/>
    </row>
    <row r="23" spans="2:10" ht="20" customHeight="1">
      <c r="B23" s="106"/>
      <c r="C23" s="36"/>
      <c r="D23" s="36"/>
      <c r="E23" s="36"/>
      <c r="F23" s="36"/>
      <c r="G23" s="36"/>
    </row>
    <row r="24" spans="2:10" ht="20" hidden="1" customHeight="1" outlineLevel="1">
      <c r="B24" s="129" t="s">
        <v>65</v>
      </c>
      <c r="C24" s="130">
        <f>(C8/'P&amp;L Model'!C5)*365</f>
        <v>85.632573921473579</v>
      </c>
      <c r="D24" s="130">
        <f>(D8/'P&amp;L Model'!D5)*365</f>
        <v>81.697828899066536</v>
      </c>
      <c r="E24" s="130">
        <f>(E8/'P&amp;L Model'!E5)*365</f>
        <v>82.609674694207797</v>
      </c>
      <c r="F24" s="130"/>
      <c r="G24" s="130"/>
      <c r="H24" s="134">
        <f>AVERAGE(C24:E24)</f>
        <v>83.313359171582633</v>
      </c>
    </row>
    <row r="25" spans="2:10" ht="20" hidden="1" customHeight="1" outlineLevel="1">
      <c r="B25" s="129" t="s">
        <v>66</v>
      </c>
      <c r="C25" s="130">
        <f>-C15/'P&amp;L Model'!C6*365</f>
        <v>79.804940573292939</v>
      </c>
      <c r="D25" s="130">
        <f>-D15/'P&amp;L Model'!D6*365</f>
        <v>99.254524935978125</v>
      </c>
      <c r="E25" s="130">
        <f>-E15/'P&amp;L Model'!E6*365</f>
        <v>105.95985219788636</v>
      </c>
      <c r="F25" s="130"/>
      <c r="G25" s="130"/>
      <c r="H25" s="134">
        <f>AVERAGE(C25:E25)</f>
        <v>95.006439235719142</v>
      </c>
    </row>
    <row r="26" spans="2:10" ht="20" hidden="1" customHeight="1" outlineLevel="1">
      <c r="B26" s="129" t="s">
        <v>67</v>
      </c>
      <c r="C26" s="131">
        <f>-C9/'P&amp;L Model'!C6*365</f>
        <v>17.548240503379166</v>
      </c>
      <c r="D26" s="131">
        <f>-D9/'P&amp;L Model'!D6*365</f>
        <v>15.010959677069318</v>
      </c>
      <c r="E26" s="131">
        <f>-E9/'P&amp;L Model'!E6*365</f>
        <v>18.420508500536069</v>
      </c>
      <c r="F26" s="130"/>
      <c r="G26" s="130"/>
      <c r="H26" s="134">
        <f>AVERAGE(C26:E26)</f>
        <v>16.993236226994853</v>
      </c>
    </row>
    <row r="27" spans="2:10" ht="20" hidden="1" customHeight="1" outlineLevel="1">
      <c r="B27" s="132" t="s">
        <v>68</v>
      </c>
      <c r="C27" s="133">
        <f>C12/'P&amp;L Model'!C5</f>
        <v>0.67284632438832515</v>
      </c>
      <c r="D27" s="133">
        <f>D12/'P&amp;L Model'!D5</f>
        <v>0.60641890710764601</v>
      </c>
      <c r="E27" s="133">
        <f>E12/'P&amp;L Model'!E5</f>
        <v>0.61307767359954313</v>
      </c>
      <c r="F27" s="135"/>
      <c r="G27" s="136"/>
      <c r="H27" s="137">
        <f>AVERAGE(C27:E27)</f>
        <v>0.63078096836517139</v>
      </c>
    </row>
    <row r="28" spans="2:10" ht="20" hidden="1" customHeight="1" outlineLevel="1">
      <c r="B28" s="129" t="s">
        <v>69</v>
      </c>
      <c r="C28" s="133">
        <f>C18/'P&amp;L Model'!C5</f>
        <v>0.53364907066741896</v>
      </c>
      <c r="D28" s="133">
        <f>D18/'P&amp;L Model'!D5</f>
        <v>0.52710554836905221</v>
      </c>
      <c r="E28" s="133">
        <f>E18/'P&amp;L Model'!E5</f>
        <v>0.52900861453524339</v>
      </c>
      <c r="F28" s="135"/>
      <c r="G28" s="136"/>
      <c r="H28" s="137">
        <f>AVERAGE(C28:E28)</f>
        <v>0.52992107785723819</v>
      </c>
    </row>
    <row r="29" spans="2:10" ht="20" customHeight="1" collapsed="1">
      <c r="F29" s="36"/>
      <c r="G29" s="36"/>
      <c r="I29" s="66"/>
    </row>
    <row r="30" spans="2:10" ht="20" customHeight="1">
      <c r="C30" s="42"/>
      <c r="D30" s="42"/>
      <c r="E30" s="42"/>
      <c r="F30" s="36"/>
      <c r="G30" s="36"/>
    </row>
    <row r="31" spans="2:10" ht="20" customHeight="1">
      <c r="F31" s="36"/>
      <c r="G31" s="36"/>
    </row>
    <row r="32" spans="2:10" ht="20" customHeight="1">
      <c r="F32" s="36"/>
      <c r="G32" s="36"/>
    </row>
    <row r="33" spans="6:7">
      <c r="F33" s="36"/>
      <c r="G33" s="36"/>
    </row>
  </sheetData>
  <conditionalFormatting sqref="F8:G20">
    <cfRule type="iconSet" priority="4">
      <iconSet>
        <cfvo type="percent" val="0"/>
        <cfvo type="num" val="0"/>
        <cfvo type="num" val="0.1"/>
      </iconSet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A8A2F-8B71-B14E-8461-BD4FAC4C2891}">
  <dimension ref="B4:H29"/>
  <sheetViews>
    <sheetView showGridLines="0" workbookViewId="0">
      <selection activeCell="C21" sqref="C21"/>
    </sheetView>
  </sheetViews>
  <sheetFormatPr baseColWidth="10" defaultRowHeight="15" outlineLevelCol="1"/>
  <cols>
    <col min="1" max="1" width="2.83203125" customWidth="1"/>
    <col min="2" max="2" width="30.83203125" customWidth="1"/>
    <col min="3" max="5" width="20.83203125" customWidth="1"/>
    <col min="6" max="7" width="20.83203125" hidden="1" customWidth="1" outlineLevel="1"/>
    <col min="8" max="8" width="20.83203125" customWidth="1" collapsed="1"/>
    <col min="9" max="11" width="15.83203125" customWidth="1"/>
  </cols>
  <sheetData>
    <row r="4" spans="2:8" ht="20" customHeight="1">
      <c r="B4" s="3" t="s">
        <v>93</v>
      </c>
      <c r="C4" s="21"/>
      <c r="D4" s="127" t="s">
        <v>30</v>
      </c>
      <c r="E4" s="21"/>
    </row>
    <row r="5" spans="2:8" ht="20" customHeight="1"/>
    <row r="6" spans="2:8" ht="25" customHeight="1" thickBot="1">
      <c r="B6" s="10" t="s">
        <v>21</v>
      </c>
      <c r="C6" s="6" t="s">
        <v>31</v>
      </c>
      <c r="D6" s="6" t="s">
        <v>32</v>
      </c>
      <c r="E6" s="6" t="s">
        <v>33</v>
      </c>
      <c r="F6" s="6" t="s">
        <v>113</v>
      </c>
      <c r="G6" s="6" t="s">
        <v>114</v>
      </c>
      <c r="H6" s="11"/>
    </row>
    <row r="7" spans="2:8" ht="20" customHeight="1">
      <c r="B7" s="207" t="s">
        <v>15</v>
      </c>
      <c r="C7" s="31">
        <f>'P&amp;L Model'!H11</f>
        <v>97480.838549605367</v>
      </c>
      <c r="D7" s="31">
        <f>'P&amp;L Model'!I11</f>
        <v>119525.26342835472</v>
      </c>
      <c r="E7" s="178">
        <f>'P&amp;L Model'!J11</f>
        <v>149691.10161623926</v>
      </c>
      <c r="F7" s="107">
        <f t="shared" ref="F7:F18" si="0">D7/C7-1</f>
        <v>0.22614110841415824</v>
      </c>
      <c r="G7" s="219">
        <f t="shared" ref="G7:G18" si="1">E7/D7-1</f>
        <v>0.25238043675985211</v>
      </c>
      <c r="H7" s="218"/>
    </row>
    <row r="8" spans="2:8" ht="20" customHeight="1">
      <c r="B8" s="208" t="s">
        <v>17</v>
      </c>
      <c r="C8" s="31">
        <f>'P&amp;L Model'!H13</f>
        <v>-2355.0106826472124</v>
      </c>
      <c r="D8" s="31">
        <f>'P&amp;L Model'!I13</f>
        <v>-2159.3154935850544</v>
      </c>
      <c r="E8" s="166">
        <f>'P&amp;L Model'!J13</f>
        <v>-1955.6943206068224</v>
      </c>
      <c r="F8" s="107">
        <f t="shared" si="0"/>
        <v>-8.3097367882077555E-2</v>
      </c>
      <c r="G8" s="220">
        <f t="shared" si="1"/>
        <v>-9.4298945005097501E-2</v>
      </c>
      <c r="H8" s="218"/>
    </row>
    <row r="9" spans="2:8" ht="20" customHeight="1">
      <c r="B9" s="208" t="s">
        <v>94</v>
      </c>
      <c r="C9" s="31">
        <f>'P&amp;L Model'!H15</f>
        <v>-10126.408988429661</v>
      </c>
      <c r="D9" s="31">
        <f>'P&amp;L Model'!I15</f>
        <v>-12403.525969510663</v>
      </c>
      <c r="E9" s="166">
        <f>'P&amp;L Model'!J15</f>
        <v>-15584.542139571118</v>
      </c>
      <c r="F9" s="107">
        <f t="shared" si="0"/>
        <v>0.22486914993091967</v>
      </c>
      <c r="G9" s="220">
        <f t="shared" si="1"/>
        <v>0.25646063690919574</v>
      </c>
      <c r="H9" s="218"/>
    </row>
    <row r="10" spans="2:8" ht="20" customHeight="1">
      <c r="B10" s="208" t="s">
        <v>95</v>
      </c>
      <c r="C10" s="31">
        <f>-('Balance Sheet Model'!H8-'Balance Sheet Model'!E8)</f>
        <v>-6718.743452109833</v>
      </c>
      <c r="D10" s="31">
        <f>-('Balance Sheet Model'!I8-'Balance Sheet Model'!H8)</f>
        <v>-6977.7518985380084</v>
      </c>
      <c r="E10" s="166">
        <f>-('Balance Sheet Model'!J8-'Balance Sheet Model'!I8)</f>
        <v>-9070.8273043162844</v>
      </c>
      <c r="F10" s="107">
        <f t="shared" si="0"/>
        <v>3.8550131921891051E-2</v>
      </c>
      <c r="G10" s="220">
        <f t="shared" si="1"/>
        <v>0.29996414836945129</v>
      </c>
      <c r="H10" s="218"/>
    </row>
    <row r="11" spans="2:8" ht="20" customHeight="1">
      <c r="B11" s="208" t="s">
        <v>96</v>
      </c>
      <c r="C11" s="31">
        <f>-('Balance Sheet Model'!H9-'Balance Sheet Model'!E9)</f>
        <v>-327.92413930882594</v>
      </c>
      <c r="D11" s="31">
        <f>-('Balance Sheet Model'!I9-'Balance Sheet Model'!H9)</f>
        <v>-375.80062171386999</v>
      </c>
      <c r="E11" s="166">
        <f>-('Balance Sheet Model'!J9-'Balance Sheet Model'!I9)</f>
        <v>-514.51478230228486</v>
      </c>
      <c r="F11" s="107">
        <f t="shared" si="0"/>
        <v>0.14599865232841513</v>
      </c>
      <c r="G11" s="220">
        <f t="shared" si="1"/>
        <v>0.36911636802461212</v>
      </c>
      <c r="H11" s="218"/>
    </row>
    <row r="12" spans="2:8" ht="20" customHeight="1">
      <c r="B12" s="208" t="s">
        <v>97</v>
      </c>
      <c r="C12" s="30">
        <f>('Balance Sheet Model'!H15-'Balance Sheet Model'!E15)</f>
        <v>1407.8211713786586</v>
      </c>
      <c r="D12" s="30">
        <f>('Balance Sheet Model'!I15-'Balance Sheet Model'!H15)</f>
        <v>2101.0405819514817</v>
      </c>
      <c r="E12" s="194">
        <f>('Balance Sheet Model'!J15-'Balance Sheet Model'!I15)</f>
        <v>2876.5690506337342</v>
      </c>
      <c r="F12" s="107">
        <f t="shared" si="0"/>
        <v>0.49240587133233937</v>
      </c>
      <c r="G12" s="220">
        <f t="shared" si="1"/>
        <v>0.36911636802461412</v>
      </c>
      <c r="H12" s="218"/>
    </row>
    <row r="13" spans="2:8" ht="20" customHeight="1">
      <c r="B13" s="208" t="s">
        <v>98</v>
      </c>
      <c r="C13" s="30">
        <f>-('Balance Sheet Model'!H12-'Balance Sheet Model'!E12)</f>
        <v>-18952.820492016632</v>
      </c>
      <c r="D13" s="30">
        <f>-('Balance Sheet Model'!I12-'Balance Sheet Model'!H12)</f>
        <v>-19018.749593117871</v>
      </c>
      <c r="E13" s="194">
        <f>-('Balance Sheet Model'!J12-'Balance Sheet Model'!I12)</f>
        <v>-24723.692617869267</v>
      </c>
      <c r="F13" s="107">
        <f t="shared" si="0"/>
        <v>3.4785904888936514E-3</v>
      </c>
      <c r="G13" s="220">
        <f t="shared" si="1"/>
        <v>0.2999641483694484</v>
      </c>
      <c r="H13" s="218"/>
    </row>
    <row r="14" spans="2:8" ht="20" customHeight="1">
      <c r="B14" s="208" t="s">
        <v>99</v>
      </c>
      <c r="C14" s="30">
        <f>('Balance Sheet Model'!H18-'Balance Sheet Model'!E18)</f>
        <v>13575.793786222668</v>
      </c>
      <c r="D14" s="30">
        <f>'Balance Sheet Model'!I18-'Balance Sheet Model'!H18</f>
        <v>15977.711423353103</v>
      </c>
      <c r="E14" s="194">
        <f>'Balance Sheet Model'!J18-'Balance Sheet Model'!I18</f>
        <v>20770.452023352045</v>
      </c>
      <c r="F14" s="107">
        <f t="shared" si="0"/>
        <v>0.17692649689243289</v>
      </c>
      <c r="G14" s="220">
        <f t="shared" si="1"/>
        <v>0.29996414836944973</v>
      </c>
      <c r="H14" s="218"/>
    </row>
    <row r="15" spans="2:8" ht="20" customHeight="1">
      <c r="B15" s="208" t="s">
        <v>48</v>
      </c>
      <c r="C15" s="30">
        <f>-'P&amp;L Model'!H47</f>
        <v>-36089.768430367985</v>
      </c>
      <c r="D15" s="30">
        <f>-'P&amp;L Model'!I47</f>
        <v>-45726.747265200334</v>
      </c>
      <c r="E15" s="194">
        <f>-'P&amp;L Model'!J47</f>
        <v>-57937.069324503456</v>
      </c>
      <c r="F15" s="107">
        <f t="shared" si="0"/>
        <v>0.26702800416760919</v>
      </c>
      <c r="G15" s="220">
        <f t="shared" si="1"/>
        <v>0.26702800416760919</v>
      </c>
      <c r="H15" s="218"/>
    </row>
    <row r="16" spans="2:8" ht="20" customHeight="1">
      <c r="B16" s="209" t="s">
        <v>100</v>
      </c>
      <c r="C16" s="195">
        <f>SUM(C7:C15)</f>
        <v>37893.777322326539</v>
      </c>
      <c r="D16" s="195">
        <f>SUM(D7:D15)</f>
        <v>50942.124591993517</v>
      </c>
      <c r="E16" s="196">
        <f>SUM(E7:E15)</f>
        <v>63551.782201055794</v>
      </c>
      <c r="F16" s="109">
        <f t="shared" si="0"/>
        <v>0.34434010520189173</v>
      </c>
      <c r="G16" s="221">
        <f t="shared" si="1"/>
        <v>0.24752908737230239</v>
      </c>
      <c r="H16" s="218"/>
    </row>
    <row r="17" spans="2:8" ht="20" customHeight="1">
      <c r="B17" s="210" t="s">
        <v>89</v>
      </c>
      <c r="C17" s="169">
        <f>'Liability and Equity Sched.'!F31</f>
        <v>-19456.56831510878</v>
      </c>
      <c r="D17" s="169">
        <f>'Liability and Equity Sched.'!G31</f>
        <v>-23831.750292700159</v>
      </c>
      <c r="E17" s="194">
        <f>'Liability and Equity Sched.'!H31</f>
        <v>-29943.656151426956</v>
      </c>
      <c r="F17" s="107">
        <f t="shared" si="0"/>
        <v>0.22486914993091967</v>
      </c>
      <c r="G17" s="220">
        <f t="shared" si="1"/>
        <v>0.25646063690919574</v>
      </c>
      <c r="H17" s="218"/>
    </row>
    <row r="18" spans="2:8" ht="20" customHeight="1">
      <c r="B18" s="208" t="s">
        <v>101</v>
      </c>
      <c r="C18" s="30">
        <f>'Liability and Equity Sched.'!F8-'Liability and Equity Sched.'!E8</f>
        <v>-4831.7795528712741</v>
      </c>
      <c r="D18" s="30">
        <f>'Balance Sheet Model'!I17-'Balance Sheet Model'!H17</f>
        <v>-5027.4747419334381</v>
      </c>
      <c r="E18" s="194">
        <f>'Balance Sheet Model'!J17-'Balance Sheet Model'!I17</f>
        <v>-5231.0959149116679</v>
      </c>
      <c r="F18" s="107">
        <f t="shared" si="0"/>
        <v>4.0501679954722425E-2</v>
      </c>
      <c r="G18" s="220">
        <f t="shared" si="1"/>
        <v>4.0501679954720649E-2</v>
      </c>
      <c r="H18" s="218"/>
    </row>
    <row r="19" spans="2:8" ht="20" customHeight="1">
      <c r="B19" s="208" t="s">
        <v>102</v>
      </c>
      <c r="C19" s="30">
        <f>('Balance Sheet Model'!H16-'Balance Sheet Model'!E16)</f>
        <v>0</v>
      </c>
      <c r="D19" s="30">
        <f>'Balance Sheet Model'!I16-'Balance Sheet Model'!H16</f>
        <v>0</v>
      </c>
      <c r="E19" s="194">
        <f>'Balance Sheet Model'!J16-'Balance Sheet Model'!I16</f>
        <v>0</v>
      </c>
      <c r="F19" s="107">
        <f>0%</f>
        <v>0</v>
      </c>
      <c r="G19" s="220">
        <f>0%</f>
        <v>0</v>
      </c>
      <c r="H19" s="218"/>
    </row>
    <row r="20" spans="2:8" ht="20" customHeight="1">
      <c r="B20" s="208" t="s">
        <v>103</v>
      </c>
      <c r="C20" s="30">
        <f>'Liability and Equity Sched.'!F32-'Liability and Equity Sched.'!E32-'Liability and Equity Sched.'!F31-'Liability and Equity Sched.'!F30</f>
        <v>0</v>
      </c>
      <c r="D20" s="30">
        <f>'Liability and Equity Sched.'!G32-'Liability and Equity Sched.'!F32-'Liability and Equity Sched.'!G31-'Liability and Equity Sched.'!G30</f>
        <v>0</v>
      </c>
      <c r="E20" s="194">
        <f>'Liability and Equity Sched.'!H32-'Liability and Equity Sched.'!G32-'Liability and Equity Sched.'!H31-'Liability and Equity Sched.'!H30</f>
        <v>0</v>
      </c>
      <c r="F20" s="107">
        <f>0%</f>
        <v>0</v>
      </c>
      <c r="G20" s="220">
        <f>0%</f>
        <v>0</v>
      </c>
      <c r="H20" s="215"/>
    </row>
    <row r="21" spans="2:8" ht="20" customHeight="1">
      <c r="B21" s="209" t="s">
        <v>104</v>
      </c>
      <c r="C21" s="195">
        <f>SUM(C16:C20)</f>
        <v>13605.429454346486</v>
      </c>
      <c r="D21" s="195">
        <f>SUM(D16:D20)</f>
        <v>22082.89955735992</v>
      </c>
      <c r="E21" s="196">
        <f>SUM(E16:E20)</f>
        <v>28377.03013471717</v>
      </c>
      <c r="F21" s="109">
        <f>D21/C21-1</f>
        <v>0.62309463523072872</v>
      </c>
      <c r="G21" s="221">
        <f>E21/D21-1</f>
        <v>0.28502283230552949</v>
      </c>
      <c r="H21" s="218"/>
    </row>
    <row r="22" spans="2:8" ht="20" customHeight="1">
      <c r="F22" s="66"/>
    </row>
    <row r="23" spans="2:8" ht="20" customHeight="1">
      <c r="C23" s="9"/>
    </row>
    <row r="24" spans="2:8" ht="20" customHeight="1"/>
    <row r="25" spans="2:8" ht="20" customHeight="1"/>
    <row r="26" spans="2:8" ht="20" customHeight="1"/>
    <row r="27" spans="2:8" ht="20" customHeight="1"/>
    <row r="28" spans="2:8" ht="20" customHeight="1"/>
    <row r="29" spans="2:8" ht="20" customHeight="1"/>
  </sheetData>
  <phoneticPr fontId="30" type="noConversion"/>
  <conditionalFormatting sqref="H21">
    <cfRule type="iconSet" priority="32">
      <iconSet>
        <cfvo type="percent" val="0"/>
        <cfvo type="num" val="0"/>
        <cfvo type="num" val="0.1"/>
      </iconSet>
    </cfRule>
  </conditionalFormatting>
  <conditionalFormatting sqref="F7:H7 H8:H19 F8:G21">
    <cfRule type="iconSet" priority="1">
      <iconSet>
        <cfvo type="percent" val="0"/>
        <cfvo type="num" val="0"/>
        <cfvo type="num" val="0.1"/>
      </iconSet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A23DF-DB8E-3E43-B3BA-062A0E8780FF}">
  <dimension ref="B2:L38"/>
  <sheetViews>
    <sheetView showGridLines="0" topLeftCell="A3" workbookViewId="0">
      <selection activeCell="J24" sqref="J24"/>
    </sheetView>
  </sheetViews>
  <sheetFormatPr baseColWidth="10" defaultRowHeight="15" outlineLevelRow="1"/>
  <cols>
    <col min="1" max="1" width="2.83203125" customWidth="1"/>
    <col min="2" max="2" width="20.83203125" customWidth="1"/>
    <col min="3" max="12" width="15.83203125" customWidth="1"/>
  </cols>
  <sheetData>
    <row r="2" spans="2:12" ht="20" customHeight="1">
      <c r="F2" s="21"/>
      <c r="G2" s="23" t="s">
        <v>30</v>
      </c>
      <c r="H2" s="21"/>
    </row>
    <row r="3" spans="2:12" ht="20" customHeight="1"/>
    <row r="4" spans="2:12" ht="20" customHeight="1" thickBot="1">
      <c r="B4" s="43" t="s">
        <v>62</v>
      </c>
      <c r="C4" s="6" t="s">
        <v>2</v>
      </c>
      <c r="D4" s="6" t="s">
        <v>1</v>
      </c>
      <c r="E4" s="6" t="s">
        <v>0</v>
      </c>
      <c r="F4" s="6" t="s">
        <v>31</v>
      </c>
      <c r="G4" s="6" t="s">
        <v>32</v>
      </c>
      <c r="H4" s="6" t="s">
        <v>33</v>
      </c>
    </row>
    <row r="5" spans="2:12" ht="20" customHeight="1">
      <c r="B5" s="5" t="s">
        <v>72</v>
      </c>
      <c r="C5" s="154"/>
      <c r="D5" s="152">
        <f>C8</f>
        <v>72178</v>
      </c>
      <c r="E5" s="152">
        <f>D8</f>
        <v>63243</v>
      </c>
      <c r="F5" s="153">
        <f>E8</f>
        <v>58146</v>
      </c>
      <c r="G5" s="31">
        <f>F8</f>
        <v>53314.220447128726</v>
      </c>
      <c r="H5" s="31">
        <f>G8</f>
        <v>48286.745705195288</v>
      </c>
    </row>
    <row r="6" spans="2:12" ht="20" customHeight="1">
      <c r="B6" s="5" t="s">
        <v>75</v>
      </c>
      <c r="C6" s="69"/>
      <c r="D6" s="7">
        <v>-3417</v>
      </c>
      <c r="E6" s="7">
        <f>-1754+204</f>
        <v>-1550</v>
      </c>
      <c r="F6" s="147"/>
      <c r="G6" s="98"/>
      <c r="H6" s="98"/>
    </row>
    <row r="7" spans="2:12" ht="20" customHeight="1">
      <c r="B7" s="5" t="s">
        <v>73</v>
      </c>
      <c r="C7" s="7">
        <v>-4000</v>
      </c>
      <c r="D7" s="7">
        <v>-5518</v>
      </c>
      <c r="E7" s="7">
        <f>-3750+203</f>
        <v>-3547</v>
      </c>
      <c r="F7" s="177">
        <v>-5083.1737100406845</v>
      </c>
      <c r="G7" s="31">
        <v>-5225.5025739218236</v>
      </c>
      <c r="H7" s="31">
        <v>-5371.8166459916347</v>
      </c>
    </row>
    <row r="8" spans="2:12" ht="20" customHeight="1">
      <c r="B8" s="26" t="s">
        <v>74</v>
      </c>
      <c r="C8" s="151">
        <f>'Balance Sheet Model'!C17</f>
        <v>72178</v>
      </c>
      <c r="D8" s="151">
        <f>SUM(D5:D7)</f>
        <v>63243</v>
      </c>
      <c r="E8" s="151">
        <f>SUM(E5:E7)</f>
        <v>58146</v>
      </c>
      <c r="F8" s="195">
        <f>C18</f>
        <v>53314.220447128726</v>
      </c>
      <c r="G8" s="195">
        <f>D18</f>
        <v>48286.745705195288</v>
      </c>
      <c r="H8" s="195">
        <f>E18</f>
        <v>43055.64979028362</v>
      </c>
    </row>
    <row r="9" spans="2:12" ht="20" customHeight="1">
      <c r="B9" s="145" t="s">
        <v>76</v>
      </c>
      <c r="C9" s="4">
        <v>10</v>
      </c>
      <c r="D9" s="152"/>
      <c r="E9" s="31"/>
      <c r="F9" s="158"/>
      <c r="G9" s="158"/>
      <c r="H9" s="158"/>
      <c r="I9" s="158"/>
      <c r="J9" s="158"/>
    </row>
    <row r="10" spans="2:12" ht="20" customHeight="1">
      <c r="B10" s="145" t="s">
        <v>77</v>
      </c>
      <c r="C10" s="12">
        <f>DCF!D17</f>
        <v>4.0501679954721086E-2</v>
      </c>
      <c r="D10" s="12"/>
      <c r="E10" s="152"/>
      <c r="F10" s="158"/>
      <c r="G10" s="158"/>
      <c r="H10" s="158"/>
      <c r="I10" s="158"/>
      <c r="J10" s="158"/>
    </row>
    <row r="11" spans="2:12" ht="20" customHeight="1">
      <c r="B11" s="145" t="s">
        <v>78</v>
      </c>
      <c r="C11" s="9">
        <f>PMT(C10,C9,'Liability and Equity Sched.'!E8)</f>
        <v>-7186.7902355184897</v>
      </c>
      <c r="D11" s="152"/>
      <c r="E11" s="152"/>
      <c r="F11" s="158"/>
      <c r="G11" s="158"/>
      <c r="H11" s="158"/>
      <c r="I11" s="158"/>
      <c r="J11" s="158"/>
    </row>
    <row r="12" spans="2:12" ht="20" customHeight="1">
      <c r="D12" s="152"/>
      <c r="E12" s="278"/>
      <c r="F12" s="158"/>
      <c r="G12" s="158"/>
      <c r="H12" s="158"/>
      <c r="I12" s="158"/>
      <c r="J12" s="158"/>
    </row>
    <row r="13" spans="2:12" ht="20" customHeight="1"/>
    <row r="14" spans="2:12" ht="20" customHeight="1">
      <c r="B14" s="155" t="s">
        <v>79</v>
      </c>
      <c r="C14" s="161">
        <v>1</v>
      </c>
      <c r="D14" s="161">
        <v>2</v>
      </c>
      <c r="E14" s="161">
        <v>3</v>
      </c>
      <c r="F14" s="161">
        <v>4</v>
      </c>
      <c r="G14" s="161">
        <v>5</v>
      </c>
      <c r="H14" s="161">
        <v>6</v>
      </c>
      <c r="I14" s="161">
        <v>7</v>
      </c>
      <c r="J14" s="161">
        <v>8</v>
      </c>
      <c r="K14" s="161">
        <v>9</v>
      </c>
      <c r="L14" s="161">
        <v>10</v>
      </c>
    </row>
    <row r="15" spans="2:12" ht="20" customHeight="1">
      <c r="B15" s="145" t="s">
        <v>80</v>
      </c>
      <c r="C15" s="31">
        <f>'Liability and Equity Sched.'!$C$11</f>
        <v>-7186.7902355184897</v>
      </c>
      <c r="D15" s="31">
        <f>'Liability and Equity Sched.'!$C$11</f>
        <v>-7186.7902355184897</v>
      </c>
      <c r="E15" s="31">
        <f>'Liability and Equity Sched.'!$C$11</f>
        <v>-7186.7902355184897</v>
      </c>
      <c r="F15" s="31">
        <f>'Liability and Equity Sched.'!$C$11</f>
        <v>-7186.7902355184897</v>
      </c>
      <c r="G15" s="31">
        <f>'Liability and Equity Sched.'!$C$11</f>
        <v>-7186.7902355184897</v>
      </c>
      <c r="H15" s="31">
        <f>'Liability and Equity Sched.'!$C$11</f>
        <v>-7186.7902355184897</v>
      </c>
      <c r="I15" s="31">
        <f>'Liability and Equity Sched.'!$C$11</f>
        <v>-7186.7902355184897</v>
      </c>
      <c r="J15" s="31">
        <f>'Liability and Equity Sched.'!$C$11</f>
        <v>-7186.7902355184897</v>
      </c>
      <c r="K15" s="31">
        <f>'Liability and Equity Sched.'!$C$11</f>
        <v>-7186.7902355184897</v>
      </c>
      <c r="L15" s="31">
        <f>'Liability and Equity Sched.'!$C$11</f>
        <v>-7186.7902355184897</v>
      </c>
    </row>
    <row r="16" spans="2:12" ht="20" customHeight="1">
      <c r="B16" s="145" t="s">
        <v>81</v>
      </c>
      <c r="C16" s="31">
        <f>-'Liability and Equity Sched.'!E8*'Liability and Equity Sched.'!C10</f>
        <v>-2355.0106826472124</v>
      </c>
      <c r="D16" s="31">
        <f>-'Liability and Equity Sched.'!$C$10*C18</f>
        <v>-2159.3154935850544</v>
      </c>
      <c r="E16" s="31">
        <f>-'Liability and Equity Sched.'!$C$10*D18</f>
        <v>-1955.6943206068224</v>
      </c>
      <c r="F16" s="31">
        <f>-'Liability and Equity Sched.'!$C$10*E18</f>
        <v>-1743.8261480486212</v>
      </c>
      <c r="G16" s="31">
        <f>-'Liability and Equity Sched.'!$C$10*F18</f>
        <v>-1523.3769585728762</v>
      </c>
      <c r="H16" s="31">
        <f>-'Liability and Equity Sched.'!$C$10*G18</f>
        <v>-1293.9992065787069</v>
      </c>
      <c r="I16" s="31">
        <f>-'Liability and Equity Sched.'!$C$10*H18</f>
        <v>-1055.331270284536</v>
      </c>
      <c r="J16" s="31">
        <f>-'Liability and Equity Sched.'!$C$10*I18</f>
        <v>-806.99688161912525</v>
      </c>
      <c r="K16" s="31">
        <f>-'Liability and Equity Sched.'!$C$10*J18</f>
        <v>-548.60453302223652</v>
      </c>
      <c r="L16" s="31">
        <f>-'Liability and Equity Sched.'!$C$10*K18</f>
        <v>-279.74686021972798</v>
      </c>
    </row>
    <row r="17" spans="2:12" ht="16">
      <c r="B17" s="145" t="s">
        <v>83</v>
      </c>
      <c r="C17" s="31">
        <f t="shared" ref="C17:L17" si="0">C15-C16</f>
        <v>-4831.7795528712777</v>
      </c>
      <c r="D17" s="31">
        <f t="shared" si="0"/>
        <v>-5027.4747419334353</v>
      </c>
      <c r="E17" s="31">
        <f t="shared" si="0"/>
        <v>-5231.095914911667</v>
      </c>
      <c r="F17" s="31">
        <f t="shared" si="0"/>
        <v>-5442.9640874698689</v>
      </c>
      <c r="G17" s="31">
        <f t="shared" si="0"/>
        <v>-5663.4132769456137</v>
      </c>
      <c r="H17" s="31">
        <f t="shared" si="0"/>
        <v>-5892.7910289397823</v>
      </c>
      <c r="I17" s="31">
        <f t="shared" si="0"/>
        <v>-6131.4589652339537</v>
      </c>
      <c r="J17" s="31">
        <f t="shared" si="0"/>
        <v>-6379.7933538993648</v>
      </c>
      <c r="K17" s="31">
        <f t="shared" si="0"/>
        <v>-6638.1857024962528</v>
      </c>
      <c r="L17" s="31">
        <f t="shared" si="0"/>
        <v>-6907.0433752987619</v>
      </c>
    </row>
    <row r="18" spans="2:12" ht="16">
      <c r="B18" s="185" t="s">
        <v>82</v>
      </c>
      <c r="C18" s="138">
        <f>'Liability and Equity Sched.'!E8+C17</f>
        <v>53314.220447128726</v>
      </c>
      <c r="D18" s="138">
        <f t="shared" ref="D18:L18" si="1">C18+D17</f>
        <v>48286.745705195288</v>
      </c>
      <c r="E18" s="138">
        <f t="shared" si="1"/>
        <v>43055.64979028362</v>
      </c>
      <c r="F18" s="138">
        <f t="shared" si="1"/>
        <v>37612.685702813753</v>
      </c>
      <c r="G18" s="138">
        <f t="shared" si="1"/>
        <v>31949.272425868141</v>
      </c>
      <c r="H18" s="138">
        <f t="shared" si="1"/>
        <v>26056.481396928357</v>
      </c>
      <c r="I18" s="138">
        <f t="shared" si="1"/>
        <v>19925.022431694404</v>
      </c>
      <c r="J18" s="138">
        <f t="shared" si="1"/>
        <v>13545.22907779504</v>
      </c>
      <c r="K18" s="138">
        <f t="shared" si="1"/>
        <v>6907.0433752987874</v>
      </c>
      <c r="L18" s="138">
        <f t="shared" si="1"/>
        <v>2.5465851649641991E-11</v>
      </c>
    </row>
    <row r="23" spans="2:12" ht="20" customHeight="1"/>
    <row r="24" spans="2:12" ht="20" customHeight="1"/>
    <row r="25" spans="2:12" ht="20" customHeight="1">
      <c r="F25" s="21"/>
      <c r="G25" s="23" t="s">
        <v>30</v>
      </c>
      <c r="H25" s="21"/>
    </row>
    <row r="26" spans="2:12" ht="20" customHeight="1"/>
    <row r="27" spans="2:12" ht="20" customHeight="1" thickBot="1">
      <c r="B27" s="43" t="s">
        <v>86</v>
      </c>
      <c r="C27" s="6" t="s">
        <v>2</v>
      </c>
      <c r="D27" s="6" t="s">
        <v>1</v>
      </c>
      <c r="E27" s="6" t="s">
        <v>0</v>
      </c>
      <c r="F27" s="6" t="s">
        <v>31</v>
      </c>
      <c r="G27" s="6" t="s">
        <v>32</v>
      </c>
      <c r="H27" s="6" t="s">
        <v>33</v>
      </c>
    </row>
    <row r="28" spans="2:12" ht="20" customHeight="1">
      <c r="B28" s="53" t="s">
        <v>87</v>
      </c>
      <c r="C28" s="154"/>
      <c r="D28" s="186"/>
      <c r="E28" s="186"/>
      <c r="F28" s="191">
        <f>E32</f>
        <v>141988</v>
      </c>
      <c r="G28" s="191">
        <f>F32</f>
        <v>187386.65940192051</v>
      </c>
      <c r="H28" s="192">
        <f>G32</f>
        <v>242994.07675155424</v>
      </c>
    </row>
    <row r="29" spans="2:12" ht="20" customHeight="1">
      <c r="B29" s="53" t="s">
        <v>88</v>
      </c>
      <c r="C29" s="69"/>
      <c r="D29" s="187"/>
      <c r="E29" s="187"/>
      <c r="F29" s="103"/>
      <c r="G29" s="103"/>
      <c r="H29" s="179"/>
    </row>
    <row r="30" spans="2:12" ht="20" customHeight="1">
      <c r="B30" s="53" t="s">
        <v>20</v>
      </c>
      <c r="C30" s="187"/>
      <c r="D30" s="187"/>
      <c r="E30" s="187"/>
      <c r="F30" s="139">
        <f>'P&amp;L Model'!H16</f>
        <v>64855.227717029273</v>
      </c>
      <c r="G30" s="139">
        <f>'P&amp;L Model'!I16</f>
        <v>79439.167642333865</v>
      </c>
      <c r="H30" s="166">
        <f>'P&amp;L Model'!J16</f>
        <v>99812.187171423197</v>
      </c>
    </row>
    <row r="31" spans="2:12" ht="20" customHeight="1">
      <c r="B31" s="189" t="s">
        <v>89</v>
      </c>
      <c r="C31" s="188"/>
      <c r="D31" s="188"/>
      <c r="E31" s="188"/>
      <c r="F31" s="139">
        <f>-C35*F30</f>
        <v>-19456.56831510878</v>
      </c>
      <c r="G31" s="139">
        <f>-D35*G30</f>
        <v>-23831.750292700159</v>
      </c>
      <c r="H31" s="166">
        <f>-E35*H30</f>
        <v>-29943.656151426956</v>
      </c>
    </row>
    <row r="32" spans="2:12" ht="20" customHeight="1">
      <c r="B32" s="190" t="s">
        <v>90</v>
      </c>
      <c r="C32" s="34"/>
      <c r="D32" s="34"/>
      <c r="E32" s="138">
        <f>'Balance Sheet Model'!E19</f>
        <v>141988</v>
      </c>
      <c r="F32" s="29">
        <f>SUM(F28:F31)</f>
        <v>187386.65940192051</v>
      </c>
      <c r="G32" s="29">
        <f>SUM(G28:G31)</f>
        <v>242994.07675155424</v>
      </c>
      <c r="H32" s="193">
        <f>SUM(H28:H31)</f>
        <v>312862.60777155048</v>
      </c>
    </row>
    <row r="34" spans="2:5" ht="20" customHeight="1"/>
    <row r="35" spans="2:5" ht="20" hidden="1" customHeight="1" outlineLevel="1">
      <c r="B35" s="148" t="s">
        <v>91</v>
      </c>
      <c r="C35" s="71">
        <v>0.3</v>
      </c>
      <c r="D35" s="71">
        <v>0.3</v>
      </c>
      <c r="E35" s="71">
        <v>0.3</v>
      </c>
    </row>
    <row r="36" spans="2:5" ht="20" customHeight="1" collapsed="1">
      <c r="B36" s="145"/>
      <c r="C36" s="36"/>
      <c r="D36" s="36"/>
      <c r="E36" s="36"/>
    </row>
    <row r="37" spans="2:5" ht="20" customHeight="1">
      <c r="C37" s="64"/>
      <c r="D37" s="64"/>
      <c r="E37" s="64"/>
    </row>
    <row r="38" spans="2:5" ht="20" customHeight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2A9C2-9398-AE49-8622-85BBC5EE6734}">
  <dimension ref="B1:H38"/>
  <sheetViews>
    <sheetView showGridLines="0" workbookViewId="0">
      <selection activeCell="C26" sqref="C26"/>
    </sheetView>
  </sheetViews>
  <sheetFormatPr baseColWidth="10" defaultRowHeight="15"/>
  <cols>
    <col min="1" max="1" width="2.83203125" customWidth="1"/>
    <col min="2" max="2" width="25.83203125" customWidth="1"/>
    <col min="3" max="12" width="15.83203125" customWidth="1"/>
  </cols>
  <sheetData>
    <row r="1" spans="2:8" ht="20" customHeight="1"/>
    <row r="2" spans="2:8" ht="20" customHeight="1">
      <c r="B2" s="265" t="s">
        <v>147</v>
      </c>
      <c r="C2" s="21"/>
      <c r="D2" s="37">
        <v>2022</v>
      </c>
      <c r="E2" s="37">
        <v>2023</v>
      </c>
      <c r="F2" s="37">
        <v>2024</v>
      </c>
      <c r="G2" s="264"/>
      <c r="H2" s="66"/>
    </row>
    <row r="3" spans="2:8" ht="20" customHeight="1">
      <c r="B3" s="266" t="s">
        <v>164</v>
      </c>
      <c r="C3" s="260" t="s">
        <v>154</v>
      </c>
      <c r="D3" s="15">
        <v>1</v>
      </c>
      <c r="E3" s="15">
        <v>2</v>
      </c>
      <c r="F3" s="259">
        <v>3</v>
      </c>
      <c r="G3" s="66"/>
      <c r="H3" s="66"/>
    </row>
    <row r="4" spans="2:8" ht="20" customHeight="1">
      <c r="B4" s="267" t="s">
        <v>148</v>
      </c>
      <c r="C4" s="261">
        <v>1.52E-2</v>
      </c>
      <c r="F4" s="170"/>
      <c r="G4" s="66"/>
      <c r="H4" s="66"/>
    </row>
    <row r="5" spans="2:8" ht="20" customHeight="1">
      <c r="B5" s="267" t="s">
        <v>149</v>
      </c>
      <c r="C5" s="262">
        <v>0.8</v>
      </c>
      <c r="F5" s="170"/>
      <c r="G5" s="66"/>
      <c r="H5" s="66"/>
    </row>
    <row r="6" spans="2:8" ht="20" customHeight="1" thickBot="1">
      <c r="B6" s="267" t="s">
        <v>150</v>
      </c>
      <c r="C6" s="261">
        <f>7.02%</f>
        <v>7.0199999999999999E-2</v>
      </c>
      <c r="F6" s="170"/>
      <c r="G6" s="66"/>
      <c r="H6" s="66"/>
    </row>
    <row r="7" spans="2:8" ht="20" customHeight="1" thickBot="1">
      <c r="B7" s="267" t="s">
        <v>151</v>
      </c>
      <c r="C7" s="279">
        <f>C4+(C5*(C6-C4))</f>
        <v>5.9200000000000003E-2</v>
      </c>
      <c r="F7" s="170"/>
      <c r="G7" s="66"/>
      <c r="H7" s="66"/>
    </row>
    <row r="8" spans="2:8" ht="20" customHeight="1">
      <c r="B8" s="268" t="s">
        <v>153</v>
      </c>
      <c r="C8" s="208"/>
      <c r="D8" s="258">
        <f>1/(1+$C$7)^D3</f>
        <v>0.94410876132930521</v>
      </c>
      <c r="E8" s="258">
        <f>1/(1+$C$7)^E3</f>
        <v>0.89134135321875496</v>
      </c>
      <c r="F8" s="263">
        <f>1/(1+$C$7)^F3</f>
        <v>0.8415231809089454</v>
      </c>
      <c r="G8" s="66"/>
      <c r="H8" s="66"/>
    </row>
    <row r="9" spans="2:8" ht="20" customHeight="1" thickBot="1">
      <c r="B9" s="270" t="s">
        <v>152</v>
      </c>
      <c r="C9" s="271"/>
      <c r="D9" s="272">
        <f>'Cash Flow Model'!C21*(DCF!D8)</f>
        <v>12845.005149496306</v>
      </c>
      <c r="E9" s="272">
        <f>'Cash Flow Model'!D21*(DCF!E8)</f>
        <v>19683.401574451036</v>
      </c>
      <c r="F9" s="273">
        <f>'Cash Flow Model'!E21*(DCF!F8)</f>
        <v>23879.928663716193</v>
      </c>
      <c r="G9" s="66"/>
      <c r="H9" s="66"/>
    </row>
    <row r="10" spans="2:8" ht="20" customHeight="1">
      <c r="B10" s="265" t="s">
        <v>158</v>
      </c>
      <c r="C10" s="37">
        <v>2020</v>
      </c>
      <c r="D10" s="37">
        <v>2021</v>
      </c>
      <c r="E10" s="37"/>
      <c r="F10" s="63"/>
      <c r="G10" s="66"/>
    </row>
    <row r="11" spans="2:8" ht="20" customHeight="1">
      <c r="B11" s="269" t="s">
        <v>161</v>
      </c>
      <c r="C11" s="287">
        <v>3749</v>
      </c>
      <c r="D11" s="44">
        <v>8072</v>
      </c>
      <c r="E11" s="215"/>
      <c r="F11" s="296"/>
      <c r="G11" s="66"/>
    </row>
    <row r="12" spans="2:8" ht="20" customHeight="1">
      <c r="B12" s="269" t="s">
        <v>162</v>
      </c>
      <c r="C12" s="287">
        <v>59578</v>
      </c>
      <c r="D12" s="44">
        <v>50074</v>
      </c>
      <c r="E12" s="215"/>
      <c r="F12" s="297"/>
    </row>
    <row r="13" spans="2:8" ht="20" customHeight="1">
      <c r="B13" s="269" t="s">
        <v>160</v>
      </c>
      <c r="C13" s="288">
        <f>SUM(C11:C12)</f>
        <v>63327</v>
      </c>
      <c r="D13" s="197">
        <f>SUM(D11:D12)</f>
        <v>58146</v>
      </c>
      <c r="E13" s="215"/>
      <c r="F13" s="296"/>
      <c r="H13" s="276"/>
    </row>
    <row r="14" spans="2:8" ht="20" customHeight="1">
      <c r="B14" s="269" t="s">
        <v>163</v>
      </c>
      <c r="C14" s="288">
        <f>'P&amp;L Model'!D13</f>
        <v>-2591</v>
      </c>
      <c r="D14" s="197">
        <f>'P&amp;L Model'!E13</f>
        <v>-2331</v>
      </c>
      <c r="E14" s="215"/>
      <c r="F14" s="296"/>
    </row>
    <row r="15" spans="2:8" ht="20" customHeight="1">
      <c r="B15" s="269" t="s">
        <v>165</v>
      </c>
      <c r="C15" s="289">
        <f>-C14/C13</f>
        <v>4.0914617777567233E-2</v>
      </c>
      <c r="D15" s="280">
        <f>-D14/D13</f>
        <v>4.0088742131874938E-2</v>
      </c>
      <c r="E15" s="277"/>
      <c r="F15" s="296"/>
    </row>
    <row r="16" spans="2:8" ht="20" customHeight="1" thickBot="1">
      <c r="B16" s="269" t="s">
        <v>159</v>
      </c>
      <c r="C16" s="289"/>
      <c r="D16" s="280">
        <f>'P&amp;L Model'!G20</f>
        <v>0.13505185313849546</v>
      </c>
      <c r="E16" s="215"/>
      <c r="F16" s="296"/>
    </row>
    <row r="17" spans="2:7" ht="20" customHeight="1" thickBot="1">
      <c r="B17" s="269" t="s">
        <v>158</v>
      </c>
      <c r="C17" s="286"/>
      <c r="D17" s="281">
        <f>AVERAGE(D15,C15)</f>
        <v>4.0501679954721086E-2</v>
      </c>
      <c r="E17" s="215"/>
      <c r="F17" s="296"/>
    </row>
    <row r="18" spans="2:7" ht="20" customHeight="1">
      <c r="B18" s="265" t="s">
        <v>156</v>
      </c>
      <c r="C18" s="291"/>
      <c r="D18" s="37"/>
      <c r="E18" s="37"/>
      <c r="F18" s="298"/>
    </row>
    <row r="19" spans="2:7" ht="20" customHeight="1">
      <c r="B19" s="269" t="s">
        <v>166</v>
      </c>
      <c r="C19" s="292">
        <v>7500</v>
      </c>
      <c r="F19" s="170"/>
    </row>
    <row r="20" spans="2:7" ht="20" customHeight="1">
      <c r="B20" s="269" t="s">
        <v>157</v>
      </c>
      <c r="C20" s="293">
        <f>308.13</f>
        <v>308.13</v>
      </c>
      <c r="F20" s="170"/>
      <c r="G20" s="275" t="s">
        <v>155</v>
      </c>
    </row>
    <row r="21" spans="2:7" ht="20" customHeight="1">
      <c r="B21" s="269" t="s">
        <v>167</v>
      </c>
      <c r="C21" s="294">
        <f>C19*C20</f>
        <v>2310975</v>
      </c>
      <c r="F21" s="170"/>
    </row>
    <row r="22" spans="2:7" ht="20" customHeight="1">
      <c r="B22" s="269" t="s">
        <v>168</v>
      </c>
      <c r="C22" s="288">
        <f>DCF!D13</f>
        <v>58146</v>
      </c>
      <c r="D22" s="215"/>
      <c r="E22" s="215"/>
      <c r="F22" s="296"/>
    </row>
    <row r="23" spans="2:7" ht="20" customHeight="1">
      <c r="B23" s="269" t="s">
        <v>169</v>
      </c>
      <c r="C23" s="295">
        <f>C22+C21</f>
        <v>2369121</v>
      </c>
      <c r="D23" s="215"/>
      <c r="E23" s="215"/>
      <c r="F23" s="296"/>
    </row>
    <row r="24" spans="2:7" ht="20" customHeight="1">
      <c r="B24" s="269" t="s">
        <v>170</v>
      </c>
      <c r="C24" s="290">
        <f>C22/C23</f>
        <v>2.4543279975991095E-2</v>
      </c>
      <c r="D24" s="215"/>
      <c r="E24" s="215"/>
      <c r="F24" s="296"/>
    </row>
    <row r="25" spans="2:7" ht="20" customHeight="1" thickBot="1">
      <c r="B25" s="269" t="s">
        <v>171</v>
      </c>
      <c r="C25" s="289">
        <f>C21/C23</f>
        <v>0.97545672002400885</v>
      </c>
      <c r="D25" s="215"/>
      <c r="E25" s="215"/>
      <c r="F25" s="296"/>
    </row>
    <row r="26" spans="2:7" ht="20" customHeight="1" thickBot="1">
      <c r="B26" s="284" t="s">
        <v>156</v>
      </c>
      <c r="C26" s="283">
        <f>((D17*C24*(1-D16))+(C7*C25))</f>
        <v>5.8606834402208569E-2</v>
      </c>
      <c r="D26" s="285"/>
      <c r="E26" s="285"/>
      <c r="F26" s="299"/>
    </row>
    <row r="27" spans="2:7" ht="20" customHeight="1"/>
    <row r="28" spans="2:7" ht="20" customHeight="1"/>
    <row r="29" spans="2:7" ht="20" customHeight="1"/>
    <row r="30" spans="2:7" ht="20" customHeight="1"/>
    <row r="31" spans="2:7" ht="20" customHeight="1"/>
    <row r="32" spans="2:7" ht="20" customHeight="1"/>
    <row r="33" ht="20" customHeight="1"/>
    <row r="34" ht="20" customHeight="1"/>
    <row r="35" ht="20" customHeight="1"/>
    <row r="36" ht="20" customHeight="1"/>
    <row r="37" ht="20" customHeight="1"/>
    <row r="38" ht="20" customHeight="1"/>
  </sheetData>
  <pageMargins left="0.7" right="0.7" top="0.75" bottom="0.75" header="0.3" footer="0.3"/>
  <ignoredErrors>
    <ignoredError sqref="C13:D1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95869-A656-9F49-93EA-FE99DFFA09C4}">
  <dimension ref="A3:N137"/>
  <sheetViews>
    <sheetView showGridLines="0" topLeftCell="A118" workbookViewId="0">
      <selection activeCell="G47" sqref="G47"/>
    </sheetView>
  </sheetViews>
  <sheetFormatPr baseColWidth="10" defaultRowHeight="15"/>
  <cols>
    <col min="1" max="3" width="12.1640625" bestFit="1" customWidth="1"/>
    <col min="4" max="4" width="12.5" bestFit="1" customWidth="1"/>
    <col min="5" max="5" width="15.6640625" bestFit="1" customWidth="1"/>
    <col min="6" max="7" width="12.1640625" bestFit="1" customWidth="1"/>
    <col min="8" max="17" width="29.33203125" bestFit="1" customWidth="1"/>
    <col min="18" max="18" width="10" bestFit="1" customWidth="1"/>
    <col min="19" max="19" width="12.5" bestFit="1" customWidth="1"/>
    <col min="20" max="20" width="38" bestFit="1" customWidth="1"/>
    <col min="21" max="21" width="18.1640625" bestFit="1" customWidth="1"/>
    <col min="22" max="22" width="16.83203125" bestFit="1" customWidth="1"/>
  </cols>
  <sheetData>
    <row r="3" spans="2:14">
      <c r="G3" s="301"/>
      <c r="H3" s="300"/>
      <c r="I3" s="300"/>
      <c r="J3" s="300"/>
      <c r="K3" s="300"/>
      <c r="L3" s="300"/>
      <c r="M3" s="300"/>
      <c r="N3" s="310"/>
    </row>
    <row r="4" spans="2:14">
      <c r="G4" s="301"/>
      <c r="H4" s="300"/>
      <c r="I4" s="300"/>
      <c r="J4" s="300"/>
      <c r="K4" s="300"/>
      <c r="L4" s="300"/>
      <c r="M4" s="300"/>
      <c r="N4" s="310"/>
    </row>
    <row r="9" spans="2:14">
      <c r="D9" t="str">
        <f>"Contribution of "&amp;$E$12&amp;" to Revenue and EBITDA"</f>
        <v>Contribution of Sum of Office Products and Cloud Services to Revenue and EBITDA</v>
      </c>
    </row>
    <row r="12" spans="2:14">
      <c r="B12" s="15" t="s">
        <v>125</v>
      </c>
      <c r="C12" s="301" t="s">
        <v>187</v>
      </c>
      <c r="D12" s="301" t="s">
        <v>176</v>
      </c>
      <c r="E12" t="str">
        <f>Dashboard!S10</f>
        <v>Sum of Office Products and Cloud Services</v>
      </c>
    </row>
    <row r="13" spans="2:14">
      <c r="B13" s="15">
        <v>2019</v>
      </c>
      <c r="C13" s="300">
        <v>125843</v>
      </c>
      <c r="D13" s="300">
        <v>58056</v>
      </c>
      <c r="E13">
        <f>INDEX($B$23:$J$28,MATCH($B13,$A$23:$A$28,0),MATCH($E$12,$B$22:$J$22,0))</f>
        <v>32622</v>
      </c>
    </row>
    <row r="14" spans="2:14">
      <c r="B14" s="15">
        <v>2020</v>
      </c>
      <c r="C14" s="300">
        <v>143015</v>
      </c>
      <c r="D14" s="300">
        <v>68423</v>
      </c>
      <c r="E14">
        <f t="shared" ref="E14:E18" si="0">INDEX($B$23:$J$28,MATCH($B14,$A$23:$A$28,0),MATCH($E$12,$B$22:$J$22,0))</f>
        <v>41379</v>
      </c>
    </row>
    <row r="15" spans="2:14">
      <c r="B15" s="15">
        <v>2021</v>
      </c>
      <c r="C15" s="300">
        <v>168088</v>
      </c>
      <c r="D15" s="300">
        <v>85119</v>
      </c>
      <c r="E15">
        <f t="shared" si="0"/>
        <v>52589</v>
      </c>
    </row>
    <row r="16" spans="2:14">
      <c r="B16" s="15">
        <v>2022</v>
      </c>
      <c r="C16" s="300">
        <v>193417.09184444867</v>
      </c>
      <c r="D16" s="300">
        <v>97480.838549605367</v>
      </c>
      <c r="E16">
        <f t="shared" si="0"/>
        <v>58237.805747349092</v>
      </c>
    </row>
    <row r="17" spans="1:12">
      <c r="B17" s="15">
        <v>2023</v>
      </c>
      <c r="C17" s="300">
        <v>223568.20696513751</v>
      </c>
      <c r="D17" s="300">
        <v>119525.26342835472</v>
      </c>
      <c r="E17">
        <f t="shared" si="0"/>
        <v>67316.293944642472</v>
      </c>
    </row>
    <row r="18" spans="1:12">
      <c r="B18" s="15">
        <v>2024</v>
      </c>
      <c r="C18" s="300">
        <v>262763.57565539301</v>
      </c>
      <c r="D18" s="300">
        <v>149691.10161623926</v>
      </c>
      <c r="E18">
        <f t="shared" si="0"/>
        <v>79118.003122519061</v>
      </c>
    </row>
    <row r="19" spans="1:12">
      <c r="C19" s="310">
        <v>1116694.8744649792</v>
      </c>
      <c r="D19" s="310">
        <v>578295.20359419938</v>
      </c>
      <c r="E19">
        <f>SUM(E13:E18)</f>
        <v>331262.10281451064</v>
      </c>
    </row>
    <row r="22" spans="1:12">
      <c r="A22" s="302" t="s">
        <v>173</v>
      </c>
      <c r="B22" t="s">
        <v>177</v>
      </c>
      <c r="C22" t="s">
        <v>178</v>
      </c>
      <c r="D22" t="s">
        <v>179</v>
      </c>
      <c r="E22" t="s">
        <v>180</v>
      </c>
      <c r="F22" t="s">
        <v>181</v>
      </c>
      <c r="G22" t="s">
        <v>182</v>
      </c>
      <c r="H22" t="s">
        <v>183</v>
      </c>
      <c r="I22" t="s">
        <v>184</v>
      </c>
      <c r="J22" t="s">
        <v>185</v>
      </c>
      <c r="K22" t="s">
        <v>187</v>
      </c>
      <c r="L22" t="s">
        <v>176</v>
      </c>
    </row>
    <row r="23" spans="1:12">
      <c r="A23" s="307">
        <v>2019</v>
      </c>
      <c r="B23" s="300">
        <v>32622</v>
      </c>
      <c r="C23" s="300">
        <v>31769</v>
      </c>
      <c r="D23" s="300">
        <v>20395</v>
      </c>
      <c r="E23" s="300">
        <v>11386</v>
      </c>
      <c r="F23" s="300">
        <v>6754</v>
      </c>
      <c r="G23" s="300">
        <v>7628</v>
      </c>
      <c r="H23" s="300">
        <v>6095</v>
      </c>
      <c r="I23" s="300">
        <v>6124</v>
      </c>
      <c r="J23" s="300">
        <v>3070</v>
      </c>
      <c r="K23" s="300">
        <v>125843</v>
      </c>
      <c r="L23" s="300">
        <v>58056</v>
      </c>
    </row>
    <row r="24" spans="1:12">
      <c r="A24" s="307">
        <v>2020</v>
      </c>
      <c r="B24" s="300">
        <v>41379</v>
      </c>
      <c r="C24" s="300">
        <v>35316</v>
      </c>
      <c r="D24" s="300">
        <v>22294</v>
      </c>
      <c r="E24" s="300">
        <v>11575</v>
      </c>
      <c r="F24" s="300">
        <v>8077</v>
      </c>
      <c r="G24" s="300">
        <v>7740</v>
      </c>
      <c r="H24" s="300">
        <v>6457</v>
      </c>
      <c r="I24" s="300">
        <v>6409</v>
      </c>
      <c r="J24" s="300">
        <v>3768</v>
      </c>
      <c r="K24" s="300">
        <v>143015</v>
      </c>
      <c r="L24" s="300">
        <v>68423</v>
      </c>
    </row>
    <row r="25" spans="1:12">
      <c r="A25" s="307">
        <v>2021</v>
      </c>
      <c r="B25" s="300">
        <v>52589</v>
      </c>
      <c r="C25" s="300">
        <v>39872</v>
      </c>
      <c r="D25" s="300">
        <v>23227</v>
      </c>
      <c r="E25" s="300">
        <v>15370</v>
      </c>
      <c r="F25" s="300">
        <v>10289</v>
      </c>
      <c r="G25" s="300">
        <v>8528</v>
      </c>
      <c r="H25" s="300">
        <v>6791</v>
      </c>
      <c r="I25" s="300">
        <v>6943</v>
      </c>
      <c r="J25" s="300">
        <v>4479</v>
      </c>
      <c r="K25" s="300">
        <v>168088</v>
      </c>
      <c r="L25" s="300">
        <v>85119</v>
      </c>
    </row>
    <row r="26" spans="1:12">
      <c r="A26" s="307">
        <v>2022</v>
      </c>
      <c r="B26" s="300">
        <v>58237.805747349092</v>
      </c>
      <c r="C26" s="300">
        <v>46821.269711005683</v>
      </c>
      <c r="D26" s="300">
        <v>28439.016024305864</v>
      </c>
      <c r="E26" s="300">
        <v>16670.209507132036</v>
      </c>
      <c r="F26" s="300">
        <v>11381.491207780909</v>
      </c>
      <c r="G26" s="300">
        <v>10140.42547994111</v>
      </c>
      <c r="H26" s="300">
        <v>8273.4708999833947</v>
      </c>
      <c r="I26" s="300">
        <v>8328.4650946856182</v>
      </c>
      <c r="J26" s="300">
        <v>5124.9381722649705</v>
      </c>
      <c r="K26" s="300">
        <v>193417.09184444867</v>
      </c>
      <c r="L26" s="300">
        <v>97480.838549605367</v>
      </c>
    </row>
    <row r="27" spans="1:12">
      <c r="A27" s="307">
        <v>2023</v>
      </c>
      <c r="B27" s="300">
        <v>67316.293944642472</v>
      </c>
      <c r="C27" s="300">
        <v>54120.073967088145</v>
      </c>
      <c r="D27" s="300">
        <v>32872.274935868649</v>
      </c>
      <c r="E27" s="300">
        <v>19268.870262199973</v>
      </c>
      <c r="F27" s="300">
        <v>13155.712133028263</v>
      </c>
      <c r="G27" s="300">
        <v>11721.181002128154</v>
      </c>
      <c r="H27" s="300">
        <v>9563.1933912805252</v>
      </c>
      <c r="I27" s="300">
        <v>9626.7604389794742</v>
      </c>
      <c r="J27" s="300">
        <v>5923.8468899218624</v>
      </c>
      <c r="K27" s="300">
        <v>223568.20696513751</v>
      </c>
      <c r="L27" s="300">
        <v>119525.26342835472</v>
      </c>
    </row>
    <row r="28" spans="1:12">
      <c r="A28" s="307">
        <v>2024</v>
      </c>
      <c r="B28" s="300">
        <v>79118.003122519061</v>
      </c>
      <c r="C28" s="300">
        <v>63608.257825961693</v>
      </c>
      <c r="D28" s="300">
        <v>38635.352581339648</v>
      </c>
      <c r="E28" s="300">
        <v>22647.036077562974</v>
      </c>
      <c r="F28" s="300">
        <v>15462.135727136694</v>
      </c>
      <c r="G28" s="300">
        <v>13776.106508308339</v>
      </c>
      <c r="H28" s="300">
        <v>11239.786391312526</v>
      </c>
      <c r="I28" s="300">
        <v>11314.497840556458</v>
      </c>
      <c r="J28" s="300">
        <v>6962.3995806956327</v>
      </c>
      <c r="K28" s="300">
        <v>262763.57565539301</v>
      </c>
      <c r="L28" s="300">
        <v>149691.10161623926</v>
      </c>
    </row>
    <row r="29" spans="1:12">
      <c r="A29" s="307" t="s">
        <v>174</v>
      </c>
      <c r="B29" s="300">
        <v>331262.10281451064</v>
      </c>
      <c r="C29" s="300">
        <v>271506.60150405549</v>
      </c>
      <c r="D29" s="300">
        <v>165862.64354151418</v>
      </c>
      <c r="E29" s="300">
        <v>96917.115846894972</v>
      </c>
      <c r="F29" s="300">
        <v>65119.339067945868</v>
      </c>
      <c r="G29" s="300">
        <v>59533.712990377608</v>
      </c>
      <c r="H29" s="300">
        <v>48419.450682576447</v>
      </c>
      <c r="I29" s="300">
        <v>48745.723374221547</v>
      </c>
      <c r="J29" s="300">
        <v>29328.184642882468</v>
      </c>
      <c r="K29" s="300">
        <v>1116694.8744649792</v>
      </c>
      <c r="L29" s="300">
        <v>578295.20359419938</v>
      </c>
    </row>
    <row r="32" spans="1:12">
      <c r="A32" s="301" t="s">
        <v>173</v>
      </c>
      <c r="B32" s="301" t="s">
        <v>191</v>
      </c>
      <c r="C32" s="301" t="s">
        <v>192</v>
      </c>
      <c r="D32" s="301" t="s">
        <v>8</v>
      </c>
      <c r="E32" s="301" t="s">
        <v>193</v>
      </c>
      <c r="F32" s="301" t="s">
        <v>194</v>
      </c>
      <c r="G32" s="301" t="s">
        <v>10</v>
      </c>
      <c r="H32" s="301" t="s">
        <v>195</v>
      </c>
      <c r="I32" s="301" t="s">
        <v>196</v>
      </c>
      <c r="J32" s="301" t="s">
        <v>197</v>
      </c>
    </row>
    <row r="33" spans="1:10" ht="15" customHeight="1">
      <c r="A33" s="307">
        <v>2019</v>
      </c>
      <c r="B33" s="300">
        <v>32622</v>
      </c>
      <c r="C33" s="300">
        <v>31769</v>
      </c>
      <c r="D33" s="300">
        <v>20395</v>
      </c>
      <c r="E33" s="300">
        <v>11386</v>
      </c>
      <c r="F33" s="300">
        <v>6754</v>
      </c>
      <c r="G33" s="300">
        <v>7628</v>
      </c>
      <c r="H33" s="300">
        <v>6095</v>
      </c>
      <c r="I33" s="300">
        <v>6124</v>
      </c>
      <c r="J33" s="300">
        <v>3070</v>
      </c>
    </row>
    <row r="34" spans="1:10" ht="15" customHeight="1">
      <c r="A34" s="307">
        <v>2020</v>
      </c>
      <c r="B34" s="300">
        <v>41379</v>
      </c>
      <c r="C34" s="300">
        <v>35316</v>
      </c>
      <c r="D34" s="300">
        <v>22294</v>
      </c>
      <c r="E34" s="300">
        <v>11575</v>
      </c>
      <c r="F34" s="300">
        <v>8077</v>
      </c>
      <c r="G34" s="300">
        <v>7740</v>
      </c>
      <c r="H34" s="300">
        <v>6457</v>
      </c>
      <c r="I34" s="300">
        <v>6409</v>
      </c>
      <c r="J34" s="300">
        <v>3768</v>
      </c>
    </row>
    <row r="35" spans="1:10" ht="15" customHeight="1">
      <c r="A35" s="307">
        <v>2021</v>
      </c>
      <c r="B35" s="300">
        <v>52589</v>
      </c>
      <c r="C35" s="300">
        <v>39872</v>
      </c>
      <c r="D35" s="300">
        <v>23227</v>
      </c>
      <c r="E35" s="300">
        <v>15370</v>
      </c>
      <c r="F35" s="300">
        <v>10289</v>
      </c>
      <c r="G35" s="300">
        <v>8528</v>
      </c>
      <c r="H35" s="300">
        <v>6791</v>
      </c>
      <c r="I35" s="300">
        <v>6943</v>
      </c>
      <c r="J35" s="300">
        <v>4479</v>
      </c>
    </row>
    <row r="36" spans="1:10" ht="15" customHeight="1">
      <c r="A36" s="307">
        <v>2022</v>
      </c>
      <c r="B36" s="300">
        <v>58237.805747349092</v>
      </c>
      <c r="C36" s="300">
        <v>46821.269711005683</v>
      </c>
      <c r="D36" s="300">
        <v>28439.016024305864</v>
      </c>
      <c r="E36" s="300">
        <v>16670.209507132036</v>
      </c>
      <c r="F36" s="300">
        <v>11381.491207780909</v>
      </c>
      <c r="G36" s="300">
        <v>10140.42547994111</v>
      </c>
      <c r="H36" s="300">
        <v>8273.4708999833947</v>
      </c>
      <c r="I36" s="300">
        <v>8328.4650946856182</v>
      </c>
      <c r="J36" s="300">
        <v>5124.9381722649705</v>
      </c>
    </row>
    <row r="37" spans="1:10" ht="15" customHeight="1">
      <c r="A37" s="307">
        <v>2023</v>
      </c>
      <c r="B37" s="300">
        <v>67316.293944642472</v>
      </c>
      <c r="C37" s="300">
        <v>54120.073967088145</v>
      </c>
      <c r="D37" s="300">
        <v>32872.274935868649</v>
      </c>
      <c r="E37" s="300">
        <v>19268.870262199973</v>
      </c>
      <c r="F37" s="300">
        <v>13155.712133028263</v>
      </c>
      <c r="G37" s="300">
        <v>11721.181002128154</v>
      </c>
      <c r="H37" s="300">
        <v>9563.1933912805252</v>
      </c>
      <c r="I37" s="300">
        <v>9626.7604389794742</v>
      </c>
      <c r="J37" s="300">
        <v>5923.8468899218624</v>
      </c>
    </row>
    <row r="38" spans="1:10" ht="15" customHeight="1">
      <c r="A38" s="307">
        <v>2024</v>
      </c>
      <c r="B38" s="300">
        <v>79118.003122519061</v>
      </c>
      <c r="C38" s="300">
        <v>63608.257825961693</v>
      </c>
      <c r="D38" s="300">
        <v>38635.352581339648</v>
      </c>
      <c r="E38" s="300">
        <v>22647.036077562974</v>
      </c>
      <c r="F38" s="300">
        <v>15462.135727136694</v>
      </c>
      <c r="G38" s="300">
        <v>13776.106508308339</v>
      </c>
      <c r="H38" s="300">
        <v>11239.786391312526</v>
      </c>
      <c r="I38" s="300">
        <v>11314.497840556458</v>
      </c>
      <c r="J38" s="300">
        <v>6962.3995806956327</v>
      </c>
    </row>
    <row r="39" spans="1:10" ht="15" customHeight="1">
      <c r="A39" s="333" t="s">
        <v>174</v>
      </c>
      <c r="B39" s="310">
        <v>331262.10281451064</v>
      </c>
      <c r="C39" s="310">
        <v>271506.60150405549</v>
      </c>
      <c r="D39" s="310">
        <v>165862.64354151418</v>
      </c>
      <c r="E39" s="310">
        <v>96917.115846894972</v>
      </c>
      <c r="F39" s="310">
        <v>65119.339067945868</v>
      </c>
      <c r="G39" s="310">
        <v>59533.712990377608</v>
      </c>
      <c r="H39" s="310">
        <v>48419.450682576447</v>
      </c>
      <c r="I39" s="310">
        <v>48745.723374221547</v>
      </c>
      <c r="J39" s="310">
        <v>29328.184642882468</v>
      </c>
    </row>
    <row r="40" spans="1:10" ht="15" customHeight="1">
      <c r="A40" s="15" t="s">
        <v>125</v>
      </c>
      <c r="B40" s="15" t="s">
        <v>3</v>
      </c>
      <c r="C40" s="15" t="s">
        <v>22</v>
      </c>
      <c r="E40" s="302" t="s">
        <v>173</v>
      </c>
      <c r="F40" t="s">
        <v>172</v>
      </c>
      <c r="G40" t="s">
        <v>190</v>
      </c>
      <c r="H40" s="15" t="str">
        <f xml:space="preserve">  Dashboard!S13</f>
        <v xml:space="preserve"> Enterprise Services</v>
      </c>
    </row>
    <row r="41" spans="1:10" ht="15" customHeight="1">
      <c r="A41" s="318">
        <v>2019</v>
      </c>
      <c r="B41" s="319">
        <v>125843</v>
      </c>
      <c r="C41" s="319">
        <v>42910</v>
      </c>
      <c r="E41" s="307">
        <v>2019</v>
      </c>
      <c r="F41" s="300">
        <v>125843</v>
      </c>
      <c r="G41" s="300">
        <v>42910</v>
      </c>
      <c r="H41" s="15">
        <f>INDEX($B$33:$J$38,MATCH($E41,$A$33:$A$38,0),MATCH($H$40,$B$32:$J$32,0))</f>
        <v>6095</v>
      </c>
    </row>
    <row r="42" spans="1:10" ht="15" customHeight="1">
      <c r="A42" s="318">
        <v>2020</v>
      </c>
      <c r="B42" s="319">
        <v>143015</v>
      </c>
      <c r="C42" s="319">
        <v>46078</v>
      </c>
      <c r="E42" s="307">
        <v>2020</v>
      </c>
      <c r="F42" s="300">
        <v>143015</v>
      </c>
      <c r="G42" s="300">
        <v>46078</v>
      </c>
      <c r="H42" s="15">
        <f t="shared" ref="H42:H46" si="1">INDEX($B$33:$J$38,MATCH($E42,$A$33:$A$38,0),MATCH($H$40,$B$32:$J$32,0))</f>
        <v>6457</v>
      </c>
    </row>
    <row r="43" spans="1:10" ht="15" customHeight="1">
      <c r="A43" s="318">
        <v>2021</v>
      </c>
      <c r="B43" s="319">
        <v>168088</v>
      </c>
      <c r="C43" s="319">
        <v>52232</v>
      </c>
      <c r="E43" s="307">
        <v>2021</v>
      </c>
      <c r="F43" s="300">
        <v>168088</v>
      </c>
      <c r="G43" s="300">
        <v>52232</v>
      </c>
      <c r="H43" s="15">
        <f t="shared" si="1"/>
        <v>6791</v>
      </c>
    </row>
    <row r="44" spans="1:10" ht="15" customHeight="1">
      <c r="A44" s="318">
        <v>2022</v>
      </c>
      <c r="B44" s="319">
        <v>193417.09184444867</v>
      </c>
      <c r="C44" s="319">
        <v>62790.434729328299</v>
      </c>
      <c r="E44" s="307">
        <v>2022</v>
      </c>
      <c r="F44" s="300">
        <v>193417.09184444867</v>
      </c>
      <c r="G44" s="300">
        <v>62790.434729328299</v>
      </c>
      <c r="H44" s="15">
        <f t="shared" si="1"/>
        <v>8273.4708999833947</v>
      </c>
    </row>
    <row r="45" spans="1:10" ht="15" customHeight="1">
      <c r="A45" s="318">
        <v>2023</v>
      </c>
      <c r="B45" s="319">
        <v>223568.20696513751</v>
      </c>
      <c r="C45" s="319">
        <v>70751.733095914795</v>
      </c>
      <c r="E45" s="307">
        <v>2023</v>
      </c>
      <c r="F45" s="300">
        <v>223568.20696513751</v>
      </c>
      <c r="G45" s="300">
        <v>70751.733095914795</v>
      </c>
      <c r="H45" s="15">
        <f t="shared" si="1"/>
        <v>9563.1933912805252</v>
      </c>
    </row>
    <row r="46" spans="1:10" ht="15" customHeight="1">
      <c r="A46" s="318">
        <v>2024</v>
      </c>
      <c r="B46" s="319">
        <v>262763.57565539301</v>
      </c>
      <c r="C46" s="319">
        <v>81651.677000336102</v>
      </c>
      <c r="E46" s="307">
        <v>2024</v>
      </c>
      <c r="F46" s="300">
        <v>262763.57565539301</v>
      </c>
      <c r="G46" s="300">
        <v>81651.677000336102</v>
      </c>
      <c r="H46" s="15">
        <f t="shared" si="1"/>
        <v>11239.786391312526</v>
      </c>
    </row>
    <row r="47" spans="1:10" ht="15" customHeight="1">
      <c r="E47" s="307" t="s">
        <v>174</v>
      </c>
      <c r="F47" s="300">
        <v>1116694.8744649792</v>
      </c>
      <c r="G47" s="300">
        <v>356413.8448255792</v>
      </c>
      <c r="H47" s="15">
        <f>SUM(H41:H46)</f>
        <v>48419.450682576447</v>
      </c>
    </row>
    <row r="48" spans="1:10" ht="15" customHeight="1"/>
    <row r="49" spans="1:11" ht="15" customHeight="1"/>
    <row r="50" spans="1:11" ht="15" customHeight="1"/>
    <row r="51" spans="1:11" ht="15" customHeight="1"/>
    <row r="52" spans="1:11" ht="15" customHeight="1">
      <c r="C52" t="str">
        <f>"Profitability of "&amp;$H$40&amp;" to Revenue and Gross Profit"</f>
        <v>Profitability of  Enterprise Services to Revenue and Gross Profit</v>
      </c>
      <c r="I52" s="309"/>
      <c r="J52" s="66"/>
      <c r="K52" s="66"/>
    </row>
    <row r="53" spans="1:11" ht="15" customHeight="1"/>
    <row r="54" spans="1:11" ht="16">
      <c r="A54" s="15" t="s">
        <v>125</v>
      </c>
      <c r="B54" s="15" t="s">
        <v>172</v>
      </c>
      <c r="C54" s="51" t="s">
        <v>13</v>
      </c>
      <c r="D54" s="15" t="str">
        <f t="shared" ref="D54:D60" si="2">H40</f>
        <v xml:space="preserve"> Enterprise Services</v>
      </c>
      <c r="G54" s="51" t="s">
        <v>13</v>
      </c>
    </row>
    <row r="55" spans="1:11">
      <c r="A55" s="15">
        <v>2019</v>
      </c>
      <c r="B55" s="316">
        <v>125843</v>
      </c>
      <c r="C55" s="8">
        <v>82933</v>
      </c>
      <c r="D55" s="15">
        <f t="shared" si="2"/>
        <v>6095</v>
      </c>
    </row>
    <row r="56" spans="1:11">
      <c r="A56" s="15">
        <v>2020</v>
      </c>
      <c r="B56" s="316">
        <v>143015</v>
      </c>
      <c r="C56" s="8">
        <v>96937</v>
      </c>
      <c r="D56" s="15">
        <f t="shared" si="2"/>
        <v>6457</v>
      </c>
    </row>
    <row r="57" spans="1:11">
      <c r="A57" s="15">
        <v>2021</v>
      </c>
      <c r="B57" s="316">
        <v>168088</v>
      </c>
      <c r="C57" s="8">
        <v>115856</v>
      </c>
      <c r="D57" s="15">
        <f t="shared" si="2"/>
        <v>6791</v>
      </c>
    </row>
    <row r="58" spans="1:11">
      <c r="A58" s="15">
        <v>2022</v>
      </c>
      <c r="B58" s="316">
        <v>193417.09184444867</v>
      </c>
      <c r="C58" s="121">
        <v>130626.65711512038</v>
      </c>
      <c r="D58" s="15">
        <f t="shared" si="2"/>
        <v>8273.4708999833947</v>
      </c>
    </row>
    <row r="59" spans="1:11">
      <c r="A59" s="15">
        <v>2023</v>
      </c>
      <c r="B59" s="316">
        <v>223568.20696513751</v>
      </c>
      <c r="C59" s="8">
        <v>152816.47386922268</v>
      </c>
      <c r="D59" s="15">
        <f t="shared" si="2"/>
        <v>9563.1933912805252</v>
      </c>
    </row>
    <row r="60" spans="1:11">
      <c r="A60" s="15">
        <v>2024</v>
      </c>
      <c r="B60" s="316">
        <v>262763.57565539301</v>
      </c>
      <c r="C60" s="164">
        <v>181111.89865505695</v>
      </c>
      <c r="D60" s="15">
        <f t="shared" si="2"/>
        <v>11239.786391312526</v>
      </c>
    </row>
    <row r="61" spans="1:11">
      <c r="C61" s="8"/>
    </row>
    <row r="62" spans="1:11">
      <c r="C62" s="164"/>
    </row>
    <row r="63" spans="1:11">
      <c r="E63" t="str">
        <f>"Net Income Margin of  "&amp;$D$66&amp;"  "</f>
        <v xml:space="preserve">Net Income Margin of  2019  </v>
      </c>
    </row>
    <row r="65" spans="1:10">
      <c r="D65" s="15" t="s">
        <v>125</v>
      </c>
      <c r="E65" s="15" t="s">
        <v>20</v>
      </c>
      <c r="F65" s="15" t="s">
        <v>199</v>
      </c>
      <c r="G65" s="15" t="s">
        <v>208</v>
      </c>
    </row>
    <row r="66" spans="1:10">
      <c r="D66" s="15">
        <f>Dashboard!S16</f>
        <v>2019</v>
      </c>
      <c r="E66" s="15">
        <f>VLOOKUP(D66,A67:C73,2,FALSE)</f>
        <v>39240</v>
      </c>
      <c r="F66" s="15">
        <f>VLOOKUP(E66,B67:D73,2,FALSE)</f>
        <v>86603</v>
      </c>
      <c r="G66" s="15">
        <f>VLOOKUP(F66,C67:E73,2,FALSE)</f>
        <v>125843</v>
      </c>
      <c r="H66" s="255">
        <f>E66/G66</f>
        <v>0.31181710544090652</v>
      </c>
    </row>
    <row r="67" spans="1:10" ht="16">
      <c r="A67" s="15" t="s">
        <v>125</v>
      </c>
      <c r="B67" s="184" t="s">
        <v>20</v>
      </c>
      <c r="C67" t="s">
        <v>198</v>
      </c>
      <c r="D67" t="s">
        <v>3</v>
      </c>
    </row>
    <row r="68" spans="1:10">
      <c r="A68" s="15">
        <v>2019</v>
      </c>
      <c r="B68" s="182">
        <v>39240</v>
      </c>
      <c r="C68" s="9">
        <f>B55-B68</f>
        <v>86603</v>
      </c>
      <c r="D68" s="316">
        <v>125843</v>
      </c>
    </row>
    <row r="69" spans="1:10">
      <c r="A69" s="15">
        <v>2020</v>
      </c>
      <c r="B69" s="28">
        <v>44281</v>
      </c>
      <c r="C69" s="9">
        <f t="shared" ref="C69:C73" si="3">B56-B69</f>
        <v>98734</v>
      </c>
      <c r="D69" s="316">
        <v>143015</v>
      </c>
    </row>
    <row r="70" spans="1:10">
      <c r="A70" s="15">
        <v>2021</v>
      </c>
      <c r="B70" s="28">
        <v>61271</v>
      </c>
      <c r="C70" s="9">
        <f t="shared" si="3"/>
        <v>106817</v>
      </c>
      <c r="D70" s="316">
        <v>168088</v>
      </c>
    </row>
    <row r="71" spans="1:10">
      <c r="A71" s="15">
        <v>2022</v>
      </c>
      <c r="B71" s="182">
        <v>64855.227717029273</v>
      </c>
      <c r="C71" s="9">
        <f t="shared" si="3"/>
        <v>128561.86412741939</v>
      </c>
      <c r="D71" s="316">
        <v>193417.09184444867</v>
      </c>
    </row>
    <row r="72" spans="1:10">
      <c r="A72" s="15">
        <v>2023</v>
      </c>
      <c r="B72" s="28">
        <v>79439.167642333865</v>
      </c>
      <c r="C72" s="9">
        <f t="shared" si="3"/>
        <v>144129.03932280364</v>
      </c>
      <c r="D72" s="316">
        <v>223568.20696513751</v>
      </c>
    </row>
    <row r="73" spans="1:10">
      <c r="A73" s="15">
        <v>2024</v>
      </c>
      <c r="B73" s="183">
        <v>99812.187171423197</v>
      </c>
      <c r="C73" s="9">
        <f t="shared" si="3"/>
        <v>162951.38848396981</v>
      </c>
      <c r="D73" s="316">
        <v>262763.57565539301</v>
      </c>
    </row>
    <row r="76" spans="1:10">
      <c r="F76" s="22" t="s">
        <v>134</v>
      </c>
      <c r="G76" s="22" t="s">
        <v>141</v>
      </c>
      <c r="H76" s="22" t="s">
        <v>135</v>
      </c>
      <c r="I76" s="22" t="s">
        <v>134</v>
      </c>
      <c r="J76" s="22" t="s">
        <v>125</v>
      </c>
    </row>
    <row r="77" spans="1:10">
      <c r="B77" s="245">
        <v>2019</v>
      </c>
      <c r="C77" s="245">
        <v>2020</v>
      </c>
      <c r="D77" s="245">
        <v>2021</v>
      </c>
      <c r="E77" s="274"/>
      <c r="F77" s="251">
        <v>0.21357121803846438</v>
      </c>
      <c r="G77" s="30">
        <v>217136</v>
      </c>
      <c r="H77" s="30">
        <v>46374</v>
      </c>
      <c r="I77" s="230">
        <v>0.21357121803846438</v>
      </c>
      <c r="J77">
        <v>2019</v>
      </c>
    </row>
    <row r="78" spans="1:10">
      <c r="A78" s="22" t="s">
        <v>134</v>
      </c>
      <c r="B78" s="251">
        <v>0.21357121803846438</v>
      </c>
      <c r="C78" s="251">
        <v>0.2429116030061004</v>
      </c>
      <c r="D78" s="251">
        <v>0.29957735331793967</v>
      </c>
      <c r="F78" s="251">
        <v>0.2429116030061004</v>
      </c>
      <c r="G78" s="30">
        <v>229001</v>
      </c>
      <c r="H78" s="30">
        <v>55627</v>
      </c>
      <c r="I78" s="230">
        <v>0.2429116030061004</v>
      </c>
      <c r="J78">
        <v>2020</v>
      </c>
    </row>
    <row r="79" spans="1:10">
      <c r="A79" s="22" t="s">
        <v>141</v>
      </c>
      <c r="B79" s="30">
        <v>217136</v>
      </c>
      <c r="C79" s="30">
        <v>229001</v>
      </c>
      <c r="D79" s="30">
        <v>245122</v>
      </c>
      <c r="F79" s="251">
        <v>0.29957735331793967</v>
      </c>
      <c r="G79" s="30">
        <v>245122</v>
      </c>
      <c r="H79" s="30">
        <v>73433</v>
      </c>
      <c r="I79" s="230">
        <v>0.29957735331793967</v>
      </c>
      <c r="J79">
        <v>2021</v>
      </c>
    </row>
    <row r="80" spans="1:10">
      <c r="A80" s="22" t="s">
        <v>135</v>
      </c>
      <c r="B80" s="30">
        <v>46374</v>
      </c>
      <c r="C80" s="30">
        <v>55627</v>
      </c>
      <c r="D80" s="30">
        <v>73433</v>
      </c>
    </row>
    <row r="81" spans="1:14">
      <c r="A81" s="22" t="s">
        <v>142</v>
      </c>
      <c r="B81" s="251">
        <v>0.38346525945470539</v>
      </c>
      <c r="C81" s="251">
        <v>0.37429841763592103</v>
      </c>
      <c r="D81" s="251">
        <v>0.43152238217314137</v>
      </c>
    </row>
    <row r="82" spans="1:14">
      <c r="A82" s="22"/>
      <c r="B82" s="251"/>
      <c r="C82" s="251"/>
      <c r="D82" s="251"/>
    </row>
    <row r="87" spans="1:14">
      <c r="F87" t="s">
        <v>125</v>
      </c>
      <c r="G87" s="22" t="s">
        <v>134</v>
      </c>
      <c r="H87" s="22" t="s">
        <v>141</v>
      </c>
      <c r="I87" s="22" t="s">
        <v>135</v>
      </c>
      <c r="J87" s="22" t="s">
        <v>142</v>
      </c>
      <c r="K87" s="22" t="s">
        <v>136</v>
      </c>
      <c r="L87" s="249">
        <v>0.59468463657714787</v>
      </c>
      <c r="M87" s="247">
        <v>0.65251809064943833</v>
      </c>
      <c r="N87" s="247">
        <v>0.7033853621793531</v>
      </c>
    </row>
    <row r="88" spans="1:14">
      <c r="F88">
        <v>2019</v>
      </c>
      <c r="G88" s="251">
        <v>0.21357121803846438</v>
      </c>
      <c r="H88" s="30">
        <v>217136</v>
      </c>
      <c r="I88" s="30">
        <v>46374</v>
      </c>
      <c r="J88" s="251">
        <v>0.38346525945470539</v>
      </c>
      <c r="K88" s="249">
        <f>'Ratio Calculations'!C15</f>
        <v>0.59468463657714787</v>
      </c>
      <c r="L88" s="249"/>
      <c r="M88" s="249"/>
      <c r="N88" s="249"/>
    </row>
    <row r="89" spans="1:14">
      <c r="F89">
        <v>2020</v>
      </c>
      <c r="G89" s="251">
        <v>0.2429116030061004</v>
      </c>
      <c r="H89" s="30">
        <v>229001</v>
      </c>
      <c r="I89" s="30">
        <v>55627</v>
      </c>
      <c r="J89" s="251">
        <v>0.37429841763592103</v>
      </c>
      <c r="K89" s="249">
        <f>'Ratio Calculations'!C16</f>
        <v>0.36850679020684501</v>
      </c>
      <c r="L89" s="249"/>
      <c r="M89" s="249"/>
      <c r="N89" s="249"/>
    </row>
    <row r="90" spans="1:14">
      <c r="F90">
        <v>2021</v>
      </c>
      <c r="G90" s="251">
        <v>0.29957735331793967</v>
      </c>
      <c r="H90" s="30">
        <v>245122</v>
      </c>
      <c r="I90" s="30">
        <v>73433</v>
      </c>
      <c r="J90" s="251">
        <v>0.43152238217314137</v>
      </c>
      <c r="K90" s="249">
        <f>'Ratio Calculations'!C17</f>
        <v>0.2191453266103689</v>
      </c>
      <c r="L90" s="249"/>
      <c r="M90" s="249"/>
      <c r="N90" s="249"/>
    </row>
    <row r="91" spans="1:14">
      <c r="A91" s="302" t="s">
        <v>173</v>
      </c>
      <c r="B91" t="s">
        <v>202</v>
      </c>
      <c r="C91" t="s">
        <v>203</v>
      </c>
      <c r="D91" s="22" t="s">
        <v>136</v>
      </c>
      <c r="E91" t="s">
        <v>188</v>
      </c>
      <c r="F91" t="s">
        <v>141</v>
      </c>
    </row>
    <row r="92" spans="1:14">
      <c r="A92" s="307">
        <v>2019</v>
      </c>
      <c r="B92" s="12">
        <v>0.21357121803846438</v>
      </c>
      <c r="C92" s="12">
        <v>0.38346525945470539</v>
      </c>
      <c r="D92" s="249">
        <v>0.59468463657714787</v>
      </c>
      <c r="E92" s="67">
        <f>'Ratio Calculations'!C16</f>
        <v>0.36850679020684501</v>
      </c>
      <c r="F92" s="9">
        <f>'P&amp;L Model'!C42</f>
        <v>100609</v>
      </c>
      <c r="I92" s="15" t="s">
        <v>125</v>
      </c>
      <c r="J92" s="15" t="s">
        <v>200</v>
      </c>
      <c r="K92" s="15" t="s">
        <v>201</v>
      </c>
      <c r="L92" s="15" t="s">
        <v>204</v>
      </c>
      <c r="M92" s="15" t="s">
        <v>188</v>
      </c>
      <c r="N92" s="15" t="s">
        <v>141</v>
      </c>
    </row>
    <row r="93" spans="1:14">
      <c r="A93" s="307">
        <v>2020</v>
      </c>
      <c r="B93" s="12">
        <v>0.2429116030061004</v>
      </c>
      <c r="C93" s="12">
        <v>0.37429841763592103</v>
      </c>
      <c r="D93" s="249">
        <v>0.36850679020684501</v>
      </c>
      <c r="E93" s="67">
        <f>'Ratio Calculations'!D16</f>
        <v>0.38895920008390727</v>
      </c>
      <c r="F93" s="9">
        <f>'P&amp;L Model'!D42</f>
        <v>99778</v>
      </c>
      <c r="I93" s="15">
        <f>Dashboard!$S$19</f>
        <v>2019</v>
      </c>
      <c r="J93" s="282">
        <f>VLOOKUP(I93,$A$91:$C$94,2,FALSE)</f>
        <v>0.21357121803846438</v>
      </c>
      <c r="K93" s="282">
        <f>VLOOKUP($I$93,$A$91:$D$94,3,FALSE)</f>
        <v>0.38346525945470539</v>
      </c>
      <c r="L93" s="282">
        <f>VLOOKUP($I$93,$A$91:$D$94,4,FALSE)</f>
        <v>0.59468463657714787</v>
      </c>
      <c r="M93" s="282">
        <f>VLOOKUP($I$93,$A$91:$F$94,5,FALSE)</f>
        <v>0.36850679020684501</v>
      </c>
      <c r="N93" s="334">
        <f>VLOOKUP($I$93,$A$91:$F$94,6,FALSE)</f>
        <v>100609</v>
      </c>
    </row>
    <row r="94" spans="1:14">
      <c r="A94" s="307">
        <v>2021</v>
      </c>
      <c r="B94" s="12">
        <v>0.29957735331793967</v>
      </c>
      <c r="C94" s="12">
        <v>0.43152238217314137</v>
      </c>
      <c r="D94" s="249">
        <v>0.2191453266103689</v>
      </c>
      <c r="E94" s="67">
        <f>'Ratio Calculations'!E16</f>
        <v>0.43687235257722146</v>
      </c>
      <c r="F94" s="9">
        <f>'P&amp;L Model'!E42</f>
        <v>89597</v>
      </c>
    </row>
    <row r="95" spans="1:14">
      <c r="A95" s="307" t="s">
        <v>174</v>
      </c>
      <c r="B95" s="300">
        <v>0.75606017436250439</v>
      </c>
      <c r="C95" s="300">
        <v>1.1892860592637677</v>
      </c>
    </row>
    <row r="100" spans="7:10">
      <c r="I100" s="15" t="s">
        <v>125</v>
      </c>
      <c r="J100" s="15">
        <f>Dashboard!$S$19</f>
        <v>2019</v>
      </c>
    </row>
    <row r="101" spans="7:10">
      <c r="I101" s="15" t="s">
        <v>200</v>
      </c>
      <c r="J101" s="282">
        <f>VLOOKUP(J100,$A$91:$C$94,2,FALSE)</f>
        <v>0.21357121803846438</v>
      </c>
    </row>
    <row r="102" spans="7:10">
      <c r="I102" s="15" t="s">
        <v>201</v>
      </c>
      <c r="J102" s="282">
        <f>VLOOKUP($J$100,$A$91:$D$94,3,FALSE)</f>
        <v>0.38346525945470539</v>
      </c>
    </row>
    <row r="103" spans="7:10">
      <c r="G103" s="15" t="s">
        <v>125</v>
      </c>
      <c r="H103" s="15">
        <f>Dashboard!$S$19</f>
        <v>2019</v>
      </c>
    </row>
    <row r="104" spans="7:10">
      <c r="G104" s="15" t="s">
        <v>200</v>
      </c>
      <c r="H104" s="282">
        <f>VLOOKUP(H103,$A$91:$C$94,2,FALSE)</f>
        <v>0.21357121803846438</v>
      </c>
      <c r="I104" s="15" t="s">
        <v>200</v>
      </c>
      <c r="J104" s="15" t="s">
        <v>201</v>
      </c>
    </row>
    <row r="105" spans="7:10">
      <c r="G105" s="15" t="s">
        <v>201</v>
      </c>
      <c r="H105" s="282">
        <f>VLOOKUP($H$103,$A$91:$D$94,3,FALSE)</f>
        <v>0.38346525945470539</v>
      </c>
      <c r="I105" s="282">
        <f>J101</f>
        <v>0.21357121803846438</v>
      </c>
      <c r="J105" s="282">
        <f>J102</f>
        <v>0.38346525945470539</v>
      </c>
    </row>
    <row r="106" spans="7:10">
      <c r="G106" s="15" t="s">
        <v>204</v>
      </c>
      <c r="H106" s="282">
        <f>VLOOKUP($H$103,$A$91:$D$94,4,FALSE)</f>
        <v>0.59468463657714787</v>
      </c>
    </row>
    <row r="107" spans="7:10">
      <c r="G107" s="15" t="s">
        <v>188</v>
      </c>
      <c r="H107" s="282">
        <f>VLOOKUP($H$103,$A$91:$F$94,5,FALSE)</f>
        <v>0.36850679020684501</v>
      </c>
    </row>
    <row r="113" spans="1:11">
      <c r="A113" s="302" t="s">
        <v>125</v>
      </c>
      <c r="B113" s="302" t="s">
        <v>202</v>
      </c>
      <c r="C113" t="s">
        <v>203</v>
      </c>
      <c r="D113" s="22" t="s">
        <v>136</v>
      </c>
      <c r="E113" t="s">
        <v>188</v>
      </c>
    </row>
    <row r="114" spans="1:11">
      <c r="A114" s="307">
        <v>2019</v>
      </c>
      <c r="B114" s="12">
        <v>0.21357121803846438</v>
      </c>
      <c r="C114" s="12">
        <v>0.38346525945470539</v>
      </c>
      <c r="D114" s="249">
        <v>0.59468463657714787</v>
      </c>
      <c r="E114" s="67">
        <f>E92</f>
        <v>0.36850679020684501</v>
      </c>
    </row>
    <row r="115" spans="1:11">
      <c r="A115" s="307">
        <v>2020</v>
      </c>
      <c r="B115" s="12">
        <v>0.2429116030061004</v>
      </c>
      <c r="C115" s="12">
        <v>0.37429841763592103</v>
      </c>
      <c r="D115" s="249">
        <v>0.36850679020684501</v>
      </c>
      <c r="E115" s="67">
        <f t="shared" ref="E115:E116" si="4">E93</f>
        <v>0.38895920008390727</v>
      </c>
    </row>
    <row r="116" spans="1:11">
      <c r="A116" s="307">
        <v>2021</v>
      </c>
      <c r="B116" s="12">
        <v>0.29957735331793967</v>
      </c>
      <c r="C116" s="12">
        <v>0.43152238217314137</v>
      </c>
      <c r="D116" s="249">
        <v>0.2191453266103689</v>
      </c>
      <c r="E116" s="67">
        <f t="shared" si="4"/>
        <v>0.43687235257722146</v>
      </c>
    </row>
    <row r="117" spans="1:11">
      <c r="A117" s="307" t="s">
        <v>174</v>
      </c>
      <c r="B117" s="300">
        <v>0.75606017436250439</v>
      </c>
      <c r="C117" s="300">
        <v>1.1892860592637677</v>
      </c>
    </row>
    <row r="124" spans="1:11">
      <c r="A124" t="s">
        <v>125</v>
      </c>
      <c r="B124" s="46">
        <v>2019</v>
      </c>
      <c r="C124" s="46">
        <v>2020</v>
      </c>
      <c r="D124" s="46">
        <v>2021</v>
      </c>
      <c r="E124" s="46">
        <v>2022</v>
      </c>
      <c r="F124" s="46">
        <v>2023</v>
      </c>
      <c r="G124" s="46">
        <v>2024</v>
      </c>
    </row>
    <row r="125" spans="1:11" ht="33" thickBot="1">
      <c r="A125" s="50" t="s">
        <v>14</v>
      </c>
      <c r="B125" s="31">
        <v>-39974</v>
      </c>
      <c r="C125" s="31">
        <v>-43978</v>
      </c>
      <c r="D125" s="31">
        <v>-45940</v>
      </c>
      <c r="E125" s="336">
        <v>-57926.175019368049</v>
      </c>
      <c r="F125" s="25">
        <v>-64925.931530362948</v>
      </c>
      <c r="G125" s="337">
        <v>-71815.70763890793</v>
      </c>
    </row>
    <row r="126" spans="1:11" ht="16">
      <c r="A126" s="49" t="s">
        <v>3</v>
      </c>
      <c r="B126" s="25">
        <v>125843</v>
      </c>
      <c r="C126" s="25">
        <v>143015</v>
      </c>
      <c r="D126" s="25">
        <v>168088</v>
      </c>
      <c r="E126" s="338">
        <f>D126*(1+B145)</f>
        <v>168088</v>
      </c>
      <c r="F126" s="25">
        <f>E126*(1+C145)</f>
        <v>168088</v>
      </c>
      <c r="G126" s="339">
        <f>F126*(1+D145)</f>
        <v>168088</v>
      </c>
      <c r="I126" s="15"/>
      <c r="J126" s="15"/>
      <c r="K126" s="15"/>
    </row>
    <row r="129" spans="1:10" ht="16" thickBot="1"/>
    <row r="130" spans="1:10" ht="32">
      <c r="A130" s="15" t="s">
        <v>125</v>
      </c>
      <c r="B130" s="340" t="s">
        <v>14</v>
      </c>
      <c r="C130" s="341" t="s">
        <v>3</v>
      </c>
      <c r="G130" s="15" t="s">
        <v>125</v>
      </c>
      <c r="H130" s="15" t="s">
        <v>207</v>
      </c>
      <c r="I130" s="15" t="s">
        <v>3</v>
      </c>
      <c r="J130" s="15" t="s">
        <v>206</v>
      </c>
    </row>
    <row r="131" spans="1:10">
      <c r="A131" s="36">
        <v>2019</v>
      </c>
      <c r="B131" s="31">
        <v>-39974</v>
      </c>
      <c r="C131" s="25">
        <v>125843</v>
      </c>
      <c r="G131" s="15">
        <f>Dashboard!$S$22</f>
        <v>2022</v>
      </c>
      <c r="H131" s="15">
        <f>-VLOOKUP(G131,A130:C136,2,FALSE)</f>
        <v>57926.175019368049</v>
      </c>
      <c r="I131" s="15">
        <f>VLOOKUP(G131,A130:C136,3,FALSE)</f>
        <v>168088</v>
      </c>
      <c r="J131" s="255">
        <f>H131/I131</f>
        <v>0.34461814656232481</v>
      </c>
    </row>
    <row r="132" spans="1:10">
      <c r="A132" s="36">
        <v>2020</v>
      </c>
      <c r="B132" s="31">
        <v>-43978</v>
      </c>
      <c r="C132" s="25">
        <v>143015</v>
      </c>
    </row>
    <row r="133" spans="1:10" ht="16" thickBot="1">
      <c r="A133" s="36">
        <v>2021</v>
      </c>
      <c r="B133" s="31">
        <v>-45940</v>
      </c>
      <c r="C133" s="25">
        <v>168088</v>
      </c>
    </row>
    <row r="134" spans="1:10">
      <c r="A134" s="36">
        <v>2022</v>
      </c>
      <c r="B134" s="336">
        <v>-57926.175019368049</v>
      </c>
      <c r="C134" s="338">
        <f>C133*(1+V131)</f>
        <v>168088</v>
      </c>
      <c r="I134" t="str">
        <f>"Opex as a % in  "&amp;$G$131&amp;"  "</f>
        <v xml:space="preserve">Opex as a % in  2022  </v>
      </c>
      <c r="J134" s="255">
        <f>I137/I136</f>
        <v>0.34461814656232481</v>
      </c>
    </row>
    <row r="135" spans="1:10" ht="16" thickBot="1">
      <c r="A135" s="36">
        <v>2023</v>
      </c>
      <c r="B135" s="25">
        <v>-64925.931530362948</v>
      </c>
      <c r="C135" s="25">
        <f>C134*(1+V132)</f>
        <v>168088</v>
      </c>
      <c r="J135" s="228"/>
    </row>
    <row r="136" spans="1:10">
      <c r="A136" s="36">
        <v>2024</v>
      </c>
      <c r="B136" s="337">
        <v>-71815.70763890793</v>
      </c>
      <c r="C136" s="339">
        <f>C135*(1+V133)</f>
        <v>168088</v>
      </c>
      <c r="H136" s="15" t="s">
        <v>3</v>
      </c>
      <c r="I136" s="15">
        <f>I131</f>
        <v>168088</v>
      </c>
    </row>
    <row r="137" spans="1:10">
      <c r="H137" s="15" t="s">
        <v>206</v>
      </c>
      <c r="I137" s="342">
        <f>H131</f>
        <v>57926.175019368049</v>
      </c>
    </row>
  </sheetData>
  <dataValidations count="1">
    <dataValidation type="list" allowBlank="1" showInputMessage="1" showErrorMessage="1" sqref="K52 I52" xr:uid="{42E700FF-13A7-BC49-AAF0-C817D289C683}">
      <formula1>$B$19:$J$19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37C1-725F-BE48-B6EE-6AA407D404E6}">
  <dimension ref="A2:O152"/>
  <sheetViews>
    <sheetView showGridLines="0" topLeftCell="A62" workbookViewId="0">
      <selection activeCell="K28" sqref="K28"/>
    </sheetView>
  </sheetViews>
  <sheetFormatPr baseColWidth="10" defaultRowHeight="15"/>
  <cols>
    <col min="2" max="2" width="17.33203125" customWidth="1"/>
    <col min="3" max="3" width="17.1640625" customWidth="1"/>
    <col min="4" max="4" width="16.33203125" customWidth="1"/>
    <col min="5" max="5" width="11" bestFit="1" customWidth="1"/>
    <col min="6" max="7" width="20.1640625" bestFit="1" customWidth="1"/>
    <col min="11" max="11" width="15.1640625" customWidth="1"/>
    <col min="14" max="14" width="12.1640625" bestFit="1" customWidth="1"/>
    <col min="15" max="15" width="33.6640625" bestFit="1" customWidth="1"/>
    <col min="16" max="16" width="17.83203125" bestFit="1" customWidth="1"/>
    <col min="17" max="17" width="12.1640625" bestFit="1" customWidth="1"/>
    <col min="18" max="18" width="13.83203125" bestFit="1" customWidth="1"/>
    <col min="19" max="19" width="12.5" bestFit="1" customWidth="1"/>
    <col min="20" max="20" width="13.33203125" bestFit="1" customWidth="1"/>
    <col min="21" max="21" width="21.1640625" bestFit="1" customWidth="1"/>
    <col min="22" max="22" width="12.6640625" bestFit="1" customWidth="1"/>
    <col min="23" max="23" width="21.6640625" bestFit="1" customWidth="1"/>
    <col min="24" max="24" width="12.1640625" bestFit="1" customWidth="1"/>
    <col min="25" max="25" width="21" bestFit="1" customWidth="1"/>
    <col min="26" max="26" width="12.1640625" bestFit="1" customWidth="1"/>
    <col min="27" max="27" width="22.1640625" bestFit="1" customWidth="1"/>
    <col min="28" max="28" width="16.5" bestFit="1" customWidth="1"/>
  </cols>
  <sheetData>
    <row r="2" spans="2:11" ht="20" customHeight="1">
      <c r="B2" s="254" t="s">
        <v>144</v>
      </c>
      <c r="K2" s="254"/>
    </row>
    <row r="10" spans="2:11">
      <c r="C10" s="245">
        <v>2019</v>
      </c>
      <c r="D10" s="245">
        <v>2020</v>
      </c>
      <c r="E10" s="245">
        <v>2021</v>
      </c>
    </row>
    <row r="11" spans="2:11">
      <c r="B11" s="22" t="s">
        <v>134</v>
      </c>
      <c r="C11" s="251">
        <f>C14</f>
        <v>0.21357121803846438</v>
      </c>
      <c r="D11" s="251">
        <f>D14</f>
        <v>0.2429116030061004</v>
      </c>
      <c r="E11" s="251">
        <f>E14</f>
        <v>0.29957735331793967</v>
      </c>
    </row>
    <row r="12" spans="2:11">
      <c r="B12" s="22" t="s">
        <v>141</v>
      </c>
      <c r="C12" s="30">
        <f>'Balance Sheet Model'!C13+('P&amp;L Model'!C40)</f>
        <v>217136</v>
      </c>
      <c r="D12" s="30">
        <f>'Balance Sheet Model'!D13+('P&amp;L Model'!D40)</f>
        <v>229001</v>
      </c>
      <c r="E12" s="30">
        <f>'Balance Sheet Model'!E13+('P&amp;L Model'!E40)</f>
        <v>245122</v>
      </c>
      <c r="F12" s="255"/>
    </row>
    <row r="13" spans="2:11">
      <c r="B13" s="22" t="s">
        <v>135</v>
      </c>
      <c r="C13" s="30">
        <f>'P&amp;L Model'!C12</f>
        <v>46374</v>
      </c>
      <c r="D13" s="30">
        <f>'P&amp;L Model'!D12</f>
        <v>55627</v>
      </c>
      <c r="E13" s="30">
        <f>'P&amp;L Model'!E12</f>
        <v>73433</v>
      </c>
    </row>
    <row r="14" spans="2:11">
      <c r="B14" s="22" t="s">
        <v>134</v>
      </c>
      <c r="C14" s="230">
        <f>'P&amp;L Model'!C12/'Ratio Calculations'!C12</f>
        <v>0.21357121803846438</v>
      </c>
      <c r="D14" s="230">
        <f>'P&amp;L Model'!D12/'Ratio Calculations'!D12</f>
        <v>0.2429116030061004</v>
      </c>
      <c r="E14" s="230">
        <f>'P&amp;L Model'!E12/'Ratio Calculations'!E12</f>
        <v>0.29957735331793967</v>
      </c>
    </row>
    <row r="15" spans="2:11">
      <c r="B15" s="22" t="s">
        <v>136</v>
      </c>
      <c r="C15" s="249">
        <f>B114</f>
        <v>0.59468463657714787</v>
      </c>
      <c r="D15" s="247">
        <f>B115</f>
        <v>0.65251809064943833</v>
      </c>
      <c r="E15" s="247">
        <f>B116</f>
        <v>0.7033853621793531</v>
      </c>
    </row>
    <row r="16" spans="2:11">
      <c r="B16" s="22" t="s">
        <v>137</v>
      </c>
      <c r="C16" s="248">
        <f>C33</f>
        <v>0.36850679020684501</v>
      </c>
      <c r="D16" s="248">
        <f>D33</f>
        <v>0.38895920008390727</v>
      </c>
      <c r="E16" s="248">
        <f>E33</f>
        <v>0.43687235257722146</v>
      </c>
    </row>
    <row r="17" spans="2:6">
      <c r="B17" s="22" t="s">
        <v>138</v>
      </c>
      <c r="C17" s="13">
        <f>C15*C16</f>
        <v>0.2191453266103689</v>
      </c>
      <c r="D17" s="13">
        <f>D15*D16</f>
        <v>0.25380291457928406</v>
      </c>
      <c r="E17" s="13">
        <f>E15*E16</f>
        <v>0.30728961794367499</v>
      </c>
    </row>
    <row r="18" spans="2:6">
      <c r="B18" s="22" t="s">
        <v>139</v>
      </c>
      <c r="C18" s="230">
        <f>'P&amp;L Model'!C16/'P&amp;L Model'!C5</f>
        <v>0.31181710544090652</v>
      </c>
      <c r="D18" s="230">
        <f>'P&amp;L Model'!D16/'P&amp;L Model'!D5</f>
        <v>0.30962486452470023</v>
      </c>
      <c r="E18" s="230">
        <f>'P&amp;L Model'!E16/'P&amp;L Model'!E5</f>
        <v>0.36451739564989766</v>
      </c>
    </row>
    <row r="19" spans="2:6">
      <c r="B19" s="22" t="s">
        <v>140</v>
      </c>
      <c r="C19" s="252">
        <f>C12/'Balance Sheet Model'!C19</f>
        <v>2.1219192807583309</v>
      </c>
      <c r="D19" s="252">
        <f>D12/'Balance Sheet Model'!D19</f>
        <v>1.9356995536921828</v>
      </c>
      <c r="E19" s="252">
        <f>E12/'Balance Sheet Model'!E19</f>
        <v>1.7263571569428402</v>
      </c>
    </row>
    <row r="20" spans="2:6">
      <c r="B20" s="22" t="s">
        <v>142</v>
      </c>
      <c r="C20" s="251">
        <f>'P&amp;L Model'!C16/'Balance Sheet Model'!C19</f>
        <v>0.38346525945470539</v>
      </c>
      <c r="D20" s="251">
        <f>'P&amp;L Model'!D16/'Balance Sheet Model'!D19</f>
        <v>0.37429841763592103</v>
      </c>
      <c r="E20" s="251">
        <f>'P&amp;L Model'!E16/'Balance Sheet Model'!E19</f>
        <v>0.43152238217314137</v>
      </c>
      <c r="F20" s="242"/>
    </row>
    <row r="21" spans="2:6">
      <c r="B21" s="22" t="s">
        <v>143</v>
      </c>
      <c r="C21" s="253">
        <f>'P&amp;L Model'!C12/'Balance Sheet Model'!C17</f>
        <v>0.64249494305744137</v>
      </c>
      <c r="D21" s="253">
        <f>'P&amp;L Model'!D12/'Balance Sheet Model'!D17</f>
        <v>0.87840889352093099</v>
      </c>
      <c r="E21" s="253">
        <f>'P&amp;L Model'!E12/'Balance Sheet Model'!E17</f>
        <v>1.2629071647232828</v>
      </c>
    </row>
    <row r="22" spans="2:6">
      <c r="B22" s="22" t="s">
        <v>139</v>
      </c>
      <c r="C22" s="251">
        <f>'P&amp;L Model'!C16/'P&amp;L Model'!C5</f>
        <v>0.31181710544090652</v>
      </c>
      <c r="D22" s="251">
        <f>'P&amp;L Model'!D16/'P&amp;L Model'!D5</f>
        <v>0.30962486452470023</v>
      </c>
      <c r="E22" s="251">
        <f>'P&amp;L Model'!E16/'P&amp;L Model'!E5</f>
        <v>0.36451739564989766</v>
      </c>
      <c r="F22" s="250"/>
    </row>
    <row r="25" spans="2:6">
      <c r="B25" s="238" t="s">
        <v>126</v>
      </c>
      <c r="C25" s="239">
        <v>19</v>
      </c>
      <c r="D25" s="239">
        <v>20</v>
      </c>
      <c r="E25" s="239">
        <v>21</v>
      </c>
    </row>
    <row r="26" spans="2:6">
      <c r="B26" s="170"/>
      <c r="C26" s="36"/>
      <c r="D26" s="36"/>
      <c r="E26" s="36"/>
    </row>
    <row r="27" spans="2:6">
      <c r="B27" s="105"/>
      <c r="C27" s="241">
        <f>'P&amp;L Model'!C7/'P&amp;L Model'!C5</f>
        <v>0.65901957200638894</v>
      </c>
      <c r="D27" s="237">
        <f>'P&amp;L Model'!D7/'P&amp;L Model'!D5</f>
        <v>0.67781001992797962</v>
      </c>
      <c r="E27" s="237">
        <f>'P&amp;L Model'!E7/'P&amp;L Model'!E5</f>
        <v>0.68925800771024703</v>
      </c>
      <c r="F27" s="236"/>
    </row>
    <row r="31" spans="2:6">
      <c r="B31" s="238" t="s">
        <v>127</v>
      </c>
      <c r="C31" s="239">
        <v>19</v>
      </c>
      <c r="D31" s="239">
        <v>20</v>
      </c>
      <c r="E31" s="239">
        <v>21</v>
      </c>
    </row>
    <row r="32" spans="2:6">
      <c r="B32" s="170"/>
      <c r="C32" s="36"/>
      <c r="D32" s="36"/>
      <c r="E32" s="36"/>
    </row>
    <row r="33" spans="1:6">
      <c r="B33" s="105"/>
      <c r="C33" s="241">
        <f>'P&amp;L Model'!C12/'P&amp;L Model'!C5</f>
        <v>0.36850679020684501</v>
      </c>
      <c r="D33" s="237">
        <f>'P&amp;L Model'!D12/'P&amp;L Model'!D5</f>
        <v>0.38895920008390727</v>
      </c>
      <c r="E33" s="237">
        <f>'P&amp;L Model'!E12/'P&amp;L Model'!E5</f>
        <v>0.43687235257722146</v>
      </c>
      <c r="F33" s="236"/>
    </row>
    <row r="35" spans="1:6">
      <c r="B35" s="215"/>
      <c r="C35" s="215"/>
      <c r="D35" s="215"/>
      <c r="E35" s="215"/>
    </row>
    <row r="36" spans="1:6">
      <c r="B36" s="240"/>
      <c r="C36" s="60"/>
      <c r="D36" s="60"/>
      <c r="E36" s="60"/>
    </row>
    <row r="37" spans="1:6">
      <c r="B37" s="238" t="s">
        <v>128</v>
      </c>
      <c r="C37" s="239">
        <v>19</v>
      </c>
      <c r="D37" s="239">
        <v>20</v>
      </c>
      <c r="E37" s="239">
        <v>21</v>
      </c>
    </row>
    <row r="38" spans="1:6">
      <c r="B38" s="170"/>
      <c r="C38" s="36"/>
      <c r="D38" s="36"/>
      <c r="E38" s="36"/>
    </row>
    <row r="39" spans="1:6">
      <c r="B39" s="105"/>
      <c r="C39" s="243">
        <f>-'P&amp;L Model'!C8/'P&amp;L Model'!C5</f>
        <v>0.31764976995144745</v>
      </c>
      <c r="D39" s="244">
        <f>-'P&amp;L Model'!D8/'P&amp;L Model'!D5</f>
        <v>0.30750620564276476</v>
      </c>
      <c r="E39" s="244">
        <f>-'P&amp;L Model'!E8/'P&amp;L Model'!E5</f>
        <v>0.27330921898053401</v>
      </c>
      <c r="F39" s="236"/>
    </row>
    <row r="44" spans="1:6">
      <c r="A44" s="22" t="s">
        <v>52</v>
      </c>
      <c r="B44" s="21"/>
    </row>
    <row r="45" spans="1:6">
      <c r="A45" s="22" t="s">
        <v>125</v>
      </c>
      <c r="B45" s="23" t="s">
        <v>117</v>
      </c>
      <c r="C45" s="23" t="s">
        <v>92</v>
      </c>
      <c r="D45" s="23" t="s">
        <v>120</v>
      </c>
      <c r="E45" s="23" t="s">
        <v>118</v>
      </c>
      <c r="F45" s="23" t="s">
        <v>119</v>
      </c>
    </row>
    <row r="46" spans="1:6">
      <c r="A46" s="22" t="s">
        <v>53</v>
      </c>
      <c r="B46" s="230">
        <f>'P&amp;L Model'!D5/'P&amp;L Model'!C5-1</f>
        <v>0.13645574247276371</v>
      </c>
      <c r="C46" s="230">
        <f>'P&amp;L Model'!E5/'P&amp;L Model'!D5-1</f>
        <v>0.17531727441177503</v>
      </c>
      <c r="D46" s="230">
        <f>'P&amp;L Model'!H5/'P&amp;L Model'!E5-1</f>
        <v>0.15068947125582244</v>
      </c>
      <c r="E46" s="230">
        <f>'P&amp;L Model'!I5/'P&amp;L Model'!H5-1</f>
        <v>0.15588650844226937</v>
      </c>
      <c r="F46" s="230">
        <f>'P&amp;L Model'!J5/'P&amp;L Model'!I5-1</f>
        <v>0.17531727441177503</v>
      </c>
    </row>
    <row r="47" spans="1:6">
      <c r="A47" s="22" t="s">
        <v>55</v>
      </c>
      <c r="B47" s="230">
        <v>0.13645574247276371</v>
      </c>
      <c r="C47" s="230">
        <v>0.17531727441177503</v>
      </c>
      <c r="D47" s="82">
        <v>0.12927493757624786</v>
      </c>
      <c r="E47" s="82">
        <v>0.13447197476269479</v>
      </c>
      <c r="F47" s="82">
        <v>0.15390274073220045</v>
      </c>
    </row>
    <row r="48" spans="1:6">
      <c r="A48" s="22" t="s">
        <v>54</v>
      </c>
      <c r="B48" s="230">
        <v>0.13645574247276371</v>
      </c>
      <c r="C48" s="230">
        <v>0.17531727441177503</v>
      </c>
      <c r="D48" s="173">
        <v>0.17210400493539701</v>
      </c>
      <c r="E48" s="173">
        <v>0.17730104212184394</v>
      </c>
      <c r="F48" s="173">
        <v>0.1967318080913496</v>
      </c>
    </row>
    <row r="49" spans="1:6">
      <c r="B49" s="230"/>
      <c r="C49" s="230"/>
      <c r="D49" s="173"/>
      <c r="E49" s="173"/>
      <c r="F49" s="173"/>
    </row>
    <row r="52" spans="1:6">
      <c r="A52" s="22" t="s">
        <v>145</v>
      </c>
      <c r="B52" s="22"/>
      <c r="C52" s="23">
        <v>2019</v>
      </c>
      <c r="D52" s="23">
        <v>2020</v>
      </c>
      <c r="E52" s="23">
        <v>2021</v>
      </c>
    </row>
    <row r="53" spans="1:6">
      <c r="C53" s="36">
        <f>'P&amp;L Model'!C5/('Balance Sheet Model'!C13-'P&amp;L Model'!C38)</f>
        <v>1.133679867392166</v>
      </c>
      <c r="D53" s="36">
        <f>'P&amp;L Model'!D5/('Balance Sheet Model'!D13-'P&amp;L Model'!D38)</f>
        <v>1.1978206975108043</v>
      </c>
      <c r="E53" s="36">
        <f>'P&amp;L Model'!E5/('Balance Sheet Model'!E13-'P&amp;L Model'!E38)</f>
        <v>1.1252903804569769</v>
      </c>
    </row>
    <row r="69" spans="1:15">
      <c r="F69" s="16" t="s">
        <v>123</v>
      </c>
    </row>
    <row r="70" spans="1:15">
      <c r="B70" s="232">
        <v>0.13645574247276371</v>
      </c>
      <c r="C70" s="232">
        <v>0.17531727441177503</v>
      </c>
      <c r="D70" s="16"/>
      <c r="E70" s="16"/>
      <c r="F70" s="16"/>
      <c r="L70" s="15"/>
      <c r="M70" s="15"/>
      <c r="N70" s="15"/>
    </row>
    <row r="71" spans="1:15">
      <c r="B71" s="99" t="s">
        <v>121</v>
      </c>
      <c r="C71" s="99" t="s">
        <v>122</v>
      </c>
      <c r="D71" s="16"/>
      <c r="L71" s="97"/>
      <c r="M71" s="97"/>
      <c r="N71" s="97"/>
      <c r="O71" s="231"/>
    </row>
    <row r="72" spans="1:15">
      <c r="B72" s="99"/>
      <c r="C72" s="99"/>
      <c r="D72" s="16"/>
      <c r="E72" s="99" t="s">
        <v>117</v>
      </c>
      <c r="F72" s="99" t="s">
        <v>92</v>
      </c>
      <c r="L72" s="97"/>
      <c r="M72" s="97"/>
      <c r="N72" s="97"/>
      <c r="O72" s="17"/>
    </row>
    <row r="73" spans="1:15" ht="15" customHeight="1">
      <c r="A73" s="231" t="s">
        <v>6</v>
      </c>
      <c r="B73" s="233">
        <v>0.26843847710134261</v>
      </c>
      <c r="C73" s="233">
        <v>0.27091036516107203</v>
      </c>
      <c r="D73" s="231" t="s">
        <v>6</v>
      </c>
      <c r="E73" s="234">
        <v>0.31286587977725955</v>
      </c>
      <c r="F73" s="234">
        <v>0.28933328671817643</v>
      </c>
      <c r="G73" s="231" t="s">
        <v>6</v>
      </c>
      <c r="H73" s="234">
        <v>0.28933328671817643</v>
      </c>
      <c r="I73" s="12">
        <f>AVERAGE(E73,F73)</f>
        <v>0.30109958324771802</v>
      </c>
      <c r="L73" s="97"/>
      <c r="M73" s="97"/>
      <c r="N73" s="97"/>
      <c r="O73" s="17"/>
    </row>
    <row r="74" spans="1:15">
      <c r="A74" s="17" t="s">
        <v>7</v>
      </c>
      <c r="B74" s="233">
        <v>0.11164972142654794</v>
      </c>
      <c r="C74" s="233">
        <v>0.12900668252350211</v>
      </c>
      <c r="D74" s="17" t="s">
        <v>7</v>
      </c>
      <c r="E74" s="234">
        <v>0.23720908095759363</v>
      </c>
      <c r="F74" s="234">
        <v>0.24693913225885397</v>
      </c>
      <c r="G74" s="17" t="s">
        <v>7</v>
      </c>
      <c r="H74" s="234">
        <v>0.24693913225885397</v>
      </c>
      <c r="I74" s="12">
        <f t="shared" ref="I74:I81" si="0">AVERAGE(E74,F74)</f>
        <v>0.24207410660822382</v>
      </c>
      <c r="L74" s="97"/>
      <c r="M74" s="97"/>
      <c r="N74" s="97"/>
      <c r="O74" s="17"/>
    </row>
    <row r="75" spans="1:15">
      <c r="A75" s="17" t="s">
        <v>8</v>
      </c>
      <c r="B75" s="233">
        <v>9.3111056631527411E-2</v>
      </c>
      <c r="C75" s="233">
        <v>4.184982506503987E-2</v>
      </c>
      <c r="D75" s="17" t="s">
        <v>8</v>
      </c>
      <c r="E75" s="234">
        <v>0.13818357051068489</v>
      </c>
      <c r="F75" s="234">
        <v>0.15588574625039331</v>
      </c>
      <c r="G75" s="17" t="s">
        <v>8</v>
      </c>
      <c r="H75" s="234">
        <v>0.15588574625039331</v>
      </c>
      <c r="I75" s="12">
        <f t="shared" si="0"/>
        <v>0.14703465838053908</v>
      </c>
      <c r="L75" s="97"/>
      <c r="M75" s="97"/>
      <c r="N75" s="97"/>
      <c r="O75" s="17"/>
    </row>
    <row r="76" spans="1:15">
      <c r="A76" s="17" t="s">
        <v>124</v>
      </c>
      <c r="B76" s="233">
        <v>1.6599332513613119E-2</v>
      </c>
      <c r="C76" s="233">
        <v>0.32786177105831538</v>
      </c>
      <c r="D76" s="17" t="s">
        <v>124</v>
      </c>
      <c r="E76" s="234">
        <v>9.1440197991528249E-2</v>
      </c>
      <c r="F76" s="234">
        <v>8.0935566199349718E-2</v>
      </c>
      <c r="G76" s="17" t="s">
        <v>124</v>
      </c>
      <c r="H76" s="234">
        <v>8.0935566199349718E-2</v>
      </c>
      <c r="I76" s="12">
        <f t="shared" si="0"/>
        <v>8.6187882095438983E-2</v>
      </c>
      <c r="L76" s="97"/>
      <c r="M76" s="97"/>
      <c r="N76" s="97"/>
      <c r="O76" s="17"/>
    </row>
    <row r="77" spans="1:15">
      <c r="A77" s="17" t="s">
        <v>9</v>
      </c>
      <c r="B77" s="233">
        <v>0.19588392063962101</v>
      </c>
      <c r="C77" s="233">
        <v>0.27386405843753869</v>
      </c>
      <c r="D77" s="17" t="s">
        <v>9</v>
      </c>
      <c r="E77" s="234">
        <v>6.1211984198753032E-2</v>
      </c>
      <c r="F77" s="234">
        <v>5.647659336433241E-2</v>
      </c>
      <c r="G77" s="17" t="s">
        <v>9</v>
      </c>
      <c r="H77" s="234">
        <v>5.647659336433241E-2</v>
      </c>
      <c r="I77" s="12">
        <f t="shared" si="0"/>
        <v>5.8844288781542721E-2</v>
      </c>
      <c r="L77" s="97"/>
      <c r="M77" s="97"/>
      <c r="N77" s="97"/>
      <c r="O77" s="17"/>
    </row>
    <row r="78" spans="1:15">
      <c r="A78" s="17" t="s">
        <v>10</v>
      </c>
      <c r="B78" s="233">
        <v>1.4682747771368687E-2</v>
      </c>
      <c r="C78" s="233">
        <v>0.10180878552971584</v>
      </c>
      <c r="D78" s="17" t="s">
        <v>10</v>
      </c>
      <c r="E78" s="234">
        <v>5.0735329113321591E-2</v>
      </c>
      <c r="F78" s="234">
        <v>5.4120197182113763E-2</v>
      </c>
      <c r="G78" s="17" t="s">
        <v>10</v>
      </c>
      <c r="H78" s="234">
        <v>5.4120197182113763E-2</v>
      </c>
      <c r="I78" s="12">
        <f t="shared" si="0"/>
        <v>5.2427763147717674E-2</v>
      </c>
      <c r="L78" s="97"/>
      <c r="M78" s="97"/>
      <c r="N78" s="97"/>
      <c r="O78" s="17"/>
    </row>
    <row r="79" spans="1:15" ht="16" thickBot="1">
      <c r="A79" s="17" t="s">
        <v>11</v>
      </c>
      <c r="B79" s="233">
        <v>5.9392945036915501E-2</v>
      </c>
      <c r="C79" s="233">
        <v>5.1726808115223788E-2</v>
      </c>
      <c r="D79" s="17" t="s">
        <v>11</v>
      </c>
      <c r="E79" s="234">
        <v>4.0401456379991436E-2</v>
      </c>
      <c r="F79" s="234">
        <v>4.5149110233192326E-2</v>
      </c>
      <c r="G79" s="17" t="s">
        <v>11</v>
      </c>
      <c r="H79" s="234">
        <v>4.5149110233192326E-2</v>
      </c>
      <c r="I79" s="12">
        <f t="shared" si="0"/>
        <v>4.2775283306591881E-2</v>
      </c>
      <c r="L79" s="305"/>
      <c r="M79" s="305"/>
      <c r="N79" s="305"/>
      <c r="O79" s="17"/>
    </row>
    <row r="80" spans="1:15">
      <c r="A80" s="17" t="s">
        <v>5</v>
      </c>
      <c r="B80" s="233">
        <v>4.6538210320052231E-2</v>
      </c>
      <c r="C80" s="233">
        <v>8.3320330784833807E-2</v>
      </c>
      <c r="D80" s="17" t="s">
        <v>5</v>
      </c>
      <c r="E80" s="234">
        <v>4.1305744609966208E-2</v>
      </c>
      <c r="F80" s="234">
        <v>4.4813481103380765E-2</v>
      </c>
      <c r="G80" s="17" t="s">
        <v>5</v>
      </c>
      <c r="H80" s="234">
        <v>4.4813481103380765E-2</v>
      </c>
      <c r="I80" s="12">
        <f t="shared" si="0"/>
        <v>4.3059612856673486E-2</v>
      </c>
      <c r="J80" s="7"/>
      <c r="K80" s="119"/>
    </row>
    <row r="81" spans="1:14">
      <c r="A81" s="17" t="s">
        <v>12</v>
      </c>
      <c r="B81" s="233">
        <v>0.22736156351791537</v>
      </c>
      <c r="C81" s="233">
        <v>0.18869426751592355</v>
      </c>
      <c r="D81" s="17" t="s">
        <v>12</v>
      </c>
      <c r="E81" s="234">
        <v>2.6646756460901432E-2</v>
      </c>
      <c r="F81" s="234">
        <v>2.6346886690207322E-2</v>
      </c>
      <c r="G81" s="17" t="s">
        <v>12</v>
      </c>
      <c r="H81" s="234">
        <v>2.6346886690207322E-2</v>
      </c>
      <c r="I81" s="12">
        <f t="shared" si="0"/>
        <v>2.6496821575554379E-2</v>
      </c>
    </row>
    <row r="83" spans="1:14">
      <c r="I83" s="228"/>
      <c r="J83" s="228"/>
      <c r="K83" s="67"/>
      <c r="L83" s="228"/>
      <c r="M83" s="228"/>
    </row>
    <row r="84" spans="1:14">
      <c r="I84" s="228"/>
      <c r="J84" s="228"/>
      <c r="K84" s="67"/>
      <c r="L84" s="228"/>
      <c r="M84" s="228"/>
    </row>
    <row r="85" spans="1:14">
      <c r="A85" s="24"/>
      <c r="B85" s="24"/>
      <c r="C85" s="24"/>
      <c r="I85" s="228"/>
      <c r="J85" s="228"/>
      <c r="K85" s="67"/>
      <c r="L85" s="228"/>
      <c r="M85" s="228"/>
    </row>
    <row r="86" spans="1:14" ht="32">
      <c r="A86" s="15" t="s">
        <v>125</v>
      </c>
      <c r="B86" s="231" t="s">
        <v>6</v>
      </c>
      <c r="C86" s="17" t="s">
        <v>7</v>
      </c>
      <c r="D86" s="17" t="s">
        <v>8</v>
      </c>
      <c r="E86" s="17" t="s">
        <v>124</v>
      </c>
      <c r="F86" s="17" t="s">
        <v>9</v>
      </c>
      <c r="G86" s="17" t="s">
        <v>10</v>
      </c>
      <c r="H86" s="17" t="s">
        <v>11</v>
      </c>
      <c r="I86" s="17" t="s">
        <v>5</v>
      </c>
      <c r="J86" s="17" t="s">
        <v>12</v>
      </c>
      <c r="K86" s="67" t="s">
        <v>186</v>
      </c>
      <c r="L86" s="306" t="s">
        <v>15</v>
      </c>
      <c r="M86" s="307" t="s">
        <v>13</v>
      </c>
      <c r="N86" s="307" t="s">
        <v>24</v>
      </c>
    </row>
    <row r="87" spans="1:14">
      <c r="A87">
        <v>2019</v>
      </c>
      <c r="B87" s="97">
        <v>32622</v>
      </c>
      <c r="C87" s="97">
        <v>31769</v>
      </c>
      <c r="D87" s="97">
        <v>20395</v>
      </c>
      <c r="E87" s="97">
        <v>11386</v>
      </c>
      <c r="F87" s="97">
        <v>6754</v>
      </c>
      <c r="G87" s="97">
        <v>7628</v>
      </c>
      <c r="H87" s="97">
        <v>6095</v>
      </c>
      <c r="I87" s="97">
        <v>6124</v>
      </c>
      <c r="J87" s="305">
        <v>3070</v>
      </c>
      <c r="K87" s="308">
        <f>SUM(B87:J87)</f>
        <v>125843</v>
      </c>
      <c r="L87" s="306">
        <v>58056</v>
      </c>
      <c r="M87" s="58">
        <v>82933</v>
      </c>
      <c r="N87" s="58">
        <v>46374</v>
      </c>
    </row>
    <row r="88" spans="1:14">
      <c r="A88">
        <v>2020</v>
      </c>
      <c r="B88" s="97">
        <v>41379</v>
      </c>
      <c r="C88" s="97">
        <v>35316</v>
      </c>
      <c r="D88" s="97">
        <v>22294</v>
      </c>
      <c r="E88" s="97">
        <v>11575</v>
      </c>
      <c r="F88" s="97">
        <v>8077</v>
      </c>
      <c r="G88" s="97">
        <v>7740</v>
      </c>
      <c r="H88" s="97">
        <v>6457</v>
      </c>
      <c r="I88" s="97">
        <v>6409</v>
      </c>
      <c r="J88" s="305">
        <v>3768</v>
      </c>
      <c r="K88" s="308">
        <f t="shared" ref="K88:K89" si="1">SUM(B88:J88)</f>
        <v>143015</v>
      </c>
      <c r="L88" s="306">
        <v>68423</v>
      </c>
      <c r="M88" s="320">
        <v>96937</v>
      </c>
      <c r="N88" s="320">
        <v>55627</v>
      </c>
    </row>
    <row r="89" spans="1:14">
      <c r="A89">
        <v>2021</v>
      </c>
      <c r="B89" s="97">
        <v>52589</v>
      </c>
      <c r="C89" s="97">
        <v>39872</v>
      </c>
      <c r="D89" s="97">
        <v>23227</v>
      </c>
      <c r="E89" s="97">
        <v>15370</v>
      </c>
      <c r="F89" s="97">
        <v>10289</v>
      </c>
      <c r="G89" s="97">
        <v>8528</v>
      </c>
      <c r="H89" s="97">
        <v>6791</v>
      </c>
      <c r="I89" s="97">
        <v>6943</v>
      </c>
      <c r="J89" s="305">
        <v>4479</v>
      </c>
      <c r="K89" s="308">
        <f t="shared" si="1"/>
        <v>168088</v>
      </c>
      <c r="L89" s="306">
        <v>85119</v>
      </c>
      <c r="M89" s="158">
        <v>115856</v>
      </c>
      <c r="N89" s="158">
        <v>73433</v>
      </c>
    </row>
    <row r="90" spans="1:14">
      <c r="A90">
        <v>2022</v>
      </c>
      <c r="B90" s="252">
        <f>$I$73*K90</f>
        <v>58237.805747349092</v>
      </c>
      <c r="C90" s="252">
        <f>$I$74*K90</f>
        <v>46821.269711005683</v>
      </c>
      <c r="D90" s="252">
        <f>$I$75*K90</f>
        <v>28439.016024305864</v>
      </c>
      <c r="E90" s="252">
        <f>$I$76*K90</f>
        <v>16670.209507132036</v>
      </c>
      <c r="F90" s="252">
        <f>$I$77*K90</f>
        <v>11381.491207780909</v>
      </c>
      <c r="G90" s="252">
        <f>$I$78*K90</f>
        <v>10140.42547994111</v>
      </c>
      <c r="H90" s="252">
        <f>$I$79*K90</f>
        <v>8273.4708999833947</v>
      </c>
      <c r="I90" s="252">
        <f>$I$80*K90</f>
        <v>8328.4650946856182</v>
      </c>
      <c r="J90" s="252">
        <f>$I$81*K90</f>
        <v>5124.9381722649705</v>
      </c>
      <c r="K90" s="24">
        <v>193417.09184444867</v>
      </c>
      <c r="L90" s="306">
        <v>97480.838549605367</v>
      </c>
      <c r="M90" s="321">
        <v>130626.65711512038</v>
      </c>
      <c r="N90" s="321">
        <v>77336.647388106154</v>
      </c>
    </row>
    <row r="91" spans="1:14">
      <c r="A91">
        <v>2023</v>
      </c>
      <c r="B91" s="252">
        <f t="shared" ref="B91:B92" si="2">$I$73*K91</f>
        <v>67316.293944642472</v>
      </c>
      <c r="C91" s="252">
        <f t="shared" ref="C91:C92" si="3">$I$74*K91</f>
        <v>54120.073967088145</v>
      </c>
      <c r="D91" s="252">
        <f t="shared" ref="D91:D92" si="4">$I$75*K91</f>
        <v>32872.274935868649</v>
      </c>
      <c r="E91" s="252">
        <f t="shared" ref="E91:E92" si="5">$I$76*K91</f>
        <v>19268.870262199973</v>
      </c>
      <c r="F91" s="252">
        <f t="shared" ref="F91:F92" si="6">$I$77*K91</f>
        <v>13155.712133028263</v>
      </c>
      <c r="G91" s="252">
        <f t="shared" ref="G91:G92" si="7">$I$78*K91</f>
        <v>11721.181002128154</v>
      </c>
      <c r="H91" s="252">
        <f t="shared" ref="H91:H92" si="8">$I$79*K91</f>
        <v>9563.1933912805252</v>
      </c>
      <c r="I91" s="252">
        <f t="shared" ref="I91:I92" si="9">$I$80*K91</f>
        <v>9626.7604389794742</v>
      </c>
      <c r="J91" s="252">
        <f t="shared" ref="J91:J92" si="10">$I$81*K91</f>
        <v>5923.8468899218624</v>
      </c>
      <c r="K91" s="24">
        <v>223568.20696513751</v>
      </c>
      <c r="L91" s="306">
        <v>119525.26342835472</v>
      </c>
      <c r="M91" s="319">
        <v>152816.47386922268</v>
      </c>
      <c r="N91" s="319">
        <v>94002.009105429592</v>
      </c>
    </row>
    <row r="92" spans="1:14">
      <c r="A92">
        <v>2024</v>
      </c>
      <c r="B92" s="252">
        <f t="shared" si="2"/>
        <v>79118.003122519061</v>
      </c>
      <c r="C92" s="252">
        <f t="shared" si="3"/>
        <v>63608.257825961693</v>
      </c>
      <c r="D92" s="252">
        <f t="shared" si="4"/>
        <v>38635.352581339648</v>
      </c>
      <c r="E92" s="252">
        <f t="shared" si="5"/>
        <v>22647.036077562974</v>
      </c>
      <c r="F92" s="252">
        <f t="shared" si="6"/>
        <v>15462.135727136694</v>
      </c>
      <c r="G92" s="252">
        <f t="shared" si="7"/>
        <v>13776.106508308339</v>
      </c>
      <c r="H92" s="252">
        <f t="shared" si="8"/>
        <v>11239.786391312526</v>
      </c>
      <c r="I92" s="252">
        <f t="shared" si="9"/>
        <v>11314.497840556458</v>
      </c>
      <c r="J92" s="252">
        <f t="shared" si="10"/>
        <v>6962.3995806956327</v>
      </c>
      <c r="K92" s="24">
        <v>262763.57565539301</v>
      </c>
      <c r="L92" s="306">
        <v>149691.10161623926</v>
      </c>
      <c r="M92" s="319">
        <v>181111.89865505695</v>
      </c>
      <c r="N92" s="319">
        <v>117352.42363160114</v>
      </c>
    </row>
    <row r="93" spans="1:14">
      <c r="H93" s="9"/>
    </row>
    <row r="96" spans="1:14">
      <c r="G96" s="236"/>
    </row>
    <row r="97" spans="2:7">
      <c r="G97" s="236"/>
    </row>
    <row r="98" spans="2:7">
      <c r="G98" s="67"/>
    </row>
    <row r="100" spans="2:7">
      <c r="G100" s="236"/>
    </row>
    <row r="112" spans="2:7">
      <c r="B112" s="22" t="s">
        <v>129</v>
      </c>
      <c r="C112" s="22" t="s">
        <v>130</v>
      </c>
      <c r="D112" s="21"/>
      <c r="E112" s="21"/>
      <c r="F112" s="21"/>
    </row>
    <row r="113" spans="1:6">
      <c r="D113" s="31">
        <f>'P&amp;L Model'!C42+('Balance Sheet Model'!C13-'P&amp;L Model'!C38)</f>
        <v>211613</v>
      </c>
      <c r="E113" s="31">
        <f>'P&amp;L Model'!D42+('Balance Sheet Model'!D13-'P&amp;L Model'!D38)</f>
        <v>219174</v>
      </c>
      <c r="F113" s="31">
        <f>'P&amp;L Model'!E42+('Balance Sheet Model'!E13-'P&amp;L Model'!E38)</f>
        <v>238970</v>
      </c>
    </row>
    <row r="114" spans="1:6">
      <c r="A114">
        <v>2019</v>
      </c>
      <c r="B114" s="229">
        <f>'P&amp;L Model'!C5/'Ratio Calculations'!D113</f>
        <v>0.59468463657714787</v>
      </c>
      <c r="D114" s="36" t="s">
        <v>131</v>
      </c>
      <c r="E114" s="36" t="s">
        <v>132</v>
      </c>
      <c r="F114" s="36" t="s">
        <v>133</v>
      </c>
    </row>
    <row r="115" spans="1:6">
      <c r="A115">
        <v>2020</v>
      </c>
      <c r="B115" s="229">
        <f>'P&amp;L Model'!D5/'Ratio Calculations'!E113</f>
        <v>0.65251809064943833</v>
      </c>
    </row>
    <row r="116" spans="1:6">
      <c r="A116">
        <v>2021</v>
      </c>
      <c r="B116" s="229">
        <f>'P&amp;L Model'!E5/'Ratio Calculations'!F113</f>
        <v>0.7033853621793531</v>
      </c>
    </row>
    <row r="122" spans="1:6">
      <c r="A122" s="22" t="s">
        <v>146</v>
      </c>
      <c r="B122" s="21"/>
    </row>
    <row r="123" spans="1:6">
      <c r="B123" s="23">
        <v>2019</v>
      </c>
      <c r="C123" s="230">
        <f>('P&amp;L Model'!C12-'P&amp;L Model'!C47)/'Balance Sheet Model'!C17</f>
        <v>0.38342708304469508</v>
      </c>
    </row>
    <row r="124" spans="1:6">
      <c r="B124" s="23">
        <v>2020</v>
      </c>
      <c r="C124" s="230">
        <f>('P&amp;L Model'!D12-'P&amp;L Model'!D47)/'Balance Sheet Model'!D17</f>
        <v>0.55516604292008154</v>
      </c>
    </row>
    <row r="125" spans="1:6">
      <c r="B125" s="23">
        <v>2021</v>
      </c>
      <c r="C125" s="230">
        <f>('P&amp;L Model'!E12-'P&amp;L Model'!E47)/'Balance Sheet Model'!E17</f>
        <v>0.7942592783682455</v>
      </c>
    </row>
    <row r="127" spans="1:6">
      <c r="F127" s="246"/>
    </row>
    <row r="139" spans="1:8">
      <c r="A139" s="46" t="s">
        <v>189</v>
      </c>
      <c r="B139" s="46">
        <v>2019</v>
      </c>
      <c r="C139" s="46">
        <v>2020</v>
      </c>
      <c r="D139" s="46">
        <v>2021</v>
      </c>
      <c r="E139" s="46">
        <v>2022</v>
      </c>
      <c r="F139" s="46">
        <v>2023</v>
      </c>
      <c r="G139" s="46">
        <v>2024</v>
      </c>
    </row>
    <row r="140" spans="1:8" ht="64">
      <c r="A140" s="326" t="s">
        <v>6</v>
      </c>
      <c r="B140" s="327">
        <v>32622</v>
      </c>
      <c r="C140" s="327">
        <v>41379</v>
      </c>
      <c r="D140" s="327">
        <v>52589</v>
      </c>
      <c r="E140" s="317">
        <f>$I$73*E149</f>
        <v>58237.805747349092</v>
      </c>
      <c r="F140" s="317">
        <f>$I$73*F149</f>
        <v>67316.293944642472</v>
      </c>
      <c r="G140" s="317">
        <f>$I$73*G149</f>
        <v>79118.003122519061</v>
      </c>
    </row>
    <row r="141" spans="1:8">
      <c r="A141" s="328" t="s">
        <v>7</v>
      </c>
      <c r="B141" s="327">
        <v>31769</v>
      </c>
      <c r="C141" s="327">
        <v>35316</v>
      </c>
      <c r="D141" s="327">
        <v>39872</v>
      </c>
      <c r="E141" s="317">
        <f>$I$74*E149</f>
        <v>46821.269711005683</v>
      </c>
      <c r="F141" s="317">
        <f>$I$74*F149</f>
        <v>54120.073967088145</v>
      </c>
      <c r="G141" s="317">
        <f>$I$74*G149</f>
        <v>63608.257825961693</v>
      </c>
      <c r="H141" s="246"/>
    </row>
    <row r="142" spans="1:8">
      <c r="A142" s="328" t="s">
        <v>8</v>
      </c>
      <c r="B142" s="327">
        <v>20395</v>
      </c>
      <c r="C142" s="327">
        <v>22294</v>
      </c>
      <c r="D142" s="327">
        <v>23227</v>
      </c>
      <c r="E142" s="317">
        <f>$I$75*E149</f>
        <v>28439.016024305864</v>
      </c>
      <c r="F142" s="317">
        <f>$I$75*F149</f>
        <v>32872.274935868649</v>
      </c>
      <c r="G142" s="317">
        <f>$I$75*G149</f>
        <v>38635.352581339648</v>
      </c>
    </row>
    <row r="143" spans="1:8">
      <c r="A143" s="328" t="s">
        <v>124</v>
      </c>
      <c r="B143" s="327">
        <v>11386</v>
      </c>
      <c r="C143" s="327">
        <v>11575</v>
      </c>
      <c r="D143" s="327">
        <v>15370</v>
      </c>
      <c r="E143" s="317">
        <f>$I$76*E149</f>
        <v>16670.209507132036</v>
      </c>
      <c r="F143" s="317">
        <f>$I$76*F149</f>
        <v>19268.870262199973</v>
      </c>
      <c r="G143" s="317">
        <f>$I$76*G149</f>
        <v>22647.036077562974</v>
      </c>
    </row>
    <row r="144" spans="1:8">
      <c r="A144" s="328" t="s">
        <v>9</v>
      </c>
      <c r="B144" s="327">
        <v>6754</v>
      </c>
      <c r="C144" s="327">
        <v>8077</v>
      </c>
      <c r="D144" s="327">
        <v>10289</v>
      </c>
      <c r="E144" s="317">
        <f>$I$77*E149</f>
        <v>11381.491207780909</v>
      </c>
      <c r="F144" s="317">
        <f>$I$77*F149</f>
        <v>13155.712133028263</v>
      </c>
      <c r="G144" s="317">
        <f>$I$77*G149</f>
        <v>15462.135727136694</v>
      </c>
    </row>
    <row r="145" spans="1:7">
      <c r="A145" s="328" t="s">
        <v>10</v>
      </c>
      <c r="B145" s="327">
        <v>7628</v>
      </c>
      <c r="C145" s="327">
        <v>7740</v>
      </c>
      <c r="D145" s="327">
        <v>8528</v>
      </c>
      <c r="E145" s="317">
        <f>$I$78*E149</f>
        <v>10140.42547994111</v>
      </c>
      <c r="F145" s="317">
        <f>$I$78*F149</f>
        <v>11721.181002128154</v>
      </c>
      <c r="G145" s="317">
        <f>$I$78*G149</f>
        <v>13776.106508308339</v>
      </c>
    </row>
    <row r="146" spans="1:7">
      <c r="A146" s="328" t="s">
        <v>11</v>
      </c>
      <c r="B146" s="327">
        <v>6095</v>
      </c>
      <c r="C146" s="327">
        <v>6457</v>
      </c>
      <c r="D146" s="327">
        <v>6791</v>
      </c>
      <c r="E146" s="317">
        <f>$I$79*E149</f>
        <v>8273.4708999833947</v>
      </c>
      <c r="F146" s="317">
        <f>$I$79*F149</f>
        <v>9563.1933912805252</v>
      </c>
      <c r="G146" s="317">
        <f>$I$79*G149</f>
        <v>11239.786391312526</v>
      </c>
    </row>
    <row r="147" spans="1:7">
      <c r="A147" s="328" t="s">
        <v>5</v>
      </c>
      <c r="B147" s="327">
        <v>6124</v>
      </c>
      <c r="C147" s="327">
        <v>6409</v>
      </c>
      <c r="D147" s="327">
        <v>6943</v>
      </c>
      <c r="E147" s="317">
        <f>$I$80*E149</f>
        <v>8328.4650946856182</v>
      </c>
      <c r="F147" s="317">
        <f>$I$80*F149</f>
        <v>9626.7604389794742</v>
      </c>
      <c r="G147" s="317">
        <f>$I$80*G149</f>
        <v>11314.497840556458</v>
      </c>
    </row>
    <row r="148" spans="1:7">
      <c r="A148" s="328" t="s">
        <v>12</v>
      </c>
      <c r="B148" s="329">
        <v>3070</v>
      </c>
      <c r="C148" s="329">
        <v>3768</v>
      </c>
      <c r="D148" s="329">
        <v>4479</v>
      </c>
      <c r="E148" s="317">
        <f>$I$81*E149</f>
        <v>5124.9381722649705</v>
      </c>
      <c r="F148" s="317">
        <f>$I$81*F149</f>
        <v>5923.8468899218624</v>
      </c>
      <c r="G148" s="317">
        <f>$I$81*G149</f>
        <v>6962.3995806956327</v>
      </c>
    </row>
    <row r="149" spans="1:7">
      <c r="A149" s="330" t="s">
        <v>186</v>
      </c>
      <c r="B149" s="331">
        <f>SUM(B140:B148)</f>
        <v>125843</v>
      </c>
      <c r="C149" s="331">
        <f>SUM(C140:C148)</f>
        <v>143015</v>
      </c>
      <c r="D149" s="331">
        <f>SUM(D140:D148)</f>
        <v>168088</v>
      </c>
      <c r="E149" s="322">
        <v>193417.09184444867</v>
      </c>
      <c r="F149" s="322">
        <v>223568.20696513751</v>
      </c>
      <c r="G149" s="322">
        <v>262763.57565539301</v>
      </c>
    </row>
    <row r="150" spans="1:7">
      <c r="A150" s="332" t="s">
        <v>15</v>
      </c>
      <c r="B150" s="332">
        <v>58056</v>
      </c>
      <c r="C150" s="332">
        <v>68423</v>
      </c>
      <c r="D150" s="332">
        <v>85119</v>
      </c>
      <c r="E150" s="332">
        <v>97480.838549605367</v>
      </c>
      <c r="F150" s="332">
        <v>119525.26342835472</v>
      </c>
      <c r="G150" s="332">
        <v>149691.10161623926</v>
      </c>
    </row>
    <row r="151" spans="1:7">
      <c r="A151" s="46" t="s">
        <v>13</v>
      </c>
      <c r="B151" s="322">
        <v>82933</v>
      </c>
      <c r="C151" s="323">
        <v>96937</v>
      </c>
      <c r="D151" s="324">
        <v>115856</v>
      </c>
      <c r="E151" s="325">
        <v>130626.65711512038</v>
      </c>
      <c r="F151" s="222">
        <v>152816.47386922268</v>
      </c>
      <c r="G151" s="222">
        <v>181111.89865505695</v>
      </c>
    </row>
    <row r="152" spans="1:7">
      <c r="A152" s="46" t="s">
        <v>24</v>
      </c>
      <c r="B152" s="322">
        <v>46374</v>
      </c>
      <c r="C152" s="323">
        <v>55627</v>
      </c>
      <c r="D152" s="324">
        <v>73433</v>
      </c>
      <c r="E152" s="325">
        <v>77336.647388106154</v>
      </c>
      <c r="F152" s="222">
        <v>94002.009105429592</v>
      </c>
      <c r="G152" s="222">
        <v>117352.42363160114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xr2:uid="{84391778-1C19-E649-8DD4-DF7BD5C6389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Calculations'!C27:E27</xm:f>
              <xm:sqref>F27</xm:sqref>
            </x14:sparkline>
          </x14:sparklines>
        </x14:sparklineGroup>
        <x14:sparklineGroup manualMax="0" manualMin="0" displayEmptyCellsAs="gap" xr2:uid="{53D096EA-C59B-9C43-8B2A-E314AE4566F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Calculations'!C39:E39</xm:f>
              <xm:sqref>F39</xm:sqref>
            </x14:sparkline>
          </x14:sparklines>
        </x14:sparklineGroup>
        <x14:sparklineGroup manualMax="0" manualMin="0" displayEmptyCellsAs="gap" xr2:uid="{97379394-21E3-6C47-8E84-4D30B208726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'Ratio Calculations'!C33:E33</xm:f>
              <xm:sqref>F33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Map</vt:lpstr>
      <vt:lpstr>Dashboard</vt:lpstr>
      <vt:lpstr>P&amp;L Model</vt:lpstr>
      <vt:lpstr>Balance Sheet Model</vt:lpstr>
      <vt:lpstr>Cash Flow Model</vt:lpstr>
      <vt:lpstr>Liability and Equity Sched.</vt:lpstr>
      <vt:lpstr>DCF</vt:lpstr>
      <vt:lpstr>Pivot Tables for Dashboard</vt:lpstr>
      <vt:lpstr>Ratio 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(pg) Anirudh Srinivas</cp:lastModifiedBy>
  <dcterms:created xsi:type="dcterms:W3CDTF">2021-07-29T20:21:15Z</dcterms:created>
  <dcterms:modified xsi:type="dcterms:W3CDTF">2021-11-17T20:46:00Z</dcterms:modified>
</cp:coreProperties>
</file>