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B60D138-4918-6A4B-B5E1-39AC4D79540E}" xr6:coauthVersionLast="47" xr6:coauthVersionMax="47" xr10:uidLastSave="{00000000-0000-0000-0000-000000000000}"/>
  <bookViews>
    <workbookView xWindow="0" yWindow="0" windowWidth="28800" windowHeight="18000" activeTab="4" xr2:uid="{75AEE06B-FEDC-B24F-B661-99D965A3190F}"/>
  </bookViews>
  <sheets>
    <sheet name="P&amp;L Model" sheetId="1" r:id="rId1"/>
    <sheet name="Balance Sheet Model" sheetId="2" r:id="rId2"/>
    <sheet name="Cash Flow Model" sheetId="3" r:id="rId3"/>
    <sheet name="DCF" sheetId="4" r:id="rId4"/>
    <sheet name="Dashboard" sheetId="20" r:id="rId5"/>
    <sheet name="Key Metrics" sheetId="15" r:id="rId6"/>
    <sheet name="Pivot Tables" sheetId="19" r:id="rId7"/>
    <sheet name="Tableau Data" sheetId="16" r:id="rId8"/>
  </sheets>
  <externalReferences>
    <externalReference r:id="rId9"/>
  </externalReferences>
  <definedNames>
    <definedName name="_xlchart.v1.0" hidden="1">'Pivot Tables'!#REF!</definedName>
    <definedName name="_xlchart.v1.1" hidden="1">'Pivot Tables'!#REF!</definedName>
    <definedName name="_xlchart.v1.10" hidden="1">'Pivot Tables'!$B$48</definedName>
    <definedName name="_xlchart.v1.11" hidden="1">'Pivot Tables'!$B$49:$B$57</definedName>
    <definedName name="_xlchart.v1.12" hidden="1">'Pivot Tables'!$D$48</definedName>
    <definedName name="_xlchart.v1.13" hidden="1">'Pivot Tables'!$D$49:$D$57</definedName>
    <definedName name="_xlchart.v1.14" hidden="1">'Pivot Tables'!#REF!</definedName>
    <definedName name="_xlchart.v1.15" hidden="1">'Pivot Tables'!#REF!</definedName>
    <definedName name="_xlchart.v1.16" hidden="1">'Pivot Tables'!$A$49:$A$57</definedName>
    <definedName name="_xlchart.v1.17" hidden="1">'Pivot Tables'!$B$48</definedName>
    <definedName name="_xlchart.v1.18" hidden="1">'Pivot Tables'!$B$49:$B$57</definedName>
    <definedName name="_xlchart.v1.19" hidden="1">'Pivot Tables'!$D$48</definedName>
    <definedName name="_xlchart.v1.2" hidden="1">'Pivot Tables'!$A$49:$A$57</definedName>
    <definedName name="_xlchart.v1.20" hidden="1">'Pivot Tables'!$D$49:$D$57</definedName>
    <definedName name="_xlchart.v1.21" hidden="1">'Pivot Tables'!$A$48</definedName>
    <definedName name="_xlchart.v1.22" hidden="1">'Pivot Tables'!$A$49:$A$56</definedName>
    <definedName name="_xlchart.v1.23" hidden="1">'Pivot Tables'!$B$48</definedName>
    <definedName name="_xlchart.v1.24" hidden="1">'Pivot Tables'!$B$49:$B$56</definedName>
    <definedName name="_xlchart.v1.25" hidden="1">'Pivot Tables'!$C$48</definedName>
    <definedName name="_xlchart.v1.26" hidden="1">'Pivot Tables'!$C$49:$C$56</definedName>
    <definedName name="_xlchart.v1.27" hidden="1">'Pivot Tables'!$D$48</definedName>
    <definedName name="_xlchart.v1.28" hidden="1">'Pivot Tables'!$D$49:$D$56</definedName>
    <definedName name="_xlchart.v1.29" hidden="1">'Pivot Tables'!$A$103:$A$112</definedName>
    <definedName name="_xlchart.v1.3" hidden="1">'Pivot Tables'!$B$48</definedName>
    <definedName name="_xlchart.v1.30" hidden="1">'Pivot Tables'!$B$103:$B$112</definedName>
    <definedName name="_xlchart.v1.31" hidden="1">'Pivot Tables'!$C$103:$C$112</definedName>
    <definedName name="_xlchart.v1.32" hidden="1">'Pivot Tables'!$D$103:$D$112</definedName>
    <definedName name="_xlchart.v1.33" hidden="1">'Pivot Tables'!$E$103:$E$112</definedName>
    <definedName name="_xlchart.v1.34" hidden="1">'Pivot Tables'!$F$103:$F$112</definedName>
    <definedName name="_xlchart.v1.35" hidden="1">'Pivot Tables'!$G$103:$G$112</definedName>
    <definedName name="_xlchart.v1.36" hidden="1">'Pivot Tables'!$H$103:$H$112</definedName>
    <definedName name="_xlchart.v1.37" hidden="1">'Pivot Tables'!$I$103:$I$112</definedName>
    <definedName name="_xlchart.v1.38" hidden="1">'Pivot Tables'!$A$103:$A$112</definedName>
    <definedName name="_xlchart.v1.39" hidden="1">'Pivot Tables'!$B$103:$B$112</definedName>
    <definedName name="_xlchart.v1.4" hidden="1">'Pivot Tables'!$B$49:$B$57</definedName>
    <definedName name="_xlchart.v1.40" hidden="1">'Pivot Tables'!$C$103:$C$112</definedName>
    <definedName name="_xlchart.v1.41" hidden="1">'Pivot Tables'!$D$103:$D$112</definedName>
    <definedName name="_xlchart.v1.42" hidden="1">'Pivot Tables'!$E$103:$E$112</definedName>
    <definedName name="_xlchart.v1.43" hidden="1">'Pivot Tables'!$F$103:$F$112</definedName>
    <definedName name="_xlchart.v1.44" hidden="1">'Pivot Tables'!$G$103:$G$112</definedName>
    <definedName name="_xlchart.v1.45" hidden="1">'Pivot Tables'!$H$103:$H$112</definedName>
    <definedName name="_xlchart.v1.46" hidden="1">'Pivot Tables'!$I$103:$I$112</definedName>
    <definedName name="_xlchart.v1.47" hidden="1">'Pivot Tables'!$A$103:$A$112</definedName>
    <definedName name="_xlchart.v1.48" hidden="1">'Pivot Tables'!$B$103:$B$112</definedName>
    <definedName name="_xlchart.v1.49" hidden="1">'Pivot Tables'!$C$103:$C$112</definedName>
    <definedName name="_xlchart.v1.5" hidden="1">'Pivot Tables'!$D$48</definedName>
    <definedName name="_xlchart.v1.50" hidden="1">'Pivot Tables'!$D$103:$D$112</definedName>
    <definedName name="_xlchart.v1.51" hidden="1">'Pivot Tables'!$E$103:$E$112</definedName>
    <definedName name="_xlchart.v1.52" hidden="1">'Pivot Tables'!$F$103:$F$112</definedName>
    <definedName name="_xlchart.v1.53" hidden="1">'Pivot Tables'!$G$103:$G$112</definedName>
    <definedName name="_xlchart.v1.54" hidden="1">'Pivot Tables'!$H$103:$H$112</definedName>
    <definedName name="_xlchart.v1.55" hidden="1">'Pivot Tables'!$I$103:$I$112</definedName>
    <definedName name="_xlchart.v1.56" hidden="1">'Pivot Tables'!$A$103:$A$112</definedName>
    <definedName name="_xlchart.v1.57" hidden="1">'Pivot Tables'!$B$103:$B$112</definedName>
    <definedName name="_xlchart.v1.58" hidden="1">'Pivot Tables'!$C$103:$C$112</definedName>
    <definedName name="_xlchart.v1.59" hidden="1">'Pivot Tables'!$D$103:$D$112</definedName>
    <definedName name="_xlchart.v1.6" hidden="1">'Pivot Tables'!$D$49:$D$57</definedName>
    <definedName name="_xlchart.v1.60" hidden="1">'Pivot Tables'!$E$103:$E$112</definedName>
    <definedName name="_xlchart.v1.61" hidden="1">'Pivot Tables'!$F$103:$F$112</definedName>
    <definedName name="_xlchart.v1.62" hidden="1">'Pivot Tables'!$G$103:$G$112</definedName>
    <definedName name="_xlchart.v1.63" hidden="1">'Pivot Tables'!$H$103:$H$112</definedName>
    <definedName name="_xlchart.v1.64" hidden="1">'Pivot Tables'!$I$103:$I$112</definedName>
    <definedName name="_xlchart.v1.65" hidden="1">'Pivot Tables'!$P$85</definedName>
    <definedName name="_xlchart.v1.66" hidden="1">'Pivot Tables'!$P$86:$P$93</definedName>
    <definedName name="_xlchart.v1.67" hidden="1">'Pivot Tables'!$Q$85</definedName>
    <definedName name="_xlchart.v1.68" hidden="1">'Pivot Tables'!$Q$86:$Q$93</definedName>
    <definedName name="_xlchart.v1.7" hidden="1">'Pivot Tables'!#REF!</definedName>
    <definedName name="_xlchart.v1.8" hidden="1">'Pivot Tables'!#REF!</definedName>
    <definedName name="_xlchart.v1.9" hidden="1">'Pivot Tables'!$A$49:$A$57</definedName>
    <definedName name="_xlchart.v2.69" hidden="1">'Pivot Tables'!$P$85</definedName>
    <definedName name="_xlchart.v2.70" hidden="1">'Pivot Tables'!$P$86:$P$93</definedName>
    <definedName name="_xlchart.v2.71" hidden="1">'Pivot Tables'!$Q$85</definedName>
    <definedName name="_xlchart.v2.72" hidden="1">'Pivot Tables'!$Q$86:$Q$93</definedName>
  </definedNames>
  <calcPr calcId="191029"/>
  <pivotCaches>
    <pivotCache cacheId="33" r:id="rId10"/>
    <pivotCache cacheId="34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9" l="1"/>
  <c r="C2" i="15"/>
  <c r="F17" i="4"/>
  <c r="D4" i="2"/>
  <c r="K2" i="1"/>
  <c r="D2" i="3"/>
  <c r="C14" i="4"/>
  <c r="Q85" i="19"/>
  <c r="Q86" i="19" s="1"/>
  <c r="O88" i="19"/>
  <c r="O87" i="19"/>
  <c r="O86" i="19"/>
  <c r="N88" i="19"/>
  <c r="N87" i="19"/>
  <c r="N86" i="19"/>
  <c r="M88" i="19"/>
  <c r="M87" i="19"/>
  <c r="M86" i="19"/>
  <c r="L88" i="19"/>
  <c r="L87" i="19"/>
  <c r="L86" i="19"/>
  <c r="K89" i="19"/>
  <c r="K88" i="19"/>
  <c r="K87" i="19"/>
  <c r="K86" i="19"/>
  <c r="D86" i="19"/>
  <c r="L58" i="19"/>
  <c r="N58" i="19" s="1"/>
  <c r="J59" i="19"/>
  <c r="J60" i="19"/>
  <c r="J61" i="19"/>
  <c r="J62" i="19"/>
  <c r="J63" i="19"/>
  <c r="J64" i="19"/>
  <c r="J65" i="19"/>
  <c r="J58" i="19"/>
  <c r="H49" i="19"/>
  <c r="I46" i="19" s="1"/>
  <c r="C24" i="1"/>
  <c r="D48" i="19"/>
  <c r="D90" i="19" s="1"/>
  <c r="K4" i="20"/>
  <c r="E32" i="15"/>
  <c r="E33" i="15"/>
  <c r="E34" i="15"/>
  <c r="E35" i="15"/>
  <c r="E36" i="15"/>
  <c r="E37" i="15"/>
  <c r="E38" i="15"/>
  <c r="E39" i="15"/>
  <c r="E31" i="15"/>
  <c r="D32" i="15"/>
  <c r="D33" i="15"/>
  <c r="D34" i="15"/>
  <c r="D35" i="15"/>
  <c r="D36" i="15"/>
  <c r="D37" i="15"/>
  <c r="D38" i="15"/>
  <c r="D39" i="15"/>
  <c r="D31" i="15"/>
  <c r="C32" i="15"/>
  <c r="C33" i="15"/>
  <c r="C34" i="15"/>
  <c r="F34" i="15" s="1"/>
  <c r="C35" i="15"/>
  <c r="F35" i="15" s="1"/>
  <c r="C36" i="15"/>
  <c r="C37" i="15"/>
  <c r="C38" i="15"/>
  <c r="F38" i="15" s="1"/>
  <c r="C39" i="15"/>
  <c r="F39" i="15" s="1"/>
  <c r="C31" i="15"/>
  <c r="D87" i="19" l="1"/>
  <c r="D49" i="19"/>
  <c r="M58" i="19"/>
  <c r="Q87" i="19"/>
  <c r="Q88" i="19"/>
  <c r="B46" i="19"/>
  <c r="B84" i="19"/>
  <c r="I49" i="19"/>
  <c r="F32" i="15"/>
  <c r="G32" i="15" s="1"/>
  <c r="H32" i="15" s="1"/>
  <c r="F37" i="15"/>
  <c r="F33" i="15"/>
  <c r="G31" i="15"/>
  <c r="H31" i="15" s="1"/>
  <c r="F31" i="15"/>
  <c r="G39" i="15"/>
  <c r="H39" i="15" s="1"/>
  <c r="I39" i="15" s="1"/>
  <c r="J39" i="15" s="1"/>
  <c r="G35" i="15"/>
  <c r="H35" i="15" s="1"/>
  <c r="G34" i="15"/>
  <c r="H34" i="15" s="1"/>
  <c r="G38" i="15"/>
  <c r="H38" i="15" s="1"/>
  <c r="G37" i="15"/>
  <c r="H37" i="15" s="1"/>
  <c r="G33" i="15"/>
  <c r="H33" i="15" s="1"/>
  <c r="F36" i="15"/>
  <c r="L55" i="19"/>
  <c r="O58" i="19"/>
  <c r="D92" i="19"/>
  <c r="D88" i="19"/>
  <c r="D93" i="19"/>
  <c r="D89" i="19"/>
  <c r="D94" i="19"/>
  <c r="D91" i="19"/>
  <c r="D95" i="19"/>
  <c r="P49" i="19"/>
  <c r="Q49" i="19"/>
  <c r="J49" i="19"/>
  <c r="N49" i="19"/>
  <c r="R49" i="19"/>
  <c r="L49" i="19"/>
  <c r="M49" i="19"/>
  <c r="K49" i="19"/>
  <c r="O49" i="19"/>
  <c r="D57" i="19"/>
  <c r="D53" i="19"/>
  <c r="D52" i="19"/>
  <c r="D54" i="19"/>
  <c r="D50" i="19"/>
  <c r="D56" i="19"/>
  <c r="D55" i="19"/>
  <c r="D51" i="19"/>
  <c r="J37" i="15"/>
  <c r="I38" i="15"/>
  <c r="J38" i="15" s="1"/>
  <c r="I37" i="15"/>
  <c r="I35" i="15"/>
  <c r="J35" i="15" s="1"/>
  <c r="I32" i="15"/>
  <c r="J32" i="15" s="1"/>
  <c r="I31" i="15" l="1"/>
  <c r="J31" i="15" s="1"/>
  <c r="I34" i="15"/>
  <c r="J34" i="15" s="1"/>
  <c r="G36" i="15"/>
  <c r="H36" i="15" s="1"/>
  <c r="I33" i="15"/>
  <c r="J33" i="15" s="1"/>
  <c r="I36" i="15" l="1"/>
  <c r="J36" i="15" s="1"/>
  <c r="F5" i="16" l="1"/>
  <c r="F4" i="16"/>
  <c r="F3" i="16"/>
  <c r="D5" i="16"/>
  <c r="D4" i="16"/>
  <c r="I5" i="16"/>
  <c r="I4" i="16"/>
  <c r="H5" i="16"/>
  <c r="H4" i="16"/>
  <c r="I3" i="16"/>
  <c r="H3" i="16"/>
  <c r="C5" i="16"/>
  <c r="C4" i="16"/>
  <c r="C3" i="16"/>
  <c r="D10" i="15"/>
  <c r="H87" i="19" s="1"/>
  <c r="E10" i="15"/>
  <c r="H88" i="19" s="1"/>
  <c r="C10" i="15"/>
  <c r="H86" i="19" s="1"/>
  <c r="F14" i="15"/>
  <c r="D13" i="15"/>
  <c r="E13" i="15"/>
  <c r="E12" i="15" s="1"/>
  <c r="C13" i="15"/>
  <c r="D11" i="15"/>
  <c r="E11" i="15"/>
  <c r="C11" i="15"/>
  <c r="D8" i="15"/>
  <c r="E8" i="15"/>
  <c r="C8" i="15"/>
  <c r="D6" i="15"/>
  <c r="J87" i="19" s="1"/>
  <c r="E6" i="15"/>
  <c r="J88" i="19" s="1"/>
  <c r="C6" i="15"/>
  <c r="J86" i="19" s="1"/>
  <c r="F25" i="4" l="1"/>
  <c r="F23" i="4"/>
  <c r="C25" i="4"/>
  <c r="C24" i="4"/>
  <c r="G12" i="4" s="1"/>
  <c r="C5" i="4"/>
  <c r="C3" i="4" s="1"/>
  <c r="C13" i="4" s="1"/>
  <c r="C21" i="4"/>
  <c r="C11" i="4" s="1"/>
  <c r="G10" i="2"/>
  <c r="H10" i="2" s="1"/>
  <c r="F10" i="2"/>
  <c r="D15" i="3"/>
  <c r="E15" i="3"/>
  <c r="C15" i="3"/>
  <c r="C16" i="3" s="1"/>
  <c r="C11" i="2" s="1"/>
  <c r="D9" i="3"/>
  <c r="D10" i="3" s="1"/>
  <c r="K4" i="16" s="1"/>
  <c r="E9" i="3"/>
  <c r="E10" i="3" s="1"/>
  <c r="K5" i="16" s="1"/>
  <c r="C9" i="3"/>
  <c r="C10" i="3" s="1"/>
  <c r="K3" i="16" s="1"/>
  <c r="D6" i="3"/>
  <c r="D7" i="3" s="1"/>
  <c r="E6" i="3"/>
  <c r="E7" i="3" s="1"/>
  <c r="C6" i="3"/>
  <c r="C7" i="3" s="1"/>
  <c r="F39" i="1"/>
  <c r="G39" i="1" s="1"/>
  <c r="H39" i="1" s="1"/>
  <c r="D38" i="1"/>
  <c r="E38" i="1"/>
  <c r="C38" i="1"/>
  <c r="D32" i="2"/>
  <c r="E32" i="2"/>
  <c r="C32" i="2"/>
  <c r="E57" i="1"/>
  <c r="F55" i="1" s="1"/>
  <c r="D57" i="1"/>
  <c r="E55" i="1" s="1"/>
  <c r="C57" i="1"/>
  <c r="D55" i="1" s="1"/>
  <c r="C55" i="1"/>
  <c r="D51" i="1"/>
  <c r="E51" i="1"/>
  <c r="C51" i="1"/>
  <c r="D47" i="1"/>
  <c r="E44" i="1" s="1"/>
  <c r="E47" i="1"/>
  <c r="F44" i="1" s="1"/>
  <c r="C47" i="1"/>
  <c r="D44" i="1" s="1"/>
  <c r="D45" i="1"/>
  <c r="D49" i="1" s="1"/>
  <c r="E45" i="1"/>
  <c r="E49" i="1" s="1"/>
  <c r="C45" i="1"/>
  <c r="C49" i="1" s="1"/>
  <c r="D31" i="2"/>
  <c r="E30" i="2"/>
  <c r="E31" i="2"/>
  <c r="D30" i="2"/>
  <c r="E29" i="2"/>
  <c r="D29" i="2"/>
  <c r="C29" i="2"/>
  <c r="D25" i="2"/>
  <c r="E25" i="2"/>
  <c r="C25" i="2"/>
  <c r="D22" i="2"/>
  <c r="E22" i="2"/>
  <c r="C22" i="2"/>
  <c r="C19" i="2"/>
  <c r="E19" i="2"/>
  <c r="D19" i="2"/>
  <c r="F9" i="1"/>
  <c r="G9" i="1" s="1"/>
  <c r="G20" i="1"/>
  <c r="C22" i="1" s="1"/>
  <c r="C21" i="1" s="1"/>
  <c r="C19" i="1"/>
  <c r="E19" i="1"/>
  <c r="D19" i="1"/>
  <c r="D14" i="1"/>
  <c r="E14" i="1"/>
  <c r="C14" i="1"/>
  <c r="D11" i="1"/>
  <c r="G4" i="16" s="1"/>
  <c r="E11" i="1"/>
  <c r="G5" i="16" s="1"/>
  <c r="C11" i="1"/>
  <c r="G3" i="16" s="1"/>
  <c r="D30" i="1"/>
  <c r="E30" i="1"/>
  <c r="C30" i="1"/>
  <c r="D25" i="1"/>
  <c r="E25" i="1"/>
  <c r="E7" i="1"/>
  <c r="D7" i="1"/>
  <c r="C6" i="1"/>
  <c r="E4" i="15" l="1"/>
  <c r="E5" i="16"/>
  <c r="C5" i="15"/>
  <c r="G14" i="4"/>
  <c r="C7" i="1"/>
  <c r="D3" i="16"/>
  <c r="C7" i="4"/>
  <c r="C26" i="4" s="1"/>
  <c r="E5" i="15"/>
  <c r="C27" i="4"/>
  <c r="C6" i="4" s="1"/>
  <c r="D4" i="15"/>
  <c r="E4" i="16"/>
  <c r="D5" i="15"/>
  <c r="C37" i="1"/>
  <c r="J3" i="16"/>
  <c r="C12" i="4"/>
  <c r="F7" i="3"/>
  <c r="G7" i="3" s="1"/>
  <c r="D16" i="3"/>
  <c r="E16" i="3" s="1"/>
  <c r="E11" i="2" s="1"/>
  <c r="I10" i="2"/>
  <c r="J10" i="2" s="1"/>
  <c r="G11" i="4" s="1"/>
  <c r="E13" i="3"/>
  <c r="D13" i="3"/>
  <c r="E11" i="3"/>
  <c r="C13" i="3"/>
  <c r="D11" i="3"/>
  <c r="C11" i="3"/>
  <c r="C33" i="1"/>
  <c r="D33" i="1" s="1"/>
  <c r="E33" i="1" s="1"/>
  <c r="F33" i="1" s="1"/>
  <c r="I39" i="1"/>
  <c r="J39" i="1" s="1"/>
  <c r="C31" i="1"/>
  <c r="D31" i="1" s="1"/>
  <c r="E31" i="1" s="1"/>
  <c r="F31" i="1" s="1"/>
  <c r="C33" i="2"/>
  <c r="E33" i="2"/>
  <c r="F22" i="2"/>
  <c r="D33" i="2"/>
  <c r="F32" i="2"/>
  <c r="D22" i="1"/>
  <c r="D21" i="1" s="1"/>
  <c r="C23" i="1"/>
  <c r="D23" i="1" s="1"/>
  <c r="E23" i="1" s="1"/>
  <c r="F23" i="1" s="1"/>
  <c r="F13" i="1"/>
  <c r="H9" i="1"/>
  <c r="I9" i="1" s="1"/>
  <c r="F49" i="1"/>
  <c r="G49" i="1" s="1"/>
  <c r="F51" i="1"/>
  <c r="C30" i="2"/>
  <c r="F30" i="2" s="1"/>
  <c r="C31" i="2"/>
  <c r="F31" i="2" s="1"/>
  <c r="D48" i="1"/>
  <c r="D50" i="1"/>
  <c r="E48" i="1"/>
  <c r="E50" i="1"/>
  <c r="F29" i="2"/>
  <c r="F30" i="1"/>
  <c r="C25" i="1"/>
  <c r="C27" i="1" s="1"/>
  <c r="E3" i="16" l="1"/>
  <c r="C4" i="15"/>
  <c r="E37" i="1"/>
  <c r="J5" i="16"/>
  <c r="F24" i="4"/>
  <c r="H7" i="3"/>
  <c r="J7" i="3"/>
  <c r="J9" i="1"/>
  <c r="D11" i="2"/>
  <c r="I7" i="3"/>
  <c r="F11" i="3"/>
  <c r="F13" i="3"/>
  <c r="D27" i="1"/>
  <c r="E22" i="1"/>
  <c r="E21" i="1" s="1"/>
  <c r="F33" i="2"/>
  <c r="G22" i="2"/>
  <c r="G32" i="2"/>
  <c r="G13" i="1"/>
  <c r="G29" i="2"/>
  <c r="H49" i="1"/>
  <c r="I49" i="1" s="1"/>
  <c r="G51" i="1"/>
  <c r="G31" i="2"/>
  <c r="G30" i="2"/>
  <c r="C26" i="1"/>
  <c r="D26" i="1" s="1"/>
  <c r="E26" i="1" s="1"/>
  <c r="F26" i="1" s="1"/>
  <c r="C28" i="1"/>
  <c r="D37" i="1" l="1"/>
  <c r="J4" i="16"/>
  <c r="C29" i="1"/>
  <c r="F25" i="1" s="1"/>
  <c r="J49" i="1"/>
  <c r="G11" i="3"/>
  <c r="G13" i="3"/>
  <c r="F22" i="1"/>
  <c r="F21" i="1" s="1"/>
  <c r="E27" i="1"/>
  <c r="D29" i="1"/>
  <c r="D28" i="1"/>
  <c r="E28" i="1" s="1"/>
  <c r="F28" i="1" s="1"/>
  <c r="H29" i="2"/>
  <c r="I29" i="2" s="1"/>
  <c r="H22" i="2"/>
  <c r="G33" i="2"/>
  <c r="H32" i="2"/>
  <c r="H13" i="1"/>
  <c r="H51" i="1"/>
  <c r="H30" i="2"/>
  <c r="H31" i="2"/>
  <c r="J31" i="2" l="1"/>
  <c r="J30" i="2"/>
  <c r="J29" i="2"/>
  <c r="H13" i="3"/>
  <c r="I13" i="3" s="1"/>
  <c r="J13" i="3" s="1"/>
  <c r="H11" i="3"/>
  <c r="I11" i="3" s="1"/>
  <c r="F27" i="1"/>
  <c r="F29" i="1" s="1"/>
  <c r="E29" i="1"/>
  <c r="I22" i="2"/>
  <c r="J22" i="2" s="1"/>
  <c r="H33" i="2"/>
  <c r="I33" i="2" s="1"/>
  <c r="I30" i="2"/>
  <c r="I31" i="2"/>
  <c r="I32" i="2"/>
  <c r="J32" i="2" s="1"/>
  <c r="I13" i="1"/>
  <c r="J13" i="1" s="1"/>
  <c r="I51" i="1"/>
  <c r="J51" i="1" s="1"/>
  <c r="J33" i="2" l="1"/>
  <c r="J11" i="3"/>
  <c r="F5" i="1" l="1"/>
  <c r="F29" i="15" s="1"/>
  <c r="F21" i="15" l="1"/>
  <c r="F25" i="15"/>
  <c r="F24" i="15"/>
  <c r="F22" i="15"/>
  <c r="F26" i="15"/>
  <c r="F28" i="15"/>
  <c r="F20" i="15"/>
  <c r="F23" i="15"/>
  <c r="F27" i="15"/>
  <c r="C6" i="16"/>
  <c r="F6" i="3"/>
  <c r="F12" i="3" s="1"/>
  <c r="F6" i="1"/>
  <c r="D6" i="16" s="1"/>
  <c r="F15" i="2"/>
  <c r="F8" i="2"/>
  <c r="F19" i="2"/>
  <c r="D24" i="1"/>
  <c r="G19" i="1" s="1"/>
  <c r="F45" i="1"/>
  <c r="F46" i="1"/>
  <c r="F9" i="3" s="1"/>
  <c r="C32" i="1"/>
  <c r="D32" i="1" s="1"/>
  <c r="E32" i="1" s="1"/>
  <c r="F32" i="1" s="1"/>
  <c r="F19" i="1"/>
  <c r="F8" i="3" l="1"/>
  <c r="F14" i="3"/>
  <c r="F15" i="3" s="1"/>
  <c r="F16" i="3" s="1"/>
  <c r="F11" i="2" s="1"/>
  <c r="J6" i="16" s="1"/>
  <c r="F10" i="3"/>
  <c r="K6" i="16" s="1"/>
  <c r="F9" i="2"/>
  <c r="F18" i="2"/>
  <c r="G5" i="1"/>
  <c r="G29" i="15" s="1"/>
  <c r="F48" i="1"/>
  <c r="F10" i="1"/>
  <c r="F47" i="1"/>
  <c r="C34" i="1"/>
  <c r="F8" i="1" s="1"/>
  <c r="F7" i="1"/>
  <c r="G23" i="15" l="1"/>
  <c r="G27" i="15"/>
  <c r="G26" i="15"/>
  <c r="G24" i="15"/>
  <c r="G28" i="15"/>
  <c r="G21" i="15"/>
  <c r="G25" i="15"/>
  <c r="G20" i="15"/>
  <c r="G22" i="15"/>
  <c r="F4" i="15"/>
  <c r="K90" i="19" s="1"/>
  <c r="E6" i="16"/>
  <c r="F6" i="15"/>
  <c r="J89" i="19" s="1"/>
  <c r="F6" i="16"/>
  <c r="C7" i="16"/>
  <c r="G6" i="3"/>
  <c r="G12" i="3" s="1"/>
  <c r="F20" i="2"/>
  <c r="F38" i="1" s="1"/>
  <c r="G6" i="1"/>
  <c r="D7" i="16" s="1"/>
  <c r="F14" i="2"/>
  <c r="F12" i="1"/>
  <c r="H6" i="16" s="1"/>
  <c r="G15" i="2"/>
  <c r="G8" i="2"/>
  <c r="G19" i="2"/>
  <c r="D34" i="1"/>
  <c r="G8" i="1" s="1"/>
  <c r="G45" i="1"/>
  <c r="G10" i="1" s="1"/>
  <c r="F24" i="1"/>
  <c r="I19" i="1" s="1"/>
  <c r="G46" i="1"/>
  <c r="G9" i="3" s="1"/>
  <c r="E24" i="1"/>
  <c r="H19" i="1" s="1"/>
  <c r="G44" i="1"/>
  <c r="G8" i="3" l="1"/>
  <c r="G6" i="15"/>
  <c r="J90" i="19" s="1"/>
  <c r="F7" i="16"/>
  <c r="G14" i="3"/>
  <c r="G15" i="3" s="1"/>
  <c r="G16" i="3" s="1"/>
  <c r="G11" i="2" s="1"/>
  <c r="J7" i="16" s="1"/>
  <c r="G10" i="3"/>
  <c r="K7" i="16" s="1"/>
  <c r="F14" i="1"/>
  <c r="G18" i="2"/>
  <c r="G9" i="2"/>
  <c r="G7" i="1"/>
  <c r="E7" i="16" s="1"/>
  <c r="F34" i="1"/>
  <c r="E34" i="1"/>
  <c r="G47" i="1"/>
  <c r="H5" i="1"/>
  <c r="H29" i="15" s="1"/>
  <c r="F11" i="1"/>
  <c r="G6" i="16" s="1"/>
  <c r="G48" i="1"/>
  <c r="H23" i="15" l="1"/>
  <c r="H27" i="15"/>
  <c r="H24" i="15"/>
  <c r="H28" i="15"/>
  <c r="H22" i="15"/>
  <c r="H26" i="15"/>
  <c r="H21" i="15"/>
  <c r="H25" i="15"/>
  <c r="H20" i="15"/>
  <c r="C8" i="16"/>
  <c r="F5" i="15"/>
  <c r="L89" i="19" s="1"/>
  <c r="H6" i="3"/>
  <c r="H8" i="3" s="1"/>
  <c r="G12" i="1"/>
  <c r="G4" i="15"/>
  <c r="K91" i="19" s="1"/>
  <c r="G20" i="2"/>
  <c r="G38" i="1" s="1"/>
  <c r="H6" i="1"/>
  <c r="D8" i="16" s="1"/>
  <c r="F15" i="1"/>
  <c r="F3" i="4" s="1"/>
  <c r="F4" i="4" s="1"/>
  <c r="H15" i="2"/>
  <c r="H8" i="2"/>
  <c r="H19" i="2"/>
  <c r="H44" i="1"/>
  <c r="G14" i="2"/>
  <c r="H8" i="1"/>
  <c r="I5" i="1"/>
  <c r="I29" i="15" s="1"/>
  <c r="H45" i="1"/>
  <c r="H10" i="1" s="1"/>
  <c r="H46" i="1"/>
  <c r="H9" i="3" s="1"/>
  <c r="H12" i="3" l="1"/>
  <c r="H14" i="3"/>
  <c r="I23" i="15"/>
  <c r="I27" i="15"/>
  <c r="I20" i="15"/>
  <c r="I22" i="15"/>
  <c r="I24" i="15"/>
  <c r="I28" i="15"/>
  <c r="I21" i="15"/>
  <c r="I25" i="15"/>
  <c r="I26" i="15"/>
  <c r="C9" i="16"/>
  <c r="H6" i="15"/>
  <c r="J91" i="19" s="1"/>
  <c r="F8" i="16"/>
  <c r="H10" i="3"/>
  <c r="K8" i="16" s="1"/>
  <c r="G11" i="1"/>
  <c r="G7" i="16" s="1"/>
  <c r="H7" i="16"/>
  <c r="G14" i="1"/>
  <c r="I6" i="3"/>
  <c r="I8" i="3" s="1"/>
  <c r="J5" i="1"/>
  <c r="J29" i="15" s="1"/>
  <c r="H15" i="3"/>
  <c r="H16" i="3" s="1"/>
  <c r="I6" i="1"/>
  <c r="D9" i="16" s="1"/>
  <c r="F16" i="1"/>
  <c r="I8" i="2"/>
  <c r="I19" i="2"/>
  <c r="I15" i="2"/>
  <c r="H9" i="2"/>
  <c r="H18" i="2"/>
  <c r="I8" i="1"/>
  <c r="G15" i="1"/>
  <c r="G3" i="4" s="1"/>
  <c r="G4" i="4" s="1"/>
  <c r="H48" i="1"/>
  <c r="I45" i="1"/>
  <c r="I10" i="1" s="1"/>
  <c r="I46" i="1"/>
  <c r="I9" i="3" s="1"/>
  <c r="H7" i="1"/>
  <c r="E8" i="16" s="1"/>
  <c r="H47" i="1"/>
  <c r="J23" i="15" l="1"/>
  <c r="J27" i="15"/>
  <c r="J24" i="15"/>
  <c r="J28" i="15"/>
  <c r="J20" i="15"/>
  <c r="J22" i="15"/>
  <c r="J21" i="15"/>
  <c r="J25" i="15"/>
  <c r="J26" i="15"/>
  <c r="I6" i="15"/>
  <c r="J92" i="19" s="1"/>
  <c r="F9" i="16"/>
  <c r="C10" i="16"/>
  <c r="I6" i="16"/>
  <c r="F11" i="15"/>
  <c r="O89" i="19" s="1"/>
  <c r="F13" i="15"/>
  <c r="H12" i="1"/>
  <c r="H8" i="16" s="1"/>
  <c r="H4" i="15"/>
  <c r="G5" i="15"/>
  <c r="L90" i="19" s="1"/>
  <c r="I14" i="3"/>
  <c r="J19" i="2"/>
  <c r="J8" i="1"/>
  <c r="J6" i="3"/>
  <c r="J15" i="2"/>
  <c r="J45" i="1"/>
  <c r="J6" i="1"/>
  <c r="D10" i="16" s="1"/>
  <c r="J46" i="1"/>
  <c r="J9" i="3" s="1"/>
  <c r="J8" i="2"/>
  <c r="I10" i="3"/>
  <c r="K9" i="16" s="1"/>
  <c r="I12" i="3"/>
  <c r="H11" i="2"/>
  <c r="J8" i="16" s="1"/>
  <c r="H20" i="2"/>
  <c r="H38" i="1" s="1"/>
  <c r="H14" i="2"/>
  <c r="I18" i="2"/>
  <c r="I9" i="2"/>
  <c r="G16" i="1"/>
  <c r="I44" i="1"/>
  <c r="I47" i="1" s="1"/>
  <c r="J44" i="1" s="1"/>
  <c r="I7" i="1"/>
  <c r="C48" i="1"/>
  <c r="C50" i="1"/>
  <c r="F50" i="1" s="1"/>
  <c r="H14" i="1" l="1"/>
  <c r="H5" i="15" s="1"/>
  <c r="L91" i="19" s="1"/>
  <c r="H11" i="1"/>
  <c r="G8" i="16" s="1"/>
  <c r="I4" i="15"/>
  <c r="K92" i="19" s="1"/>
  <c r="E9" i="16"/>
  <c r="G11" i="15"/>
  <c r="O90" i="19" s="1"/>
  <c r="I7" i="16"/>
  <c r="J6" i="15"/>
  <c r="J93" i="19" s="1"/>
  <c r="F10" i="16"/>
  <c r="H15" i="1"/>
  <c r="H3" i="4" s="1"/>
  <c r="H4" i="4" s="1"/>
  <c r="I15" i="3"/>
  <c r="I16" i="3" s="1"/>
  <c r="I11" i="2" s="1"/>
  <c r="J47" i="1"/>
  <c r="J14" i="2" s="1"/>
  <c r="J8" i="3"/>
  <c r="J12" i="3"/>
  <c r="J14" i="3"/>
  <c r="J9" i="2"/>
  <c r="J18" i="2"/>
  <c r="J20" i="2" s="1"/>
  <c r="J7" i="1"/>
  <c r="J48" i="1"/>
  <c r="J10" i="1"/>
  <c r="I20" i="2"/>
  <c r="I38" i="1" s="1"/>
  <c r="I12" i="1"/>
  <c r="H9" i="16" s="1"/>
  <c r="I14" i="2"/>
  <c r="I48" i="1"/>
  <c r="G50" i="1"/>
  <c r="H16" i="1" l="1"/>
  <c r="H11" i="15" s="1"/>
  <c r="O91" i="19" s="1"/>
  <c r="I8" i="16"/>
  <c r="J10" i="16"/>
  <c r="J9" i="16"/>
  <c r="J4" i="15"/>
  <c r="K93" i="19" s="1"/>
  <c r="E10" i="16"/>
  <c r="H50" i="1"/>
  <c r="J12" i="1"/>
  <c r="J38" i="1"/>
  <c r="J10" i="3"/>
  <c r="K10" i="16" s="1"/>
  <c r="J15" i="3"/>
  <c r="J16" i="3" s="1"/>
  <c r="J11" i="2" s="1"/>
  <c r="G10" i="4" s="1"/>
  <c r="I11" i="1"/>
  <c r="G9" i="16" s="1"/>
  <c r="I14" i="1"/>
  <c r="F57" i="1"/>
  <c r="J14" i="1" l="1"/>
  <c r="J5" i="15" s="1"/>
  <c r="L93" i="19" s="1"/>
  <c r="H10" i="16"/>
  <c r="I5" i="15"/>
  <c r="L92" i="19" s="1"/>
  <c r="I50" i="1"/>
  <c r="J50" i="1" s="1"/>
  <c r="J11" i="1"/>
  <c r="G10" i="16" s="1"/>
  <c r="I15" i="1"/>
  <c r="F21" i="2"/>
  <c r="G55" i="1"/>
  <c r="G57" i="1" s="1"/>
  <c r="J15" i="1" l="1"/>
  <c r="I3" i="4"/>
  <c r="I4" i="4" s="1"/>
  <c r="I16" i="1"/>
  <c r="F23" i="2"/>
  <c r="G21" i="2"/>
  <c r="H55" i="1"/>
  <c r="H57" i="1" s="1"/>
  <c r="I9" i="16" l="1"/>
  <c r="I11" i="15"/>
  <c r="O92" i="19" s="1"/>
  <c r="J16" i="1"/>
  <c r="J3" i="4"/>
  <c r="G23" i="2"/>
  <c r="H21" i="2"/>
  <c r="I55" i="1"/>
  <c r="I57" i="1" s="1"/>
  <c r="J55" i="1" s="1"/>
  <c r="J57" i="1" s="1"/>
  <c r="J21" i="2" s="1"/>
  <c r="J23" i="2" s="1"/>
  <c r="I10" i="16" l="1"/>
  <c r="J11" i="15"/>
  <c r="O93" i="19" s="1"/>
  <c r="J4" i="4"/>
  <c r="J5" i="4"/>
  <c r="J6" i="4" s="1"/>
  <c r="H23" i="2"/>
  <c r="I21" i="2"/>
  <c r="G9" i="4" l="1"/>
  <c r="G13" i="4" s="1"/>
  <c r="G15" i="4" s="1"/>
  <c r="F21" i="4" s="1"/>
  <c r="I23" i="2"/>
  <c r="C16" i="2" l="1"/>
  <c r="C12" i="2"/>
  <c r="C40" i="1" s="1"/>
  <c r="E16" i="2"/>
  <c r="D16" i="2"/>
  <c r="D12" i="2"/>
  <c r="D40" i="1" s="1"/>
  <c r="D41" i="1" s="1"/>
  <c r="E12" i="2"/>
  <c r="E40" i="1" s="1"/>
  <c r="E41" i="1" s="1"/>
  <c r="D9" i="15" l="1"/>
  <c r="D7" i="15"/>
  <c r="I87" i="19" s="1"/>
  <c r="E9" i="15"/>
  <c r="E7" i="15"/>
  <c r="I88" i="19" s="1"/>
  <c r="C9" i="15"/>
  <c r="C7" i="15"/>
  <c r="I86" i="19" s="1"/>
  <c r="D26" i="2"/>
  <c r="F12" i="2"/>
  <c r="C26" i="2"/>
  <c r="E26" i="2"/>
  <c r="G12" i="2" l="1"/>
  <c r="H12" i="2" l="1"/>
  <c r="I12" i="2" l="1"/>
  <c r="J12" i="2" s="1"/>
  <c r="J13" i="2" s="1"/>
  <c r="J8" i="15" s="1"/>
  <c r="M93" i="19" s="1"/>
  <c r="J37" i="1" l="1"/>
  <c r="J40" i="1" s="1"/>
  <c r="J16" i="2"/>
  <c r="F13" i="2"/>
  <c r="F8" i="15" s="1"/>
  <c r="M89" i="19" s="1"/>
  <c r="J24" i="2" l="1"/>
  <c r="J7" i="15"/>
  <c r="I93" i="19" s="1"/>
  <c r="F16" i="2"/>
  <c r="F9" i="15" s="1"/>
  <c r="N89" i="19" s="1"/>
  <c r="F37" i="1"/>
  <c r="F40" i="1" s="1"/>
  <c r="F41" i="1" s="1"/>
  <c r="G13" i="2"/>
  <c r="G8" i="15" s="1"/>
  <c r="M90" i="19" s="1"/>
  <c r="J25" i="2" l="1"/>
  <c r="J26" i="2" s="1"/>
  <c r="J10" i="15"/>
  <c r="H93" i="19" s="1"/>
  <c r="Q93" i="19" s="1"/>
  <c r="F24" i="2"/>
  <c r="F7" i="15"/>
  <c r="I89" i="19" s="1"/>
  <c r="G16" i="2"/>
  <c r="G9" i="15" s="1"/>
  <c r="N90" i="19" s="1"/>
  <c r="G37" i="1"/>
  <c r="G40" i="1" s="1"/>
  <c r="G41" i="1" s="1"/>
  <c r="H13" i="2"/>
  <c r="H8" i="15" s="1"/>
  <c r="M91" i="19" s="1"/>
  <c r="I13" i="2"/>
  <c r="I8" i="15" s="1"/>
  <c r="M92" i="19" s="1"/>
  <c r="F25" i="2" l="1"/>
  <c r="F26" i="2" s="1"/>
  <c r="F10" i="15"/>
  <c r="H89" i="19" s="1"/>
  <c r="Q89" i="19" s="1"/>
  <c r="G24" i="2"/>
  <c r="G7" i="15"/>
  <c r="I90" i="19" s="1"/>
  <c r="H16" i="2"/>
  <c r="H9" i="15" s="1"/>
  <c r="N91" i="19" s="1"/>
  <c r="H37" i="1"/>
  <c r="H40" i="1" s="1"/>
  <c r="H41" i="1" s="1"/>
  <c r="I16" i="2"/>
  <c r="I37" i="1"/>
  <c r="I40" i="1" s="1"/>
  <c r="I9" i="15" l="1"/>
  <c r="N92" i="19" s="1"/>
  <c r="J9" i="15"/>
  <c r="N93" i="19" s="1"/>
  <c r="G25" i="2"/>
  <c r="G26" i="2" s="1"/>
  <c r="G10" i="15"/>
  <c r="H90" i="19" s="1"/>
  <c r="Q90" i="19" s="1"/>
  <c r="H24" i="2"/>
  <c r="H7" i="15"/>
  <c r="I91" i="19" s="1"/>
  <c r="I24" i="2"/>
  <c r="I7" i="15"/>
  <c r="I92" i="19" s="1"/>
  <c r="I41" i="1"/>
  <c r="J41" i="1"/>
  <c r="I25" i="2" l="1"/>
  <c r="I26" i="2" s="1"/>
  <c r="I10" i="15"/>
  <c r="H92" i="19" s="1"/>
  <c r="Q92" i="19" s="1"/>
  <c r="H25" i="2"/>
  <c r="H26" i="2" s="1"/>
  <c r="H10" i="15"/>
  <c r="H91" i="19" s="1"/>
  <c r="Q91" i="19" s="1"/>
</calcChain>
</file>

<file path=xl/sharedStrings.xml><?xml version="1.0" encoding="utf-8"?>
<sst xmlns="http://schemas.openxmlformats.org/spreadsheetml/2006/main" count="320" uniqueCount="197">
  <si>
    <t>Forecast</t>
  </si>
  <si>
    <t>$ in Millions</t>
  </si>
  <si>
    <t>Revenue</t>
  </si>
  <si>
    <t>COGS</t>
  </si>
  <si>
    <t>Gross Profit</t>
  </si>
  <si>
    <t>Operating Expenses</t>
  </si>
  <si>
    <t>Depreciation &amp; Amortization</t>
  </si>
  <si>
    <t>EBITDA</t>
  </si>
  <si>
    <t>Tax</t>
  </si>
  <si>
    <t>Net Income</t>
  </si>
  <si>
    <t>Assumptions</t>
  </si>
  <si>
    <t>Revenue Growth</t>
  </si>
  <si>
    <t>Best Case</t>
  </si>
  <si>
    <t>Selected Case:</t>
  </si>
  <si>
    <t>COGS (% of Revenue)</t>
  </si>
  <si>
    <t>Opex (% of Revenue)</t>
  </si>
  <si>
    <t>Net Working Capital</t>
  </si>
  <si>
    <t>Total Current Assets</t>
  </si>
  <si>
    <t>(-) Current Liabilities</t>
  </si>
  <si>
    <t>(+) Current debt</t>
  </si>
  <si>
    <t>Net Working Capital:</t>
  </si>
  <si>
    <t>Fixed Asset Roll Forward</t>
  </si>
  <si>
    <t>PP&amp;E</t>
  </si>
  <si>
    <t>D&amp;A</t>
  </si>
  <si>
    <t>Capex</t>
  </si>
  <si>
    <t>Capex as a % of PP&amp;E</t>
  </si>
  <si>
    <t>DIO</t>
  </si>
  <si>
    <t>DPO</t>
  </si>
  <si>
    <t>DSO</t>
  </si>
  <si>
    <t>Check</t>
  </si>
  <si>
    <t>Liabilities and Equity</t>
  </si>
  <si>
    <t>Equity</t>
  </si>
  <si>
    <t>Other Liabilities</t>
  </si>
  <si>
    <t>Financial Liabilities</t>
  </si>
  <si>
    <t>Total Assets</t>
  </si>
  <si>
    <t>Other  Assets</t>
  </si>
  <si>
    <t>Inventories</t>
  </si>
  <si>
    <t>Accounts Receivable</t>
  </si>
  <si>
    <t>Assets</t>
  </si>
  <si>
    <t>Weight of Debt</t>
  </si>
  <si>
    <t>YoY Growth%</t>
  </si>
  <si>
    <t>Share Price</t>
  </si>
  <si>
    <t>Shares Outstanding</t>
  </si>
  <si>
    <t>Cost of Debt</t>
  </si>
  <si>
    <t>Total Debt</t>
  </si>
  <si>
    <t>COE:</t>
  </si>
  <si>
    <t>Er</t>
  </si>
  <si>
    <t>B</t>
  </si>
  <si>
    <t>Rf:</t>
  </si>
  <si>
    <t>Term:</t>
  </si>
  <si>
    <t>Cost of Equity (CAPM)</t>
  </si>
  <si>
    <t>Year</t>
  </si>
  <si>
    <t>Operating Margin</t>
  </si>
  <si>
    <t>Asset Turnover</t>
  </si>
  <si>
    <t>ROCE</t>
  </si>
  <si>
    <t>Revenue:</t>
  </si>
  <si>
    <t>Net Profit Margin</t>
  </si>
  <si>
    <t xml:space="preserve"> EBIT</t>
  </si>
  <si>
    <t>adj. EBT</t>
  </si>
  <si>
    <t>net other Income</t>
  </si>
  <si>
    <t>Interest Exp (adj in Net Other Income)</t>
  </si>
  <si>
    <t>Quarterly Forecasts: (Up to 12/23)</t>
  </si>
  <si>
    <t>Net Other Income Forecasts:</t>
  </si>
  <si>
    <t>OpEx Forecast:</t>
  </si>
  <si>
    <t>Other Current Assets:</t>
  </si>
  <si>
    <t>Total Current Liabilities:</t>
  </si>
  <si>
    <t xml:space="preserve">Accounts Payable </t>
  </si>
  <si>
    <t>Total Liabilities</t>
  </si>
  <si>
    <t>Balance Sheet: GOOGL</t>
  </si>
  <si>
    <t>Accrued Expenses &amp; Other C.L</t>
  </si>
  <si>
    <t>Ending PP&amp;E (Net)</t>
  </si>
  <si>
    <t>D&amp;A as a % of Revenue</t>
  </si>
  <si>
    <t>Capex as a % of Revenue</t>
  </si>
  <si>
    <t>D&amp;A as a % of PP&amp;E</t>
  </si>
  <si>
    <t>PP&amp;E (Net) (less Acc. Depreciation)</t>
  </si>
  <si>
    <t>Liabilities Schedule</t>
  </si>
  <si>
    <t>Beginning Debt</t>
  </si>
  <si>
    <t>Principal Debt Obligations</t>
  </si>
  <si>
    <t>Ending Debt</t>
  </si>
  <si>
    <t>^2022 Forecast</t>
  </si>
  <si>
    <t>CapEx</t>
  </si>
  <si>
    <t>Cash Flow: GOOGL</t>
  </si>
  <si>
    <t>Cash &amp; Cash Equivalents</t>
  </si>
  <si>
    <t>Other Assets</t>
  </si>
  <si>
    <t>Implied Share Price</t>
  </si>
  <si>
    <t>%YoY Var. (21-22)</t>
  </si>
  <si>
    <t>%YoY Var. (22-23)</t>
  </si>
  <si>
    <t>Cash Flow Forecast</t>
  </si>
  <si>
    <t>Accrued Exp.</t>
  </si>
  <si>
    <t>Assumptions:</t>
  </si>
  <si>
    <t>Net Cash Position:</t>
  </si>
  <si>
    <t>FCF:</t>
  </si>
  <si>
    <t>FCF</t>
  </si>
  <si>
    <t>EBIT</t>
  </si>
  <si>
    <t>Change in NWC:</t>
  </si>
  <si>
    <t>Total Current Assets (- Cash)</t>
  </si>
  <si>
    <t>Operating  Cash Flow:</t>
  </si>
  <si>
    <t>Operating  Cash Flow as a % of Rev:</t>
  </si>
  <si>
    <t>Investing Cash Flows:</t>
  </si>
  <si>
    <t>Financing Cash Flows</t>
  </si>
  <si>
    <t>Investing Cash Flows as a % of Rev:</t>
  </si>
  <si>
    <t>Financing Cash Flows as a % of Rev:</t>
  </si>
  <si>
    <t>Ending Cash Balance:</t>
  </si>
  <si>
    <t>Marketable Securities:</t>
  </si>
  <si>
    <t>Equity Value:</t>
  </si>
  <si>
    <t>Equity Value</t>
  </si>
  <si>
    <t>Tax Rate</t>
  </si>
  <si>
    <t>Beta</t>
  </si>
  <si>
    <t>Market Return</t>
  </si>
  <si>
    <t>Cost of Equity:</t>
  </si>
  <si>
    <t>WACC  Calculation</t>
  </si>
  <si>
    <t>Risk Free Rate</t>
  </si>
  <si>
    <t>Weight of Equity:</t>
  </si>
  <si>
    <t>Rf+B(E(Rm-Rf))</t>
  </si>
  <si>
    <t>WACC</t>
  </si>
  <si>
    <t>Cost of Debt:</t>
  </si>
  <si>
    <t>Interest Expense</t>
  </si>
  <si>
    <t>Unlevered DCF</t>
  </si>
  <si>
    <t>Terminal Growth Rate:</t>
  </si>
  <si>
    <t>Cash</t>
  </si>
  <si>
    <t>Marketable Securities</t>
  </si>
  <si>
    <t>Debt</t>
  </si>
  <si>
    <t>Enterprise Val  (in millions)</t>
  </si>
  <si>
    <t>Conservative Case</t>
  </si>
  <si>
    <t>Perpetuity Growth</t>
  </si>
  <si>
    <t>Present Value</t>
  </si>
  <si>
    <t>PV of Terminal Value</t>
  </si>
  <si>
    <t>Share Price:</t>
  </si>
  <si>
    <t>CAPM Formula</t>
  </si>
  <si>
    <t>Sensitivity Analysis:</t>
  </si>
  <si>
    <t>Impacts of changing interest rates</t>
  </si>
  <si>
    <t>Terminal Growth Rates</t>
  </si>
  <si>
    <t>P&amp;L Statement: GOOGL</t>
  </si>
  <si>
    <t>Key Financial Metrics:</t>
  </si>
  <si>
    <t>Gross Margin</t>
  </si>
  <si>
    <t>Cost-Income Ratio</t>
  </si>
  <si>
    <t>Quick Ratio</t>
  </si>
  <si>
    <t>P/E Ratio</t>
  </si>
  <si>
    <t>EPS</t>
  </si>
  <si>
    <t>Return on Equity</t>
  </si>
  <si>
    <t>Ordinary Shares</t>
  </si>
  <si>
    <t>Forecasts for EPS and P/E are invalid given the upcoming stock split</t>
  </si>
  <si>
    <t>Quick Look:</t>
  </si>
  <si>
    <t>FCF - (- Tax)</t>
  </si>
  <si>
    <t>OpEx</t>
  </si>
  <si>
    <t>Google Search &amp; other</t>
  </si>
  <si>
    <t>YouTube ads</t>
  </si>
  <si>
    <t>Google Network</t>
  </si>
  <si>
    <t>Google advertising</t>
  </si>
  <si>
    <t>Google other</t>
  </si>
  <si>
    <t>Google Services total</t>
  </si>
  <si>
    <t>Google Cloud</t>
  </si>
  <si>
    <t>Other Bets</t>
  </si>
  <si>
    <t>Hedging gains (losses)</t>
  </si>
  <si>
    <t>Revenue Break Down</t>
  </si>
  <si>
    <t>Total Revenue:</t>
  </si>
  <si>
    <t>Column Labels</t>
  </si>
  <si>
    <t>Grand Total</t>
  </si>
  <si>
    <t>Row Labels</t>
  </si>
  <si>
    <t>Sum of Google Search &amp; other</t>
  </si>
  <si>
    <t>Sum of YouTube ads</t>
  </si>
  <si>
    <t>Sum of Google Network</t>
  </si>
  <si>
    <t>Sum of Google advertising</t>
  </si>
  <si>
    <t>Sum of Google other</t>
  </si>
  <si>
    <t>Sum of Google Services total</t>
  </si>
  <si>
    <t>Sum of Google Cloud</t>
  </si>
  <si>
    <t>Sum of Other Bets</t>
  </si>
  <si>
    <t>Sum of Hedging gains (losses)</t>
  </si>
  <si>
    <t>Sum of Total Revenue:</t>
  </si>
  <si>
    <t>Values</t>
  </si>
  <si>
    <t>Sum of Revenue</t>
  </si>
  <si>
    <t>Sum of COGS</t>
  </si>
  <si>
    <t>Sum of Gross Profit</t>
  </si>
  <si>
    <t>Sum of OpEx</t>
  </si>
  <si>
    <t>Sum of EBITDA</t>
  </si>
  <si>
    <t>Sum of EBIT</t>
  </si>
  <si>
    <t>Sum of Net Income</t>
  </si>
  <si>
    <t>Sum of Cash</t>
  </si>
  <si>
    <t>Sum of FCF</t>
  </si>
  <si>
    <t>Sum of Gross Margin</t>
  </si>
  <si>
    <t>Sum of Operating Margin</t>
  </si>
  <si>
    <t>Sum of Cost-Income Ratio</t>
  </si>
  <si>
    <t>Sum of ROCE</t>
  </si>
  <si>
    <t>Sum of Quick Ratio</t>
  </si>
  <si>
    <t>Sum of Asset Turnover</t>
  </si>
  <si>
    <t>Sum of Net Profit Margin</t>
  </si>
  <si>
    <t>Sum of Return on Equity</t>
  </si>
  <si>
    <t>SELECTED CASE:</t>
  </si>
  <si>
    <t>GOOGLE DASHBOARD</t>
  </si>
  <si>
    <t>(5/5/22)</t>
  </si>
  <si>
    <t>Contribution to Total Revenue</t>
  </si>
  <si>
    <t>Yearly Revenue Breakdown</t>
  </si>
  <si>
    <t>% of Revenue</t>
  </si>
  <si>
    <t>COGS Analysis as a % of Revenue</t>
  </si>
  <si>
    <t>Financial Metrics for the Given Year</t>
  </si>
  <si>
    <t>Base Case</t>
  </si>
  <si>
    <t>Case Selected: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</si>
</sst>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_(&quot;$ &quot;#,##0_);_(&quot;$ &quot;\(#,##0\)"/>
    <numFmt numFmtId="166" formatCode="0_);\(0\)"/>
    <numFmt numFmtId="167" formatCode="_(#,##0_);_(\(#,##0\);_(&quot;-&quot;_);_(@_)"/>
    <numFmt numFmtId="168" formatCode="0.0"/>
    <numFmt numFmtId="169" formatCode="#,##0_);\(#,##0\);&quot;—&quot;"/>
    <numFmt numFmtId="170" formatCode="[$$-409]#,##0.00"/>
    <numFmt numFmtId="171" formatCode="_(\$* #,##0_);_(\$* \(#,##0\);_(\$* &quot;-&quot;_);_(@_)"/>
    <numFmt numFmtId="174" formatCode="0.00_);\(0.0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2060"/>
      <name val="Calibri (Body)"/>
    </font>
    <font>
      <b/>
      <sz val="14"/>
      <color theme="0"/>
      <name val="Calibri"/>
      <family val="2"/>
      <scheme val="minor"/>
    </font>
    <font>
      <b/>
      <sz val="12"/>
      <color rgb="FF002060"/>
      <name val="Calibri"/>
      <family val="2"/>
    </font>
    <font>
      <b/>
      <sz val="11"/>
      <color rgb="FF002060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002060"/>
      <name val="Calibri"/>
      <family val="2"/>
      <scheme val="minor"/>
    </font>
    <font>
      <b/>
      <sz val="11"/>
      <color rgb="FF002060"/>
      <name val="Calibri (Body)"/>
    </font>
    <font>
      <sz val="11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ArialMT"/>
    </font>
    <font>
      <sz val="11"/>
      <color theme="0"/>
      <name val="Calibri (Body)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FFFF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sz val="10"/>
      <color rgb="FF000000"/>
      <name val="Arial"/>
      <family val="2"/>
    </font>
    <font>
      <sz val="13"/>
      <color rgb="FF232A31"/>
      <name val="Helvetica Neue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Inherit"/>
    </font>
    <font>
      <sz val="11"/>
      <color theme="1"/>
      <name val="-webkit-standard"/>
    </font>
    <font>
      <sz val="11"/>
      <color theme="9" tint="-0.249977111117893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0"/>
      <name val="Calibri (Body)"/>
    </font>
    <font>
      <sz val="11"/>
      <name val="Calibri (Body)"/>
    </font>
    <font>
      <b/>
      <sz val="12"/>
      <color theme="0"/>
      <name val="Calibri"/>
      <family val="2"/>
    </font>
    <font>
      <b/>
      <sz val="11"/>
      <name val="Calibri"/>
      <family val="2"/>
      <scheme val="minor"/>
    </font>
    <font>
      <b/>
      <sz val="14"/>
      <color theme="0"/>
      <name val="Calibri (Body)"/>
    </font>
    <font>
      <sz val="11"/>
      <color rgb="FF002060"/>
      <name val="Calibri (Body)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9" fillId="0" borderId="0"/>
  </cellStyleXfs>
  <cellXfs count="355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37" fontId="6" fillId="0" borderId="0" xfId="0" applyNumberFormat="1" applyFont="1" applyAlignment="1">
      <alignment horizontal="center" vertical="top"/>
    </xf>
    <xf numFmtId="9" fontId="0" fillId="0" borderId="0" xfId="1" applyFont="1"/>
    <xf numFmtId="0" fontId="7" fillId="0" borderId="5" xfId="0" applyFont="1" applyBorder="1" applyAlignment="1">
      <alignment horizontal="left" vertical="center" wrapText="1"/>
    </xf>
    <xf numFmtId="37" fontId="0" fillId="0" borderId="0" xfId="0" applyNumberFormat="1" applyAlignment="1">
      <alignment horizontal="center" vertical="center"/>
    </xf>
    <xf numFmtId="37" fontId="6" fillId="0" borderId="0" xfId="0" applyNumberFormat="1" applyFont="1" applyAlignment="1">
      <alignment horizontal="center" vertical="center"/>
    </xf>
    <xf numFmtId="37" fontId="7" fillId="0" borderId="0" xfId="0" applyNumberFormat="1" applyFont="1" applyAlignment="1">
      <alignment horizontal="center" vertical="top"/>
    </xf>
    <xf numFmtId="37" fontId="8" fillId="0" borderId="0" xfId="0" applyNumberFormat="1" applyFont="1" applyAlignment="1">
      <alignment horizontal="center"/>
    </xf>
    <xf numFmtId="37" fontId="0" fillId="0" borderId="7" xfId="0" applyNumberFormat="1" applyBorder="1" applyAlignment="1">
      <alignment horizontal="center" vertical="center"/>
    </xf>
    <xf numFmtId="9" fontId="0" fillId="0" borderId="0" xfId="0" applyNumberFormat="1"/>
    <xf numFmtId="0" fontId="5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37" fontId="6" fillId="2" borderId="0" xfId="0" applyNumberFormat="1" applyFont="1" applyFill="1" applyAlignment="1">
      <alignment horizontal="center" vertical="top"/>
    </xf>
    <xf numFmtId="0" fontId="5" fillId="3" borderId="13" xfId="0" applyFont="1" applyFill="1" applyBorder="1" applyAlignment="1">
      <alignment horizontal="left" vertical="center" wrapText="1"/>
    </xf>
    <xf numFmtId="9" fontId="6" fillId="3" borderId="12" xfId="0" applyNumberFormat="1" applyFont="1" applyFill="1" applyBorder="1" applyAlignment="1">
      <alignment horizontal="center" vertical="top"/>
    </xf>
    <xf numFmtId="37" fontId="6" fillId="3" borderId="12" xfId="0" applyNumberFormat="1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left" vertical="center" wrapText="1"/>
    </xf>
    <xf numFmtId="9" fontId="6" fillId="3" borderId="0" xfId="0" applyNumberFormat="1" applyFont="1" applyFill="1" applyAlignment="1">
      <alignment horizontal="center" vertical="top"/>
    </xf>
    <xf numFmtId="37" fontId="6" fillId="3" borderId="0" xfId="0" applyNumberFormat="1" applyFont="1" applyFill="1" applyAlignment="1">
      <alignment horizontal="center" vertical="top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9" fontId="11" fillId="3" borderId="0" xfId="0" applyNumberFormat="1" applyFont="1" applyFill="1" applyAlignment="1">
      <alignment horizontal="center" vertical="top"/>
    </xf>
    <xf numFmtId="0" fontId="5" fillId="3" borderId="13" xfId="0" applyFont="1" applyFill="1" applyBorder="1" applyAlignment="1">
      <alignment vertical="top" wrapText="1"/>
    </xf>
    <xf numFmtId="9" fontId="0" fillId="3" borderId="1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7" fillId="3" borderId="6" xfId="0" applyFont="1" applyFill="1" applyBorder="1" applyAlignment="1">
      <alignment vertical="top" wrapText="1"/>
    </xf>
    <xf numFmtId="9" fontId="0" fillId="3" borderId="0" xfId="0" applyNumberFormat="1" applyFill="1" applyAlignment="1">
      <alignment horizontal="center" vertical="center"/>
    </xf>
    <xf numFmtId="9" fontId="0" fillId="3" borderId="0" xfId="0" applyNumberFormat="1" applyFill="1"/>
    <xf numFmtId="9" fontId="11" fillId="3" borderId="0" xfId="0" applyNumberFormat="1" applyFont="1" applyFill="1" applyAlignment="1">
      <alignment horizontal="center" vertical="center"/>
    </xf>
    <xf numFmtId="0" fontId="12" fillId="3" borderId="6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vertical="top" wrapText="1"/>
    </xf>
    <xf numFmtId="0" fontId="7" fillId="0" borderId="5" xfId="0" applyFont="1" applyBorder="1" applyAlignment="1">
      <alignment vertical="top" wrapText="1"/>
    </xf>
    <xf numFmtId="37" fontId="0" fillId="0" borderId="0" xfId="0" applyNumberFormat="1"/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165" fontId="6" fillId="0" borderId="0" xfId="0" applyNumberFormat="1" applyFont="1" applyAlignment="1">
      <alignment horizontal="right" vertical="top"/>
    </xf>
    <xf numFmtId="0" fontId="9" fillId="2" borderId="0" xfId="0" applyFont="1" applyFill="1" applyAlignment="1">
      <alignment vertical="top" wrapText="1"/>
    </xf>
    <xf numFmtId="3" fontId="8" fillId="0" borderId="0" xfId="0" applyNumberFormat="1" applyFont="1" applyAlignment="1">
      <alignment horizontal="center" vertical="center"/>
    </xf>
    <xf numFmtId="37" fontId="8" fillId="0" borderId="0" xfId="0" applyNumberFormat="1" applyFont="1" applyAlignment="1">
      <alignment horizontal="center" vertical="center"/>
    </xf>
    <xf numFmtId="37" fontId="7" fillId="0" borderId="0" xfId="0" applyNumberFormat="1" applyFont="1" applyAlignment="1">
      <alignment horizontal="center" vertical="center"/>
    </xf>
    <xf numFmtId="37" fontId="8" fillId="0" borderId="7" xfId="0" applyNumberFormat="1" applyFont="1" applyBorder="1" applyAlignment="1">
      <alignment horizontal="center" vertical="center"/>
    </xf>
    <xf numFmtId="37" fontId="8" fillId="0" borderId="12" xfId="0" applyNumberFormat="1" applyFont="1" applyBorder="1" applyAlignment="1">
      <alignment horizontal="center" vertical="center"/>
    </xf>
    <xf numFmtId="0" fontId="7" fillId="3" borderId="0" xfId="0" applyFont="1" applyFill="1" applyAlignment="1">
      <alignment vertical="top" wrapText="1"/>
    </xf>
    <xf numFmtId="9" fontId="8" fillId="3" borderId="0" xfId="0" applyNumberFormat="1" applyFont="1" applyFill="1" applyAlignment="1">
      <alignment horizontal="center" vertical="center"/>
    </xf>
    <xf numFmtId="37" fontId="14" fillId="0" borderId="0" xfId="0" applyNumberFormat="1" applyFont="1" applyAlignment="1">
      <alignment horizontal="center" vertical="center"/>
    </xf>
    <xf numFmtId="3" fontId="0" fillId="0" borderId="0" xfId="0" applyNumberFormat="1"/>
    <xf numFmtId="0" fontId="15" fillId="0" borderId="0" xfId="0" applyFont="1"/>
    <xf numFmtId="0" fontId="0" fillId="0" borderId="0" xfId="0" applyAlignment="1">
      <alignment horizontal="center" vertical="center"/>
    </xf>
    <xf numFmtId="0" fontId="16" fillId="3" borderId="0" xfId="0" applyFont="1" applyFill="1" applyAlignment="1">
      <alignment horizontal="left" vertical="center"/>
    </xf>
    <xf numFmtId="166" fontId="0" fillId="3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3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11" xfId="0" applyFont="1" applyFill="1" applyBorder="1" applyAlignment="1">
      <alignment horizontal="left" vertical="center"/>
    </xf>
    <xf numFmtId="37" fontId="8" fillId="0" borderId="10" xfId="0" applyNumberFormat="1" applyFont="1" applyBorder="1" applyAlignment="1">
      <alignment horizontal="center" vertical="center"/>
    </xf>
    <xf numFmtId="37" fontId="8" fillId="0" borderId="9" xfId="0" applyNumberFormat="1" applyFont="1" applyBorder="1" applyAlignment="1">
      <alignment horizontal="center" vertical="center"/>
    </xf>
    <xf numFmtId="37" fontId="8" fillId="0" borderId="13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37" fontId="0" fillId="0" borderId="10" xfId="0" applyNumberFormat="1" applyBorder="1" applyAlignment="1">
      <alignment horizontal="center" vertical="center"/>
    </xf>
    <xf numFmtId="37" fontId="0" fillId="0" borderId="9" xfId="0" applyNumberForma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37" fontId="0" fillId="0" borderId="0" xfId="0" applyNumberFormat="1" applyAlignment="1">
      <alignment horizontal="center"/>
    </xf>
    <xf numFmtId="37" fontId="0" fillId="2" borderId="7" xfId="0" applyNumberFormat="1" applyFill="1" applyBorder="1" applyAlignment="1">
      <alignment horizontal="center" vertical="center"/>
    </xf>
    <xf numFmtId="37" fontId="0" fillId="2" borderId="0" xfId="0" applyNumberFormat="1" applyFill="1" applyAlignment="1">
      <alignment horizontal="center" vertical="center"/>
    </xf>
    <xf numFmtId="37" fontId="0" fillId="2" borderId="6" xfId="0" applyNumberForma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37" fontId="8" fillId="0" borderId="17" xfId="0" applyNumberFormat="1" applyFont="1" applyBorder="1" applyAlignment="1">
      <alignment horizontal="center" vertical="center"/>
    </xf>
    <xf numFmtId="37" fontId="8" fillId="0" borderId="18" xfId="0" applyNumberFormat="1" applyFont="1" applyBorder="1" applyAlignment="1">
      <alignment horizontal="center" vertical="center"/>
    </xf>
    <xf numFmtId="37" fontId="8" fillId="0" borderId="1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/>
    </xf>
    <xf numFmtId="3" fontId="12" fillId="0" borderId="7" xfId="0" applyNumberFormat="1" applyFont="1" applyBorder="1" applyAlignment="1">
      <alignment horizontal="center" vertical="center"/>
    </xf>
    <xf numFmtId="3" fontId="8" fillId="2" borderId="0" xfId="0" applyNumberFormat="1" applyFont="1" applyFill="1" applyAlignment="1">
      <alignment horizontal="center" vertical="center"/>
    </xf>
    <xf numFmtId="0" fontId="18" fillId="2" borderId="0" xfId="0" applyFont="1" applyFill="1"/>
    <xf numFmtId="0" fontId="3" fillId="2" borderId="0" xfId="0" applyFont="1" applyFill="1"/>
    <xf numFmtId="37" fontId="0" fillId="0" borderId="7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10" fontId="0" fillId="0" borderId="5" xfId="1" applyNumberFormat="1" applyFont="1" applyFill="1" applyBorder="1" applyAlignment="1">
      <alignment horizontal="center" vertical="center"/>
    </xf>
    <xf numFmtId="37" fontId="0" fillId="0" borderId="5" xfId="0" applyNumberForma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2" borderId="5" xfId="0" applyFill="1" applyBorder="1" applyAlignment="1">
      <alignment vertical="center"/>
    </xf>
    <xf numFmtId="0" fontId="3" fillId="2" borderId="6" xfId="0" applyFont="1" applyFill="1" applyBorder="1"/>
    <xf numFmtId="0" fontId="12" fillId="0" borderId="6" xfId="2" applyFont="1" applyBorder="1" applyAlignment="1">
      <alignment horizontal="left" vertical="center"/>
    </xf>
    <xf numFmtId="1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37" fontId="21" fillId="0" borderId="5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37" fontId="6" fillId="0" borderId="4" xfId="0" applyNumberFormat="1" applyFont="1" applyBorder="1" applyAlignment="1">
      <alignment horizontal="center" vertical="center"/>
    </xf>
    <xf numFmtId="37" fontId="6" fillId="0" borderId="7" xfId="0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5" fillId="0" borderId="0" xfId="0" applyFont="1"/>
    <xf numFmtId="3" fontId="6" fillId="3" borderId="0" xfId="0" applyNumberFormat="1" applyFont="1" applyFill="1" applyAlignment="1">
      <alignment horizontal="center" vertical="top"/>
    </xf>
    <xf numFmtId="9" fontId="0" fillId="3" borderId="18" xfId="0" applyNumberFormat="1" applyFill="1" applyBorder="1" applyAlignment="1">
      <alignment horizontal="center" vertical="center"/>
    </xf>
    <xf numFmtId="9" fontId="0" fillId="3" borderId="0" xfId="0" applyNumberFormat="1" applyFill="1" applyBorder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3" fontId="12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/>
    <xf numFmtId="0" fontId="3" fillId="2" borderId="0" xfId="0" applyFont="1" applyFill="1" applyAlignment="1">
      <alignment horizontal="center"/>
    </xf>
    <xf numFmtId="3" fontId="26" fillId="0" borderId="0" xfId="0" applyNumberFormat="1" applyFont="1"/>
    <xf numFmtId="3" fontId="12" fillId="0" borderId="0" xfId="0" applyNumberFormat="1" applyFont="1" applyBorder="1" applyAlignment="1">
      <alignment horizontal="center" vertical="center"/>
    </xf>
    <xf numFmtId="37" fontId="7" fillId="0" borderId="7" xfId="0" applyNumberFormat="1" applyFont="1" applyBorder="1" applyAlignment="1">
      <alignment horizontal="center" vertical="center"/>
    </xf>
    <xf numFmtId="37" fontId="0" fillId="0" borderId="0" xfId="0" applyNumberFormat="1" applyBorder="1" applyAlignment="1">
      <alignment horizontal="center" vertical="center"/>
    </xf>
    <xf numFmtId="37" fontId="8" fillId="0" borderId="0" xfId="0" applyNumberFormat="1" applyFont="1" applyBorder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37" fontId="8" fillId="0" borderId="14" xfId="0" applyNumberFormat="1" applyFont="1" applyBorder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1" fontId="0" fillId="0" borderId="0" xfId="0" applyNumberFormat="1"/>
    <xf numFmtId="169" fontId="0" fillId="0" borderId="0" xfId="0" applyNumberFormat="1" applyAlignment="1">
      <alignment horizontal="right"/>
    </xf>
    <xf numFmtId="3" fontId="8" fillId="0" borderId="12" xfId="0" applyNumberFormat="1" applyFont="1" applyBorder="1" applyAlignment="1">
      <alignment horizontal="center" vertical="center"/>
    </xf>
    <xf numFmtId="37" fontId="7" fillId="0" borderId="4" xfId="0" applyNumberFormat="1" applyFont="1" applyBorder="1" applyAlignment="1">
      <alignment horizontal="center" vertical="center"/>
    </xf>
    <xf numFmtId="37" fontId="7" fillId="0" borderId="7" xfId="0" applyNumberFormat="1" applyFont="1" applyBorder="1" applyAlignment="1">
      <alignment horizontal="center" vertical="top"/>
    </xf>
    <xf numFmtId="37" fontId="0" fillId="0" borderId="17" xfId="0" applyNumberFormat="1" applyBorder="1" applyAlignment="1">
      <alignment horizontal="center" vertical="center"/>
    </xf>
    <xf numFmtId="0" fontId="30" fillId="0" borderId="0" xfId="0" applyFont="1"/>
    <xf numFmtId="3" fontId="25" fillId="0" borderId="0" xfId="0" applyNumberFormat="1" applyFont="1"/>
    <xf numFmtId="0" fontId="7" fillId="3" borderId="0" xfId="0" applyFont="1" applyFill="1" applyBorder="1" applyAlignment="1">
      <alignment horizontal="left" vertical="center" wrapText="1"/>
    </xf>
    <xf numFmtId="37" fontId="16" fillId="0" borderId="0" xfId="0" applyNumberFormat="1" applyFont="1" applyAlignment="1">
      <alignment horizontal="center" vertical="center"/>
    </xf>
    <xf numFmtId="37" fontId="7" fillId="0" borderId="0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vertical="top" wrapText="1"/>
    </xf>
    <xf numFmtId="0" fontId="0" fillId="0" borderId="9" xfId="0" applyBorder="1"/>
    <xf numFmtId="0" fontId="0" fillId="0" borderId="0" xfId="0" applyFill="1"/>
    <xf numFmtId="37" fontId="0" fillId="0" borderId="0" xfId="0" applyNumberFormat="1" applyFill="1" applyBorder="1" applyAlignment="1">
      <alignment horizontal="center" vertical="center"/>
    </xf>
    <xf numFmtId="167" fontId="16" fillId="0" borderId="0" xfId="0" applyNumberFormat="1" applyFont="1" applyBorder="1" applyAlignment="1">
      <alignment horizontal="center" vertical="center"/>
    </xf>
    <xf numFmtId="166" fontId="6" fillId="0" borderId="0" xfId="0" applyNumberFormat="1" applyFont="1" applyBorder="1" applyAlignment="1">
      <alignment horizontal="center" vertical="center"/>
    </xf>
    <xf numFmtId="167" fontId="6" fillId="0" borderId="0" xfId="0" applyNumberFormat="1" applyFont="1" applyBorder="1" applyAlignment="1">
      <alignment horizontal="center" vertical="center"/>
    </xf>
    <xf numFmtId="37" fontId="8" fillId="0" borderId="0" xfId="0" applyNumberFormat="1" applyFont="1" applyBorder="1" applyAlignment="1">
      <alignment horizontal="center"/>
    </xf>
    <xf numFmtId="167" fontId="7" fillId="0" borderId="0" xfId="0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37" fontId="8" fillId="0" borderId="7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10" fillId="0" borderId="0" xfId="0" applyNumberFormat="1" applyFont="1" applyFill="1" applyAlignment="1">
      <alignment horizontal="left"/>
    </xf>
    <xf numFmtId="37" fontId="7" fillId="0" borderId="10" xfId="0" applyNumberFormat="1" applyFont="1" applyBorder="1" applyAlignment="1">
      <alignment horizontal="center" vertical="center"/>
    </xf>
    <xf numFmtId="9" fontId="31" fillId="0" borderId="0" xfId="0" applyNumberFormat="1" applyFont="1" applyFill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37" fontId="6" fillId="0" borderId="0" xfId="0" applyNumberFormat="1" applyFont="1" applyBorder="1" applyAlignment="1">
      <alignment horizontal="center" vertical="center"/>
    </xf>
    <xf numFmtId="167" fontId="24" fillId="0" borderId="0" xfId="0" applyNumberFormat="1" applyFont="1" applyBorder="1" applyAlignment="1">
      <alignment horizontal="center" vertical="center"/>
    </xf>
    <xf numFmtId="37" fontId="6" fillId="0" borderId="21" xfId="0" applyNumberFormat="1" applyFon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24" fillId="0" borderId="7" xfId="0" applyNumberFormat="1" applyFont="1" applyBorder="1" applyAlignment="1">
      <alignment horizontal="center" vertical="center"/>
    </xf>
    <xf numFmtId="37" fontId="6" fillId="0" borderId="20" xfId="0" applyNumberFormat="1" applyFont="1" applyBorder="1" applyAlignment="1">
      <alignment horizontal="center" vertical="center"/>
    </xf>
    <xf numFmtId="9" fontId="0" fillId="3" borderId="0" xfId="1" applyFont="1" applyFill="1"/>
    <xf numFmtId="0" fontId="0" fillId="0" borderId="10" xfId="0" applyBorder="1"/>
    <xf numFmtId="1" fontId="0" fillId="0" borderId="0" xfId="1" applyNumberFormat="1" applyFont="1"/>
    <xf numFmtId="9" fontId="8" fillId="0" borderId="0" xfId="0" applyNumberFormat="1" applyFont="1" applyFill="1" applyAlignment="1">
      <alignment horizontal="center" vertical="center"/>
    </xf>
    <xf numFmtId="9" fontId="0" fillId="3" borderId="0" xfId="1" applyFont="1" applyFill="1" applyAlignment="1">
      <alignment horizontal="center"/>
    </xf>
    <xf numFmtId="37" fontId="7" fillId="0" borderId="0" xfId="0" applyNumberFormat="1" applyFont="1" applyFill="1" applyBorder="1" applyAlignment="1">
      <alignment horizontal="center" vertical="center"/>
    </xf>
    <xf numFmtId="37" fontId="7" fillId="0" borderId="0" xfId="0" applyNumberFormat="1" applyFont="1" applyFill="1" applyBorder="1" applyAlignment="1">
      <alignment horizontal="center" vertical="top"/>
    </xf>
    <xf numFmtId="9" fontId="0" fillId="0" borderId="0" xfId="0" applyNumberFormat="1" applyFill="1" applyAlignment="1">
      <alignment horizontal="center" vertical="center"/>
    </xf>
    <xf numFmtId="0" fontId="32" fillId="0" borderId="0" xfId="0" applyFont="1"/>
    <xf numFmtId="3" fontId="17" fillId="2" borderId="7" xfId="0" applyNumberFormat="1" applyFont="1" applyFill="1" applyBorder="1" applyAlignment="1">
      <alignment horizontal="center" vertical="center"/>
    </xf>
    <xf numFmtId="0" fontId="0" fillId="0" borderId="0" xfId="0" applyBorder="1"/>
    <xf numFmtId="37" fontId="8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8" xfId="0" applyBorder="1"/>
    <xf numFmtId="0" fontId="0" fillId="0" borderId="18" xfId="0" applyBorder="1"/>
    <xf numFmtId="0" fontId="5" fillId="0" borderId="2" xfId="0" applyFont="1" applyFill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0" fontId="7" fillId="0" borderId="0" xfId="0" applyFont="1" applyFill="1" applyBorder="1" applyAlignment="1">
      <alignment vertical="top" wrapText="1"/>
    </xf>
    <xf numFmtId="9" fontId="11" fillId="0" borderId="0" xfId="0" applyNumberFormat="1" applyFont="1" applyFill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0" fontId="12" fillId="0" borderId="0" xfId="0" applyFont="1" applyBorder="1"/>
    <xf numFmtId="0" fontId="0" fillId="0" borderId="0" xfId="0" applyFill="1" applyBorder="1"/>
    <xf numFmtId="0" fontId="10" fillId="0" borderId="0" xfId="0" applyFont="1" applyFill="1" applyBorder="1"/>
    <xf numFmtId="166" fontId="0" fillId="0" borderId="0" xfId="0" applyNumberFormat="1" applyFill="1" applyBorder="1" applyAlignment="1">
      <alignment horizontal="center"/>
    </xf>
    <xf numFmtId="0" fontId="12" fillId="0" borderId="0" xfId="0" applyFont="1" applyFill="1"/>
    <xf numFmtId="9" fontId="12" fillId="0" borderId="0" xfId="1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6" fontId="12" fillId="0" borderId="0" xfId="0" applyNumberFormat="1" applyFont="1" applyFill="1" applyAlignment="1">
      <alignment horizontal="center" vertical="center"/>
    </xf>
    <xf numFmtId="0" fontId="34" fillId="4" borderId="0" xfId="0" applyFont="1" applyFill="1" applyBorder="1"/>
    <xf numFmtId="0" fontId="12" fillId="0" borderId="0" xfId="0" applyFont="1"/>
    <xf numFmtId="3" fontId="12" fillId="0" borderId="0" xfId="0" applyNumberFormat="1" applyFont="1"/>
    <xf numFmtId="37" fontId="0" fillId="2" borderId="23" xfId="0" applyNumberFormat="1" applyFill="1" applyBorder="1" applyAlignment="1">
      <alignment horizontal="center" vertical="center"/>
    </xf>
    <xf numFmtId="37" fontId="0" fillId="2" borderId="0" xfId="0" applyNumberFormat="1" applyFill="1" applyBorder="1" applyAlignment="1">
      <alignment horizontal="center" vertical="center"/>
    </xf>
    <xf numFmtId="37" fontId="0" fillId="2" borderId="4" xfId="0" applyNumberForma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66" fontId="0" fillId="0" borderId="0" xfId="1" applyNumberFormat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left" vertical="center"/>
    </xf>
    <xf numFmtId="166" fontId="0" fillId="0" borderId="21" xfId="0" applyNumberFormat="1" applyFill="1" applyBorder="1" applyAlignment="1">
      <alignment horizontal="center"/>
    </xf>
    <xf numFmtId="37" fontId="0" fillId="0" borderId="21" xfId="0" applyNumberFormat="1" applyFill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166" fontId="0" fillId="0" borderId="7" xfId="1" applyNumberFormat="1" applyFont="1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37" fontId="0" fillId="0" borderId="20" xfId="0" applyNumberFormat="1" applyFill="1" applyBorder="1" applyAlignment="1">
      <alignment horizontal="center"/>
    </xf>
    <xf numFmtId="0" fontId="12" fillId="0" borderId="5" xfId="2" applyFont="1" applyBorder="1" applyAlignment="1">
      <alignment horizontal="left" vertical="center"/>
    </xf>
    <xf numFmtId="0" fontId="10" fillId="0" borderId="22" xfId="2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166" fontId="0" fillId="0" borderId="21" xfId="1" applyNumberFormat="1" applyFont="1" applyFill="1" applyBorder="1" applyAlignment="1">
      <alignment horizontal="center"/>
    </xf>
    <xf numFmtId="166" fontId="0" fillId="0" borderId="20" xfId="1" applyNumberFormat="1" applyFont="1" applyFill="1" applyBorder="1" applyAlignment="1">
      <alignment horizontal="center"/>
    </xf>
    <xf numFmtId="0" fontId="10" fillId="0" borderId="22" xfId="2" applyFont="1" applyBorder="1" applyAlignment="1">
      <alignment horizontal="left"/>
    </xf>
    <xf numFmtId="0" fontId="10" fillId="0" borderId="5" xfId="0" applyFont="1" applyBorder="1" applyAlignment="1">
      <alignment horizontal="left" vertic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2" fillId="0" borderId="1" xfId="2" applyFont="1" applyBorder="1" applyAlignment="1">
      <alignment horizontal="left" vertical="center"/>
    </xf>
    <xf numFmtId="0" fontId="0" fillId="0" borderId="24" xfId="0" applyBorder="1"/>
    <xf numFmtId="0" fontId="0" fillId="0" borderId="1" xfId="0" applyFill="1" applyBorder="1"/>
    <xf numFmtId="0" fontId="7" fillId="0" borderId="24" xfId="0" applyFont="1" applyBorder="1" applyAlignment="1">
      <alignment vertical="top" wrapText="1"/>
    </xf>
    <xf numFmtId="37" fontId="0" fillId="0" borderId="18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2" fillId="0" borderId="13" xfId="2" applyFon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7" fontId="34" fillId="0" borderId="0" xfId="0" applyNumberFormat="1" applyFont="1" applyBorder="1" applyAlignment="1">
      <alignment horizontal="center" vertical="center"/>
    </xf>
    <xf numFmtId="37" fontId="34" fillId="0" borderId="4" xfId="0" applyNumberFormat="1" applyFont="1" applyBorder="1" applyAlignment="1">
      <alignment horizontal="center" vertical="center"/>
    </xf>
    <xf numFmtId="166" fontId="34" fillId="0" borderId="0" xfId="0" applyNumberFormat="1" applyFont="1" applyBorder="1" applyAlignment="1">
      <alignment horizontal="center" vertical="center"/>
    </xf>
    <xf numFmtId="166" fontId="34" fillId="0" borderId="7" xfId="0" applyNumberFormat="1" applyFont="1" applyBorder="1" applyAlignment="1">
      <alignment horizontal="center" vertical="center"/>
    </xf>
    <xf numFmtId="37" fontId="34" fillId="0" borderId="7" xfId="0" applyNumberFormat="1" applyFont="1" applyBorder="1" applyAlignment="1">
      <alignment horizontal="center" vertical="center"/>
    </xf>
    <xf numFmtId="167" fontId="34" fillId="0" borderId="0" xfId="0" applyNumberFormat="1" applyFont="1" applyBorder="1" applyAlignment="1">
      <alignment horizontal="center" vertical="center"/>
    </xf>
    <xf numFmtId="167" fontId="34" fillId="0" borderId="7" xfId="0" applyNumberFormat="1" applyFont="1" applyBorder="1" applyAlignment="1">
      <alignment horizontal="center" vertical="center"/>
    </xf>
    <xf numFmtId="37" fontId="34" fillId="0" borderId="10" xfId="0" applyNumberFormat="1" applyFont="1" applyBorder="1" applyAlignment="1">
      <alignment horizontal="center" vertical="center"/>
    </xf>
    <xf numFmtId="37" fontId="34" fillId="0" borderId="21" xfId="0" applyNumberFormat="1" applyFont="1" applyBorder="1" applyAlignment="1">
      <alignment horizontal="center" vertical="center"/>
    </xf>
    <xf numFmtId="37" fontId="34" fillId="0" borderId="20" xfId="0" applyNumberFormat="1" applyFont="1" applyBorder="1" applyAlignment="1">
      <alignment horizontal="center" vertical="center"/>
    </xf>
    <xf numFmtId="37" fontId="7" fillId="0" borderId="0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70" fontId="0" fillId="0" borderId="9" xfId="0" applyNumberFormat="1" applyBorder="1"/>
    <xf numFmtId="170" fontId="22" fillId="0" borderId="9" xfId="0" applyNumberFormat="1" applyFont="1" applyBorder="1" applyAlignment="1">
      <alignment horizontal="center"/>
    </xf>
    <xf numFmtId="0" fontId="3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17" xfId="0" applyBorder="1"/>
    <xf numFmtId="10" fontId="0" fillId="0" borderId="0" xfId="0" applyNumberFormat="1" applyAlignment="1">
      <alignment horizontal="left"/>
    </xf>
    <xf numFmtId="170" fontId="10" fillId="0" borderId="0" xfId="0" applyNumberFormat="1" applyFont="1" applyAlignment="1">
      <alignment horizontal="left"/>
    </xf>
    <xf numFmtId="0" fontId="10" fillId="0" borderId="7" xfId="0" applyFont="1" applyBorder="1"/>
    <xf numFmtId="0" fontId="10" fillId="0" borderId="9" xfId="0" applyFont="1" applyBorder="1"/>
    <xf numFmtId="37" fontId="22" fillId="0" borderId="0" xfId="0" applyNumberFormat="1" applyFont="1" applyBorder="1" applyAlignment="1">
      <alignment horizontal="center" vertical="center"/>
    </xf>
    <xf numFmtId="37" fontId="22" fillId="0" borderId="7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left" vertical="center"/>
    </xf>
    <xf numFmtId="37" fontId="22" fillId="0" borderId="0" xfId="0" applyNumberFormat="1" applyFont="1" applyAlignment="1">
      <alignment horizontal="center" vertical="center"/>
    </xf>
    <xf numFmtId="0" fontId="16" fillId="0" borderId="25" xfId="0" applyFont="1" applyBorder="1" applyAlignment="1">
      <alignment horizontal="left" vertical="center"/>
    </xf>
    <xf numFmtId="37" fontId="0" fillId="0" borderId="9" xfId="0" applyNumberFormat="1" applyFont="1" applyBorder="1" applyAlignment="1">
      <alignment horizontal="center"/>
    </xf>
    <xf numFmtId="37" fontId="0" fillId="0" borderId="10" xfId="0" applyNumberFormat="1" applyFont="1" applyBorder="1" applyAlignment="1">
      <alignment horizontal="center"/>
    </xf>
    <xf numFmtId="37" fontId="0" fillId="0" borderId="9" xfId="0" applyNumberFormat="1" applyFont="1" applyBorder="1" applyAlignment="1">
      <alignment horizontal="center" vertical="center"/>
    </xf>
    <xf numFmtId="37" fontId="0" fillId="0" borderId="10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3" borderId="0" xfId="1" applyNumberFormat="1" applyFont="1" applyFill="1" applyAlignment="1">
      <alignment horizontal="center" vertical="center"/>
    </xf>
    <xf numFmtId="166" fontId="37" fillId="2" borderId="0" xfId="0" applyNumberFormat="1" applyFont="1" applyFill="1" applyBorder="1" applyAlignment="1">
      <alignment horizontal="center"/>
    </xf>
    <xf numFmtId="0" fontId="37" fillId="2" borderId="0" xfId="0" applyFont="1" applyFill="1" applyBorder="1" applyAlignment="1">
      <alignment horizontal="left"/>
    </xf>
    <xf numFmtId="0" fontId="37" fillId="2" borderId="0" xfId="0" applyFont="1" applyFill="1" applyAlignment="1"/>
    <xf numFmtId="0" fontId="0" fillId="0" borderId="0" xfId="0" applyBorder="1" applyAlignment="1">
      <alignment vertical="center"/>
    </xf>
    <xf numFmtId="164" fontId="0" fillId="0" borderId="0" xfId="1" applyNumberFormat="1" applyFont="1" applyBorder="1" applyAlignment="1">
      <alignment horizontal="center" vertical="center"/>
    </xf>
    <xf numFmtId="3" fontId="28" fillId="0" borderId="0" xfId="0" applyNumberFormat="1" applyFont="1"/>
    <xf numFmtId="0" fontId="27" fillId="0" borderId="0" xfId="0" applyFont="1"/>
    <xf numFmtId="0" fontId="29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4" fillId="4" borderId="0" xfId="0" applyFont="1" applyFill="1" applyBorder="1" applyAlignment="1">
      <alignment horizontal="center" vertical="center"/>
    </xf>
    <xf numFmtId="2" fontId="0" fillId="3" borderId="0" xfId="1" applyNumberFormat="1" applyFont="1" applyFill="1" applyAlignment="1">
      <alignment horizontal="center" vertical="center"/>
    </xf>
    <xf numFmtId="2" fontId="0" fillId="3" borderId="7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71" fontId="6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1" fontId="0" fillId="0" borderId="7" xfId="1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0" borderId="26" xfId="1" applyNumberFormat="1" applyFont="1" applyBorder="1" applyAlignment="1">
      <alignment horizontal="center"/>
    </xf>
    <xf numFmtId="1" fontId="38" fillId="0" borderId="12" xfId="0" applyNumberFormat="1" applyFont="1" applyBorder="1" applyAlignment="1">
      <alignment horizontal="center" vertical="center"/>
    </xf>
    <xf numFmtId="1" fontId="38" fillId="0" borderId="12" xfId="0" applyNumberFormat="1" applyFont="1" applyBorder="1" applyAlignment="1">
      <alignment horizontal="center"/>
    </xf>
    <xf numFmtId="1" fontId="38" fillId="0" borderId="12" xfId="1" applyNumberFormat="1" applyFont="1" applyBorder="1" applyAlignment="1">
      <alignment horizontal="center" vertical="center"/>
    </xf>
    <xf numFmtId="1" fontId="38" fillId="0" borderId="14" xfId="1" applyNumberFormat="1" applyFont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NumberFormat="1"/>
    <xf numFmtId="0" fontId="22" fillId="5" borderId="27" xfId="0" applyFont="1" applyFill="1" applyBorder="1"/>
    <xf numFmtId="0" fontId="0" fillId="0" borderId="0" xfId="0" pivotButton="1"/>
    <xf numFmtId="166" fontId="0" fillId="0" borderId="0" xfId="0" applyNumberFormat="1" applyAlignment="1">
      <alignment horizontal="left"/>
    </xf>
    <xf numFmtId="0" fontId="0" fillId="6" borderId="0" xfId="0" applyFill="1"/>
    <xf numFmtId="0" fontId="17" fillId="6" borderId="0" xfId="0" applyFont="1" applyFill="1"/>
    <xf numFmtId="0" fontId="39" fillId="6" borderId="0" xfId="0" applyFont="1" applyFill="1"/>
    <xf numFmtId="0" fontId="39" fillId="6" borderId="0" xfId="0" applyFont="1" applyFill="1" applyAlignment="1">
      <alignment horizontal="center"/>
    </xf>
    <xf numFmtId="0" fontId="17" fillId="0" borderId="0" xfId="0" applyFont="1"/>
    <xf numFmtId="0" fontId="40" fillId="6" borderId="0" xfId="0" applyFont="1" applyFill="1" applyAlignment="1">
      <alignment horizontal="center"/>
    </xf>
    <xf numFmtId="0" fontId="41" fillId="6" borderId="0" xfId="0" applyFont="1" applyFill="1"/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29" xfId="0" applyBorder="1" applyAlignment="1">
      <alignment vertical="center"/>
    </xf>
    <xf numFmtId="0" fontId="0" fillId="3" borderId="0" xfId="0" applyFill="1" applyAlignment="1">
      <alignment horizontal="left"/>
    </xf>
    <xf numFmtId="164" fontId="0" fillId="3" borderId="0" xfId="1" applyNumberFormat="1" applyFont="1" applyFill="1" applyAlignment="1">
      <alignment horizontal="center"/>
    </xf>
    <xf numFmtId="164" fontId="0" fillId="3" borderId="0" xfId="1" applyNumberFormat="1" applyFont="1" applyFill="1"/>
    <xf numFmtId="166" fontId="22" fillId="5" borderId="28" xfId="0" applyNumberFormat="1" applyFont="1" applyFill="1" applyBorder="1" applyAlignment="1">
      <alignment horizontal="left"/>
    </xf>
    <xf numFmtId="0" fontId="22" fillId="5" borderId="28" xfId="0" applyNumberFormat="1" applyFont="1" applyFill="1" applyBorder="1"/>
    <xf numFmtId="0" fontId="41" fillId="7" borderId="0" xfId="0" applyFont="1" applyFill="1" applyAlignment="1">
      <alignment horizontal="center"/>
    </xf>
    <xf numFmtId="0" fontId="22" fillId="0" borderId="27" xfId="0" applyFont="1" applyFill="1" applyBorder="1"/>
    <xf numFmtId="0" fontId="22" fillId="0" borderId="0" xfId="0" applyFont="1" applyFill="1" applyBorder="1"/>
    <xf numFmtId="0" fontId="22" fillId="5" borderId="0" xfId="0" applyFont="1" applyFill="1" applyBorder="1"/>
    <xf numFmtId="0" fontId="22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2" fillId="5" borderId="28" xfId="0" applyFont="1" applyFill="1" applyBorder="1" applyAlignment="1">
      <alignment horizontal="left"/>
    </xf>
    <xf numFmtId="0" fontId="42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9" fontId="12" fillId="0" borderId="0" xfId="1" applyFont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164" fontId="12" fillId="0" borderId="0" xfId="1" applyNumberFormat="1" applyFont="1" applyAlignment="1">
      <alignment horizontal="center"/>
    </xf>
    <xf numFmtId="10" fontId="12" fillId="0" borderId="0" xfId="1" applyNumberFormat="1" applyFont="1" applyAlignment="1">
      <alignment horizontal="center"/>
    </xf>
    <xf numFmtId="10" fontId="12" fillId="0" borderId="0" xfId="1" applyNumberFormat="1" applyFont="1" applyFill="1" applyBorder="1" applyAlignment="1">
      <alignment horizontal="center"/>
    </xf>
    <xf numFmtId="10" fontId="12" fillId="0" borderId="0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64" fontId="0" fillId="0" borderId="6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74" fontId="12" fillId="0" borderId="0" xfId="0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Normal 2" xfId="2" xr:uid="{C828F8C1-ECA3-C748-95B2-C099419C2991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'Pivot Tables'!$B$46</c:f>
          <c:strCache>
            <c:ptCount val="1"/>
            <c:pt idx="0">
              <c:v>Contribution of Sum of Google Cloud to Revenue and Net Income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466106210407908E-2"/>
          <c:y val="3.2026523000414413E-2"/>
          <c:w val="0.91999254040613343"/>
          <c:h val="0.72555118110236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Tables'!$B$48</c:f>
              <c:strCache>
                <c:ptCount val="1"/>
                <c:pt idx="0">
                  <c:v>Sum of Total Revenue: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'Pivot Tables'!$A$49:$A$56</c:f>
              <c:numCache>
                <c:formatCode>0_);\(0\)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'Pivot Tables'!$B$49:$B$56</c:f>
              <c:numCache>
                <c:formatCode>General</c:formatCode>
                <c:ptCount val="8"/>
                <c:pt idx="0">
                  <c:v>161857</c:v>
                </c:pt>
                <c:pt idx="1">
                  <c:v>182527</c:v>
                </c:pt>
                <c:pt idx="2">
                  <c:v>257637</c:v>
                </c:pt>
                <c:pt idx="3">
                  <c:v>313061.125</c:v>
                </c:pt>
                <c:pt idx="4">
                  <c:v>383660.80912211793</c:v>
                </c:pt>
                <c:pt idx="5">
                  <c:v>474018.32246485417</c:v>
                </c:pt>
                <c:pt idx="6">
                  <c:v>590396.48350335471</c:v>
                </c:pt>
                <c:pt idx="7">
                  <c:v>735347.11890587595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A-4D42-8438-5D638F927B4F}"/>
            </c:ext>
          </c:extLst>
        </c:ser>
        <c:ser>
          <c:idx val="1"/>
          <c:order val="1"/>
          <c:tx>
            <c:strRef>
              <c:f>'Pivot Tables'!$C$48</c:f>
              <c:strCache>
                <c:ptCount val="1"/>
                <c:pt idx="0">
                  <c:v>Sum of Net Income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'Pivot Tables'!$A$49:$A$56</c:f>
              <c:numCache>
                <c:formatCode>0_);\(0\)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cat>
          <c:val>
            <c:numRef>
              <c:f>'Pivot Tables'!$C$49:$C$56</c:f>
              <c:numCache>
                <c:formatCode>General</c:formatCode>
                <c:ptCount val="8"/>
                <c:pt idx="0">
                  <c:v>34343</c:v>
                </c:pt>
                <c:pt idx="1">
                  <c:v>40269</c:v>
                </c:pt>
                <c:pt idx="2">
                  <c:v>76033</c:v>
                </c:pt>
                <c:pt idx="3">
                  <c:v>56413.997988307041</c:v>
                </c:pt>
                <c:pt idx="4">
                  <c:v>75861.382235391691</c:v>
                </c:pt>
                <c:pt idx="5">
                  <c:v>103454.96321077083</c:v>
                </c:pt>
                <c:pt idx="6">
                  <c:v>137271.51988589799</c:v>
                </c:pt>
                <c:pt idx="7">
                  <c:v>171328.24925698197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A-4D42-8438-5D638F927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89087"/>
        <c:axId val="2117320143"/>
      </c:barChart>
      <c:lineChart>
        <c:grouping val="standard"/>
        <c:varyColors val="0"/>
        <c:ser>
          <c:idx val="2"/>
          <c:order val="2"/>
          <c:tx>
            <c:strRef>
              <c:f>'Pivot Tables'!$D$48</c:f>
              <c:strCache>
                <c:ptCount val="1"/>
                <c:pt idx="0">
                  <c:v>Sum of Google Cloud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39000">
                    <a:schemeClr val="accent1">
                      <a:lumMod val="45000"/>
                      <a:lumOff val="55000"/>
                    </a:schemeClr>
                  </a:gs>
                  <a:gs pos="62000">
                    <a:schemeClr val="accent1">
                      <a:lumMod val="45000"/>
                      <a:lumOff val="55000"/>
                    </a:schemeClr>
                  </a:gs>
                  <a:gs pos="91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round/>
            </a:ln>
            <a:effectLst/>
          </c:spPr>
          <c:marker>
            <c:symbol val="none"/>
          </c:marker>
          <c:val>
            <c:numRef>
              <c:f>'Pivot Tables'!$D$49:$D$56</c:f>
              <c:numCache>
                <c:formatCode>General</c:formatCode>
                <c:ptCount val="8"/>
                <c:pt idx="0">
                  <c:v>8918</c:v>
                </c:pt>
                <c:pt idx="1">
                  <c:v>13059</c:v>
                </c:pt>
                <c:pt idx="2">
                  <c:v>19206</c:v>
                </c:pt>
                <c:pt idx="3">
                  <c:v>20994.958496310421</c:v>
                </c:pt>
                <c:pt idx="4">
                  <c:v>27259.838858961655</c:v>
                </c:pt>
                <c:pt idx="5">
                  <c:v>33601.913570930228</c:v>
                </c:pt>
                <c:pt idx="6">
                  <c:v>41131.495322628762</c:v>
                </c:pt>
                <c:pt idx="7">
                  <c:v>51868.169661339969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A-4D42-8438-5D638F927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89087"/>
        <c:axId val="2117320143"/>
      </c:lineChart>
      <c:catAx>
        <c:axId val="2117289087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320143"/>
        <c:crosses val="autoZero"/>
        <c:auto val="1"/>
        <c:lblAlgn val="ctr"/>
        <c:lblOffset val="100"/>
        <c:tickLblSkip val="1"/>
        <c:noMultiLvlLbl val="0"/>
      </c:catAx>
      <c:valAx>
        <c:axId val="211732014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67000"/>
          </a:schemeClr>
        </a:gs>
        <a:gs pos="48000">
          <a:schemeClr val="accent1">
            <a:lumMod val="97000"/>
            <a:lumOff val="3000"/>
          </a:schemeClr>
        </a:gs>
        <a:gs pos="100000">
          <a:schemeClr val="accent1">
            <a:lumMod val="60000"/>
            <a:lumOff val="40000"/>
          </a:schemeClr>
        </a:gs>
      </a:gsLst>
      <a:lin ang="162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'Pivot Tables'!$I$46</c:f>
          <c:strCache>
            <c:ptCount val="1"/>
            <c:pt idx="0">
              <c:v>Revenue Breakdown for 2026 by sector </c:v>
            </c:pt>
          </c:strCache>
        </c:strRef>
      </c:tx>
      <c:overlay val="1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89476793961241E-2"/>
          <c:y val="3.3816425120772944E-2"/>
          <c:w val="0.91540581929555898"/>
          <c:h val="0.728743200578188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trendline>
            <c:spPr>
              <a:ln w="34925" cap="rnd">
                <a:solidFill>
                  <a:schemeClr val="bg2">
                    <a:lumMod val="10000"/>
                    <a:alpha val="77000"/>
                  </a:schemeClr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'Pivot Tables'!$H$48:$R$48</c:f>
              <c:strCache>
                <c:ptCount val="11"/>
                <c:pt idx="0">
                  <c:v>Row Labels</c:v>
                </c:pt>
                <c:pt idx="1">
                  <c:v>Sum of Google Search &amp; other</c:v>
                </c:pt>
                <c:pt idx="2">
                  <c:v>Sum of YouTube ads</c:v>
                </c:pt>
                <c:pt idx="3">
                  <c:v>Sum of Google Network</c:v>
                </c:pt>
                <c:pt idx="4">
                  <c:v>Sum of Google advertising</c:v>
                </c:pt>
                <c:pt idx="5">
                  <c:v>Sum of Google other</c:v>
                </c:pt>
                <c:pt idx="6">
                  <c:v>Sum of Google Services total</c:v>
                </c:pt>
                <c:pt idx="7">
                  <c:v>Sum of Google Cloud</c:v>
                </c:pt>
                <c:pt idx="8">
                  <c:v>Sum of Other Bets</c:v>
                </c:pt>
                <c:pt idx="9">
                  <c:v>Sum of Hedging gains (losses)</c:v>
                </c:pt>
                <c:pt idx="10">
                  <c:v>Sum of Total Revenue:</c:v>
                </c:pt>
              </c:strCache>
            </c:strRef>
          </c:cat>
          <c:val>
            <c:numRef>
              <c:f>'Pivot Tables'!$H$49:$R$49</c:f>
              <c:numCache>
                <c:formatCode>General</c:formatCode>
                <c:ptCount val="11"/>
                <c:pt idx="0" formatCode="0_);\(0\)">
                  <c:v>2026</c:v>
                </c:pt>
                <c:pt idx="1">
                  <c:v>426211.22385980107</c:v>
                </c:pt>
                <c:pt idx="2">
                  <c:v>79337.811292848142</c:v>
                </c:pt>
                <c:pt idx="3">
                  <c:v>92498.506234288507</c:v>
                </c:pt>
                <c:pt idx="4">
                  <c:v>598047.54138693784</c:v>
                </c:pt>
                <c:pt idx="5">
                  <c:v>82204.961489774345</c:v>
                </c:pt>
                <c:pt idx="6">
                  <c:v>680252.50287671213</c:v>
                </c:pt>
                <c:pt idx="7">
                  <c:v>51868.169661339969</c:v>
                </c:pt>
                <c:pt idx="8">
                  <c:v>2451.9099511271056</c:v>
                </c:pt>
                <c:pt idx="9">
                  <c:v>774.53641669671413</c:v>
                </c:pt>
                <c:pt idx="10">
                  <c:v>735347.11890587595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D-844C-86A2-534369241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04368"/>
        <c:axId val="25013600"/>
      </c:barChart>
      <c:catAx>
        <c:axId val="2450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3600"/>
        <c:crosses val="autoZero"/>
        <c:auto val="1"/>
        <c:lblAlgn val="ctr"/>
        <c:lblOffset val="100"/>
        <c:noMultiLvlLbl val="0"/>
      </c:catAx>
      <c:valAx>
        <c:axId val="25013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_);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0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67000"/>
          </a:schemeClr>
        </a:gs>
        <a:gs pos="48000">
          <a:schemeClr val="accent1">
            <a:lumMod val="97000"/>
            <a:lumOff val="3000"/>
          </a:schemeClr>
        </a:gs>
        <a:gs pos="100000">
          <a:schemeClr val="accent1">
            <a:lumMod val="60000"/>
            <a:lumOff val="40000"/>
          </a:schemeClr>
        </a:gs>
      </a:gsLst>
      <a:lin ang="162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'Pivot Tables'!$O$58</c:f>
          <c:strCache>
            <c:ptCount val="1"/>
            <c:pt idx="0">
              <c:v>40%</c:v>
            </c:pt>
          </c:strCache>
        </c:strRef>
      </c:tx>
      <c:layout>
        <c:manualLayout>
          <c:xMode val="edge"/>
          <c:yMode val="edge"/>
          <c:x val="0.40572300814093154"/>
          <c:y val="0.381707229778095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2DD-6E48-9226-496FE9C88815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DD-6E48-9226-496FE9C88815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DD-6E48-9226-496FE9C88815}"/>
              </c:ext>
            </c:extLst>
          </c:dPt>
          <c:cat>
            <c:strRef>
              <c:f>'Pivot Tables'!$M$57:$O$57</c:f>
              <c:strCache>
                <c:ptCount val="3"/>
                <c:pt idx="0">
                  <c:v>Sum of COGS</c:v>
                </c:pt>
                <c:pt idx="1">
                  <c:v>Sum of Revenue</c:v>
                </c:pt>
                <c:pt idx="2">
                  <c:v>% of Revenue</c:v>
                </c:pt>
              </c:strCache>
            </c:strRef>
          </c:cat>
          <c:val>
            <c:numRef>
              <c:f>'Pivot Tables'!$M$58:$O$58</c:f>
              <c:numCache>
                <c:formatCode>General</c:formatCode>
                <c:ptCount val="3"/>
                <c:pt idx="0">
                  <c:v>235821.06200056101</c:v>
                </c:pt>
                <c:pt idx="1">
                  <c:v>590396.48350335471</c:v>
                </c:pt>
                <c:pt idx="2" formatCode="0%">
                  <c:v>0.39942829706779759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D-6E48-9226-496FE9C8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Dashboard!$R$24</c:f>
          <c:strCache>
            <c:ptCount val="1"/>
            <c:pt idx="0">
              <c:v>Asset Turnover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'Pivot Tables'!$Q$85</c:f>
              <c:strCache>
                <c:ptCount val="1"/>
                <c:pt idx="0">
                  <c:v>Asset Turnover</c:v>
                </c:pt>
              </c:strCache>
            </c:strRef>
          </c:tx>
          <c:spPr>
            <a:ln w="69850" cap="flat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'Pivot Tables'!$P$86:$P$93</c:f>
              <c:numCache>
                <c:formatCode>0_);\(0\)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</c:numCache>
            </c:numRef>
          </c:xVal>
          <c:yVal>
            <c:numRef>
              <c:f>'Pivot Tables'!$Q$86:$Q$93</c:f>
              <c:numCache>
                <c:formatCode>0.00_);\(0.00\)</c:formatCode>
                <c:ptCount val="8"/>
                <c:pt idx="0">
                  <c:v>0.58663182426089766</c:v>
                </c:pt>
                <c:pt idx="1">
                  <c:v>0.61299525628646989</c:v>
                </c:pt>
                <c:pt idx="2">
                  <c:v>0.75900153781794832</c:v>
                </c:pt>
                <c:pt idx="3">
                  <c:v>0.80566844587079756</c:v>
                </c:pt>
                <c:pt idx="4">
                  <c:v>0.85729946287796521</c:v>
                </c:pt>
                <c:pt idx="5">
                  <c:v>0.91827955173786269</c:v>
                </c:pt>
                <c:pt idx="6">
                  <c:v>0.98166401691408911</c:v>
                </c:pt>
                <c:pt idx="7">
                  <c:v>1.0338575917609705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1-8E47-8DF9-56749CC76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71072"/>
        <c:axId val="102272720"/>
      </c:scatterChart>
      <c:valAx>
        <c:axId val="102271072"/>
        <c:scaling>
          <c:orientation val="minMax"/>
          <c:max val="2026"/>
          <c:min val="2019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2720"/>
        <c:crosses val="autoZero"/>
        <c:crossBetween val="midCat"/>
        <c:majorUnit val="2"/>
      </c:valAx>
      <c:valAx>
        <c:axId val="1022727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_);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1072"/>
        <c:crossesAt val="2018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67000"/>
          </a:schemeClr>
        </a:gs>
        <a:gs pos="48000">
          <a:schemeClr val="accent1">
            <a:lumMod val="97000"/>
            <a:lumOff val="3000"/>
          </a:schemeClr>
        </a:gs>
        <a:gs pos="100000">
          <a:schemeClr val="accent1">
            <a:lumMod val="60000"/>
            <a:lumOff val="40000"/>
          </a:schemeClr>
        </a:gs>
      </a:gsLst>
      <a:lin ang="162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5</xdr:row>
      <xdr:rowOff>127000</xdr:rowOff>
    </xdr:from>
    <xdr:to>
      <xdr:col>16</xdr:col>
      <xdr:colOff>596900</xdr:colOff>
      <xdr:row>43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C11E95B-82AB-F671-891C-6ADBB83A8140}"/>
            </a:ext>
          </a:extLst>
        </xdr:cNvPr>
        <xdr:cNvSpPr/>
      </xdr:nvSpPr>
      <xdr:spPr>
        <a:xfrm>
          <a:off x="927100" y="1358900"/>
          <a:ext cx="12877800" cy="7721600"/>
        </a:xfrm>
        <a:prstGeom prst="roundRect">
          <a:avLst>
            <a:gd name="adj" fmla="val 33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508000</xdr:colOff>
      <xdr:row>6</xdr:row>
      <xdr:rowOff>127000</xdr:rowOff>
    </xdr:from>
    <xdr:to>
      <xdr:col>5</xdr:col>
      <xdr:colOff>190500</xdr:colOff>
      <xdr:row>21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98A7697-C27A-915F-129B-DB62D4BFDFE2}"/>
            </a:ext>
          </a:extLst>
        </xdr:cNvPr>
        <xdr:cNvSpPr/>
      </xdr:nvSpPr>
      <xdr:spPr>
        <a:xfrm>
          <a:off x="1333500" y="1549400"/>
          <a:ext cx="2984500" cy="31877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520700</xdr:colOff>
      <xdr:row>22</xdr:row>
      <xdr:rowOff>25400</xdr:rowOff>
    </xdr:from>
    <xdr:to>
      <xdr:col>5</xdr:col>
      <xdr:colOff>469900</xdr:colOff>
      <xdr:row>39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826FE1B-0804-D747-AE63-51D93680B39B}"/>
            </a:ext>
          </a:extLst>
        </xdr:cNvPr>
        <xdr:cNvSpPr/>
      </xdr:nvSpPr>
      <xdr:spPr>
        <a:xfrm>
          <a:off x="1346200" y="4953000"/>
          <a:ext cx="3251200" cy="34417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457200</xdr:colOff>
      <xdr:row>7</xdr:row>
      <xdr:rowOff>38100</xdr:rowOff>
    </xdr:from>
    <xdr:to>
      <xdr:col>16</xdr:col>
      <xdr:colOff>381000</xdr:colOff>
      <xdr:row>21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CF5DF01-7B51-E940-8DD4-BAA516E5571C}"/>
            </a:ext>
          </a:extLst>
        </xdr:cNvPr>
        <xdr:cNvSpPr/>
      </xdr:nvSpPr>
      <xdr:spPr>
        <a:xfrm>
          <a:off x="4584700" y="1651000"/>
          <a:ext cx="9004300" cy="31623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558800</xdr:colOff>
      <xdr:row>21</xdr:row>
      <xdr:rowOff>165100</xdr:rowOff>
    </xdr:from>
    <xdr:to>
      <xdr:col>16</xdr:col>
      <xdr:colOff>393700</xdr:colOff>
      <xdr:row>39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CDE60E-FF3B-7740-95BF-9237FF9D62FE}"/>
            </a:ext>
          </a:extLst>
        </xdr:cNvPr>
        <xdr:cNvSpPr/>
      </xdr:nvSpPr>
      <xdr:spPr>
        <a:xfrm>
          <a:off x="4686300" y="4902200"/>
          <a:ext cx="8915400" cy="3467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711200</xdr:colOff>
      <xdr:row>7</xdr:row>
      <xdr:rowOff>63500</xdr:rowOff>
    </xdr:from>
    <xdr:to>
      <xdr:col>11</xdr:col>
      <xdr:colOff>812800</xdr:colOff>
      <xdr:row>9</xdr:row>
      <xdr:rowOff>50800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6A767ED5-B44C-1647-9BC8-D5BE190AE5A2}"/>
            </a:ext>
          </a:extLst>
        </xdr:cNvPr>
        <xdr:cNvSpPr/>
      </xdr:nvSpPr>
      <xdr:spPr>
        <a:xfrm>
          <a:off x="4838700" y="1676400"/>
          <a:ext cx="5054600" cy="368300"/>
        </a:xfrm>
        <a:prstGeom prst="roundRect">
          <a:avLst>
            <a:gd name="adj" fmla="val 40351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Contribution To</a:t>
          </a:r>
          <a:r>
            <a:rPr lang="en-GB" sz="1200" baseline="0"/>
            <a:t> Total Revenue</a:t>
          </a:r>
        </a:p>
        <a:p>
          <a:pPr algn="l"/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6</xdr:col>
      <xdr:colOff>101600</xdr:colOff>
      <xdr:row>22</xdr:row>
      <xdr:rowOff>101600</xdr:rowOff>
    </xdr:from>
    <xdr:to>
      <xdr:col>12</xdr:col>
      <xdr:colOff>203200</xdr:colOff>
      <xdr:row>23</xdr:row>
      <xdr:rowOff>203200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7486DC4-1BE5-534B-8704-BF227B42603E}"/>
            </a:ext>
          </a:extLst>
        </xdr:cNvPr>
        <xdr:cNvSpPr/>
      </xdr:nvSpPr>
      <xdr:spPr>
        <a:xfrm>
          <a:off x="5054600" y="5029200"/>
          <a:ext cx="5054600" cy="342900"/>
        </a:xfrm>
        <a:prstGeom prst="roundRect">
          <a:avLst>
            <a:gd name="adj" fmla="val 40351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Revenue</a:t>
          </a:r>
          <a:r>
            <a:rPr lang="en-GB" sz="1200" baseline="0"/>
            <a:t> Breakdown for the Given Year</a:t>
          </a:r>
          <a:endParaRPr lang="en-GB" sz="1200"/>
        </a:p>
      </xdr:txBody>
    </xdr:sp>
    <xdr:clientData/>
  </xdr:twoCellAnchor>
  <xdr:twoCellAnchor>
    <xdr:from>
      <xdr:col>2</xdr:col>
      <xdr:colOff>38100</xdr:colOff>
      <xdr:row>22</xdr:row>
      <xdr:rowOff>114300</xdr:rowOff>
    </xdr:from>
    <xdr:to>
      <xdr:col>4</xdr:col>
      <xdr:colOff>546100</xdr:colOff>
      <xdr:row>23</xdr:row>
      <xdr:rowOff>203200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51BE6120-5E63-1B4F-94A0-E69A52231D44}"/>
            </a:ext>
          </a:extLst>
        </xdr:cNvPr>
        <xdr:cNvSpPr/>
      </xdr:nvSpPr>
      <xdr:spPr>
        <a:xfrm>
          <a:off x="1689100" y="5041900"/>
          <a:ext cx="2159000" cy="330200"/>
        </a:xfrm>
        <a:prstGeom prst="roundRect">
          <a:avLst>
            <a:gd name="adj" fmla="val 40351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50800</xdr:colOff>
      <xdr:row>7</xdr:row>
      <xdr:rowOff>88900</xdr:rowOff>
    </xdr:from>
    <xdr:to>
      <xdr:col>4</xdr:col>
      <xdr:colOff>558800</xdr:colOff>
      <xdr:row>9</xdr:row>
      <xdr:rowOff>25400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B8A3A9E4-B9F8-3342-98AA-8365B1BA95ED}"/>
            </a:ext>
          </a:extLst>
        </xdr:cNvPr>
        <xdr:cNvSpPr/>
      </xdr:nvSpPr>
      <xdr:spPr>
        <a:xfrm>
          <a:off x="1701800" y="1701800"/>
          <a:ext cx="2159000" cy="317500"/>
        </a:xfrm>
        <a:prstGeom prst="roundRect">
          <a:avLst>
            <a:gd name="adj" fmla="val 40351"/>
          </a:avLst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469900</xdr:colOff>
      <xdr:row>6</xdr:row>
      <xdr:rowOff>50800</xdr:rowOff>
    </xdr:from>
    <xdr:to>
      <xdr:col>20</xdr:col>
      <xdr:colOff>444500</xdr:colOff>
      <xdr:row>8</xdr:row>
      <xdr:rowOff>88900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A6BCFF7-7893-B24C-9BF5-6F7AC7048F11}"/>
            </a:ext>
          </a:extLst>
        </xdr:cNvPr>
        <xdr:cNvSpPr/>
      </xdr:nvSpPr>
      <xdr:spPr>
        <a:xfrm>
          <a:off x="14503400" y="1473200"/>
          <a:ext cx="2451100" cy="419100"/>
        </a:xfrm>
        <a:prstGeom prst="roundRect">
          <a:avLst>
            <a:gd name="adj" fmla="val 40351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139700</xdr:colOff>
      <xdr:row>6</xdr:row>
      <xdr:rowOff>139700</xdr:rowOff>
    </xdr:from>
    <xdr:to>
      <xdr:col>20</xdr:col>
      <xdr:colOff>381000</xdr:colOff>
      <xdr:row>8</xdr:row>
      <xdr:rowOff>101600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F1FCCD7-D2D3-FB42-859E-5718CF475BA8}"/>
            </a:ext>
          </a:extLst>
        </xdr:cNvPr>
        <xdr:cNvSpPr txBox="1"/>
      </xdr:nvSpPr>
      <xdr:spPr>
        <a:xfrm>
          <a:off x="14173200" y="1562100"/>
          <a:ext cx="27178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</a:rPr>
            <a:t>                    </a:t>
          </a:r>
          <a:r>
            <a:rPr lang="en-GB" sz="1800" b="1">
              <a:solidFill>
                <a:schemeClr val="bg1"/>
              </a:solidFill>
            </a:rPr>
            <a:t>Chart Filters</a:t>
          </a:r>
        </a:p>
      </xdr:txBody>
    </xdr:sp>
    <xdr:clientData/>
  </xdr:twoCellAnchor>
  <xdr:twoCellAnchor>
    <xdr:from>
      <xdr:col>2</xdr:col>
      <xdr:colOff>457200</xdr:colOff>
      <xdr:row>7</xdr:row>
      <xdr:rowOff>76200</xdr:rowOff>
    </xdr:from>
    <xdr:to>
      <xdr:col>5</xdr:col>
      <xdr:colOff>596900</xdr:colOff>
      <xdr:row>9</xdr:row>
      <xdr:rowOff>50800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6723268-AA71-A541-B2FA-D771311A0590}"/>
            </a:ext>
          </a:extLst>
        </xdr:cNvPr>
        <xdr:cNvSpPr txBox="1"/>
      </xdr:nvSpPr>
      <xdr:spPr>
        <a:xfrm>
          <a:off x="2108200" y="1689100"/>
          <a:ext cx="2616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aseline="0">
              <a:solidFill>
                <a:schemeClr val="bg1"/>
              </a:solidFill>
            </a:rPr>
            <a:t>COGS Analysis</a:t>
          </a:r>
        </a:p>
        <a:p>
          <a:endParaRPr lang="en-GB" sz="1200" baseline="0">
            <a:solidFill>
              <a:schemeClr val="bg1"/>
            </a:solidFill>
          </a:endParaRPr>
        </a:p>
        <a:p>
          <a:endParaRPr lang="en-GB" sz="1100"/>
        </a:p>
      </xdr:txBody>
    </xdr:sp>
    <xdr:clientData/>
  </xdr:twoCellAnchor>
  <xdr:twoCellAnchor>
    <xdr:from>
      <xdr:col>5</xdr:col>
      <xdr:colOff>622300</xdr:colOff>
      <xdr:row>9</xdr:row>
      <xdr:rowOff>127000</xdr:rowOff>
    </xdr:from>
    <xdr:to>
      <xdr:col>16</xdr:col>
      <xdr:colOff>190500</xdr:colOff>
      <xdr:row>20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D9AC478-9767-514F-BC2B-45D3412C91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749300</xdr:colOff>
      <xdr:row>24</xdr:row>
      <xdr:rowOff>25400</xdr:rowOff>
    </xdr:from>
    <xdr:to>
      <xdr:col>16</xdr:col>
      <xdr:colOff>215900</xdr:colOff>
      <xdr:row>38</xdr:row>
      <xdr:rowOff>139700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D9B7000-20D8-DA43-B2C0-B9CC73A8B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457200</xdr:colOff>
      <xdr:row>8</xdr:row>
      <xdr:rowOff>177800</xdr:rowOff>
    </xdr:from>
    <xdr:to>
      <xdr:col>5</xdr:col>
      <xdr:colOff>152400</xdr:colOff>
      <xdr:row>21</xdr:row>
      <xdr:rowOff>38100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F522754-EC19-3F42-9990-A0CBD45FB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647700</xdr:colOff>
      <xdr:row>24</xdr:row>
      <xdr:rowOff>0</xdr:rowOff>
    </xdr:from>
    <xdr:to>
      <xdr:col>5</xdr:col>
      <xdr:colOff>304800</xdr:colOff>
      <xdr:row>38</xdr:row>
      <xdr:rowOff>88900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B24AF07-8235-4648-BF8D-ABA9C0B198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228600</xdr:colOff>
      <xdr:row>22</xdr:row>
      <xdr:rowOff>114300</xdr:rowOff>
    </xdr:from>
    <xdr:to>
      <xdr:col>5</xdr:col>
      <xdr:colOff>368300</xdr:colOff>
      <xdr:row>23</xdr:row>
      <xdr:rowOff>228600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5569EF3-806D-B64B-9878-C2F23BF9C208}"/>
            </a:ext>
          </a:extLst>
        </xdr:cNvPr>
        <xdr:cNvSpPr txBox="1"/>
      </xdr:nvSpPr>
      <xdr:spPr>
        <a:xfrm>
          <a:off x="1879600" y="5041900"/>
          <a:ext cx="26162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aseline="0">
              <a:solidFill>
                <a:schemeClr val="bg1"/>
              </a:solidFill>
            </a:rPr>
            <a:t>Financial Metrics</a:t>
          </a:r>
        </a:p>
        <a:p>
          <a:endParaRPr lang="en-GB" sz="1200" baseline="0">
            <a:solidFill>
              <a:schemeClr val="bg1"/>
            </a:solidFill>
          </a:endParaRP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boro%20cricket/Portfolio%20Management/MSFT-Model-AnirudhSriniv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Dashboard"/>
      <sheetName val="P&amp;L Model"/>
      <sheetName val="Balance Sheet Model"/>
      <sheetName val="Cash Flow Model"/>
      <sheetName val="Liability and Equity Sched."/>
      <sheetName val="DCF"/>
      <sheetName val="Pivot Tables for Dashboard"/>
      <sheetName val="Ratio Calculations"/>
    </sheetNames>
    <sheetDataSet>
      <sheetData sheetId="0"/>
      <sheetData sheetId="1">
        <row r="19">
          <cell r="S19">
            <v>2021</v>
          </cell>
        </row>
      </sheetData>
      <sheetData sheetId="2"/>
      <sheetData sheetId="3"/>
      <sheetData sheetId="4"/>
      <sheetData sheetId="5"/>
      <sheetData sheetId="6"/>
      <sheetData sheetId="7">
        <row r="9">
          <cell r="D9" t="str">
            <v>Contribution of Sum of Office Products and Cloud Services to Revenue and EBITDA</v>
          </cell>
        </row>
        <row r="12">
          <cell r="C12" t="str">
            <v>Sum of Total Revenue</v>
          </cell>
          <cell r="D12" t="str">
            <v>Sum of EBITDA</v>
          </cell>
          <cell r="E12" t="str">
            <v>Sum of Office Products and Cloud Services</v>
          </cell>
        </row>
        <row r="13">
          <cell r="B13">
            <v>2019</v>
          </cell>
          <cell r="C13">
            <v>125843</v>
          </cell>
          <cell r="D13">
            <v>58056</v>
          </cell>
          <cell r="E13">
            <v>32622</v>
          </cell>
        </row>
        <row r="14">
          <cell r="B14">
            <v>2020</v>
          </cell>
          <cell r="C14">
            <v>143015</v>
          </cell>
          <cell r="D14">
            <v>68423</v>
          </cell>
          <cell r="E14">
            <v>41379</v>
          </cell>
        </row>
        <row r="15">
          <cell r="B15">
            <v>2021</v>
          </cell>
          <cell r="C15">
            <v>168088</v>
          </cell>
          <cell r="D15">
            <v>85119</v>
          </cell>
          <cell r="E15">
            <v>52589</v>
          </cell>
        </row>
        <row r="16">
          <cell r="B16">
            <v>2022</v>
          </cell>
          <cell r="C16">
            <v>193417.09184444867</v>
          </cell>
          <cell r="D16">
            <v>97480.838549605367</v>
          </cell>
          <cell r="E16">
            <v>58237.805747349092</v>
          </cell>
        </row>
        <row r="17">
          <cell r="B17">
            <v>2023</v>
          </cell>
          <cell r="C17">
            <v>223568.20696513751</v>
          </cell>
          <cell r="D17">
            <v>119525.26342835472</v>
          </cell>
          <cell r="E17">
            <v>67316.293944642472</v>
          </cell>
        </row>
        <row r="18">
          <cell r="B18">
            <v>2024</v>
          </cell>
          <cell r="C18">
            <v>262763.57565539301</v>
          </cell>
          <cell r="D18">
            <v>149691.10161623926</v>
          </cell>
          <cell r="E18">
            <v>79118.003122519061</v>
          </cell>
        </row>
        <row r="52">
          <cell r="C52" t="str">
            <v>Profitability of  Enterprise Services to Revenue and Gross Profit</v>
          </cell>
        </row>
        <row r="54">
          <cell r="B54" t="str">
            <v>Sum of Revenue</v>
          </cell>
          <cell r="C54" t="str">
            <v>Gross Profit</v>
          </cell>
          <cell r="D54" t="str">
            <v xml:space="preserve"> Enterprise Services</v>
          </cell>
        </row>
        <row r="55">
          <cell r="A55">
            <v>2019</v>
          </cell>
          <cell r="B55">
            <v>125843</v>
          </cell>
          <cell r="C55">
            <v>82933</v>
          </cell>
          <cell r="D55">
            <v>6095</v>
          </cell>
        </row>
        <row r="56">
          <cell r="A56">
            <v>2020</v>
          </cell>
          <cell r="B56">
            <v>143015</v>
          </cell>
          <cell r="C56">
            <v>96937</v>
          </cell>
          <cell r="D56">
            <v>6457</v>
          </cell>
        </row>
        <row r="57">
          <cell r="A57">
            <v>2021</v>
          </cell>
          <cell r="B57">
            <v>168088</v>
          </cell>
          <cell r="C57">
            <v>115856</v>
          </cell>
          <cell r="D57">
            <v>6791</v>
          </cell>
        </row>
        <row r="58">
          <cell r="A58">
            <v>2022</v>
          </cell>
          <cell r="B58">
            <v>193417.09184444867</v>
          </cell>
          <cell r="C58">
            <v>130626.65711512038</v>
          </cell>
          <cell r="D58">
            <v>8273.4708999833947</v>
          </cell>
        </row>
        <row r="59">
          <cell r="A59">
            <v>2023</v>
          </cell>
          <cell r="B59">
            <v>223568.20696513751</v>
          </cell>
          <cell r="C59">
            <v>152816.47386922268</v>
          </cell>
          <cell r="D59">
            <v>9563.1933912805252</v>
          </cell>
        </row>
        <row r="60">
          <cell r="A60">
            <v>2024</v>
          </cell>
          <cell r="B60">
            <v>262763.57565539301</v>
          </cell>
          <cell r="C60">
            <v>181111.89865505695</v>
          </cell>
          <cell r="D60">
            <v>11239.786391312526</v>
          </cell>
        </row>
        <row r="63">
          <cell r="E63" t="str">
            <v xml:space="preserve">Net Income Margin of  2024  </v>
          </cell>
        </row>
        <row r="65">
          <cell r="E65" t="str">
            <v>Net Income</v>
          </cell>
          <cell r="F65" t="str">
            <v>Expense</v>
          </cell>
        </row>
        <row r="66">
          <cell r="E66">
            <v>99812.187171423197</v>
          </cell>
          <cell r="F66">
            <v>162951.38848396981</v>
          </cell>
        </row>
        <row r="104">
          <cell r="I104" t="str">
            <v>ROCE</v>
          </cell>
          <cell r="J104" t="str">
            <v>ROE</v>
          </cell>
        </row>
        <row r="105">
          <cell r="I105">
            <v>0.29957735331793967</v>
          </cell>
          <cell r="J105">
            <v>0.43152238217314137</v>
          </cell>
        </row>
        <row r="134">
          <cell r="I134" t="str">
            <v xml:space="preserve">Opex as a % in  2024  </v>
          </cell>
        </row>
        <row r="136">
          <cell r="H136" t="str">
            <v>Revenue</v>
          </cell>
          <cell r="I136">
            <v>168088</v>
          </cell>
        </row>
        <row r="137">
          <cell r="H137" t="str">
            <v>Opex</v>
          </cell>
          <cell r="I137">
            <v>71815.70763890793</v>
          </cell>
        </row>
      </sheetData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(pg) Anirudh Srinivas" refreshedDate="44686.44305509259" createdVersion="7" refreshedVersion="7" minRefreshableVersion="3" recordCount="8" xr:uid="{C2AB203F-50C2-BB45-A5CE-D57C1B9AAA3C}">
  <cacheSource type="worksheet">
    <worksheetSource ref="U2:AE10" sheet="Tableau Data"/>
  </cacheSource>
  <cacheFields count="11">
    <cacheField name="Year" numFmtId="166">
      <sharedItems containsSemiMixedTypes="0" containsString="0" containsNumber="1" containsInteger="1" minValue="2019" maxValue="2026" count="8">
        <n v="2019"/>
        <n v="2020"/>
        <n v="2021"/>
        <n v="2022"/>
        <n v="2023"/>
        <n v="2024"/>
        <n v="2025"/>
        <n v="2026"/>
      </sharedItems>
    </cacheField>
    <cacheField name="Google Search &amp; other" numFmtId="1">
      <sharedItems containsSemiMixedTypes="0" containsString="0" containsNumber="1" minValue="98115" maxValue="426211.22385980107" count="8">
        <n v="98115"/>
        <n v="104062"/>
        <n v="148951"/>
        <n v="183082.79175101101"/>
        <n v="221637.79606354653"/>
        <n v="275033.29505918868"/>
        <n v="342965.93661145162"/>
        <n v="426211.22385980107"/>
      </sharedItems>
    </cacheField>
    <cacheField name="YouTube ads" numFmtId="1">
      <sharedItems containsSemiMixedTypes="0" containsString="0" containsNumber="1" minValue="15149" maxValue="79337.811292848142" count="8">
        <n v="15149"/>
        <n v="19772"/>
        <n v="28845"/>
        <n v="32754.386901851929"/>
        <n v="41551.708928777007"/>
        <n v="51334.487723690712"/>
        <n v="63216.867359837648"/>
        <n v="79337.811292848142"/>
      </sharedItems>
    </cacheField>
    <cacheField name="Google Network" numFmtId="1">
      <sharedItems containsSemiMixedTypes="0" containsString="0" containsNumber="1" minValue="21547" maxValue="92498.506234288507" count="8">
        <n v="21547"/>
        <n v="23090"/>
        <n v="31701"/>
        <n v="39933.109812470298"/>
        <n v="48226.669831535452"/>
        <n v="59458.242450845974"/>
        <n v="74526.28159632835"/>
        <n v="92498.506234288507"/>
      </sharedItems>
    </cacheField>
    <cacheField name="Google advertising" numFmtId="1">
      <sharedItems containsSemiMixedTypes="0" containsString="0" containsNumber="1" minValue="134811" maxValue="598047.54138693784" count="8">
        <n v="134811"/>
        <n v="146924"/>
        <n v="209497"/>
        <n v="255770.28846533326"/>
        <n v="311416.17482385901"/>
        <n v="385826.02523372538"/>
        <n v="480709.08556761773"/>
        <n v="598047.54138693784"/>
      </sharedItems>
    </cacheField>
    <cacheField name="Google other" numFmtId="1">
      <sharedItems containsSemiMixedTypes="0" containsString="0" containsNumber="1" minValue="17014" maxValue="82204.961489774345" count="8">
        <n v="17014"/>
        <n v="21711"/>
        <n v="28032"/>
        <n v="34736.063827160411"/>
        <n v="43316.226792870242"/>
        <n v="52562.757435734951"/>
        <n v="65877.655850644689"/>
        <n v="82204.961489774345"/>
      </sharedItems>
    </cacheField>
    <cacheField name="Google Services total" numFmtId="1">
      <sharedItems containsSemiMixedTypes="0" containsString="0" containsNumber="1" minValue="151825" maxValue="680252.50287671213"/>
    </cacheField>
    <cacheField name="Google Cloud" numFmtId="1">
      <sharedItems containsSemiMixedTypes="0" containsString="0" containsNumber="1" minValue="8918" maxValue="51868.169661339969" count="8">
        <n v="8918"/>
        <n v="13059"/>
        <n v="19206"/>
        <n v="20994.958496310421"/>
        <n v="27259.838858961655"/>
        <n v="33601.913570930228"/>
        <n v="41131.495322628762"/>
        <n v="51868.169661339969"/>
      </sharedItems>
    </cacheField>
    <cacheField name="Other Bets" numFmtId="1">
      <sharedItems containsSemiMixedTypes="0" containsString="0" containsNumber="1" minValue="657" maxValue="2451.9099511271056"/>
    </cacheField>
    <cacheField name="Hedging gains (losses)" numFmtId="1">
      <sharedItems containsSemiMixedTypes="0" containsString="0" containsNumber="1" minValue="149" maxValue="774.53641669671413"/>
    </cacheField>
    <cacheField name="Total Revenue:" numFmtId="0">
      <sharedItems containsSemiMixedTypes="0" containsString="0" containsNumber="1" minValue="161857" maxValue="735347.11890587595" count="8">
        <n v="161857"/>
        <n v="182527"/>
        <n v="257637"/>
        <n v="313061.125"/>
        <n v="383660.80912211793"/>
        <n v="474018.32246485417"/>
        <n v="590396.48350335471"/>
        <n v="735347.11890587595"/>
      </sharedItems>
    </cacheField>
  </cacheFields>
  <extLst>
    <ext xmlns:x14="http://schemas.microsoft.com/office/spreadsheetml/2009/9/main" uri="{725AE2AE-9491-48be-B2B4-4EB974FC3084}">
      <x14:pivotCacheDefinition pivotCacheId="18316107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(pg) Anirudh Srinivas" refreshedDate="44686.44488703704" createdVersion="7" refreshedVersion="7" minRefreshableVersion="3" recordCount="8" xr:uid="{3E4C0A21-809E-7C4D-8086-6BBE2DEBA3A5}">
  <cacheSource type="worksheet">
    <worksheetSource ref="B2:S10" sheet="Tableau Data"/>
  </cacheSource>
  <cacheFields count="18">
    <cacheField name="Year" numFmtId="0">
      <sharedItems containsSemiMixedTypes="0" containsString="0" containsNumber="1" containsInteger="1" minValue="2019" maxValue="2026" count="8">
        <n v="2019"/>
        <n v="2020"/>
        <n v="2021"/>
        <n v="2022"/>
        <n v="2023"/>
        <n v="2024"/>
        <n v="2025"/>
        <n v="2026"/>
      </sharedItems>
    </cacheField>
    <cacheField name="Revenue" numFmtId="37">
      <sharedItems containsSemiMixedTypes="0" containsString="0" containsNumber="1" minValue="161857" maxValue="735347.11890587595" count="8">
        <n v="161857"/>
        <n v="182527"/>
        <n v="257637"/>
        <n v="313061.125"/>
        <n v="383660.80912211793"/>
        <n v="474018.32246485417"/>
        <n v="590396.48350335471"/>
        <n v="735347.11890587595"/>
      </sharedItems>
    </cacheField>
    <cacheField name="COGS" numFmtId="37">
      <sharedItems containsSemiMixedTypes="0" containsString="0" containsNumber="1" minValue="71896" maxValue="293718.44745828531" count="8">
        <n v="71896"/>
        <n v="84732"/>
        <n v="110939"/>
        <n v="134437.30578687892"/>
        <n v="160918.19982174327"/>
        <n v="194076.5145457194"/>
        <n v="235821.06200056101"/>
        <n v="293718.44745828531"/>
      </sharedItems>
    </cacheField>
    <cacheField name="Gross Profit" numFmtId="37">
      <sharedItems containsSemiMixedTypes="0" containsString="0" containsNumber="1" minValue="89961" maxValue="441628.67144759063" count="8">
        <n v="89961"/>
        <n v="97795"/>
        <n v="146698"/>
        <n v="178623.81921312108"/>
        <n v="222742.60930037466"/>
        <n v="279941.80791913474"/>
        <n v="354575.42150279367"/>
        <n v="441628.67144759063"/>
      </sharedItems>
    </cacheField>
    <cacheField name="OpEx" numFmtId="37">
      <sharedItems containsSemiMixedTypes="0" containsString="0" containsNumber="1" minValue="54033" maxValue="193062.7111239903"/>
    </cacheField>
    <cacheField name="EBITDA" numFmtId="37">
      <sharedItems containsSemiMixedTypes="0" containsString="0" containsNumber="1" minValue="46012" maxValue="235599.43688610033"/>
    </cacheField>
    <cacheField name="EBIT" numFmtId="0">
      <sharedItems containsSemiMixedTypes="0" containsString="0" containsNumber="1" minValue="34231" maxValue="190466.27004058685"/>
    </cacheField>
    <cacheField name="Net Income" numFmtId="37">
      <sharedItems containsSemiMixedTypes="0" containsString="0" containsNumber="1" minValue="34343" maxValue="171328.24925698197"/>
    </cacheField>
    <cacheField name="Cash" numFmtId="37">
      <sharedItems containsSemiMixedTypes="0" containsString="0" containsNumber="1" minValue="18521" maxValue="34409.114129838628"/>
    </cacheField>
    <cacheField name="FCF" numFmtId="0">
      <sharedItems containsSemiMixedTypes="0" containsString="0" containsNumber="1" minValue="30972" maxValue="177039.54957473255"/>
    </cacheField>
    <cacheField name="Gross Margin" numFmtId="164">
      <sharedItems containsSemiMixedTypes="0" containsString="0" containsNumber="1" minValue="0.53578374706207854" maxValue="0.60057170293220241"/>
    </cacheField>
    <cacheField name="Operating Margin" numFmtId="164">
      <sharedItems containsSemiMixedTypes="0" containsString="0" containsNumber="1" minValue="0.21265324179271333" maxValue="0.35217767634307184"/>
    </cacheField>
    <cacheField name="Cost-Income Ratio" numFmtId="164">
      <sharedItems containsSemiMixedTypes="0" containsString="0" containsNumber="1" minValue="0.26254636233735246" maxValue="0.33383171565023445"/>
    </cacheField>
    <cacheField name="ROCE" numFmtId="164">
      <sharedItems containsSemiMixedTypes="0" containsString="0" containsNumber="1" minValue="0.17176879594950756" maxValue="0.3820692427131212"/>
    </cacheField>
    <cacheField name="Quick Ratio" numFmtId="164">
      <sharedItems containsSemiMixedTypes="0" containsString="0" containsNumber="1" minValue="1.3905908157401872" maxValue="3.3519603723933571"/>
    </cacheField>
    <cacheField name="Asset Turnover" numFmtId="164">
      <sharedItems containsSemiMixedTypes="0" containsString="0" containsNumber="1" minValue="0.58663182426089766" maxValue="1.0854651832431732"/>
    </cacheField>
    <cacheField name="Net Profit Margin" numFmtId="164">
      <sharedItems containsSemiMixedTypes="0" containsString="0" containsNumber="1" minValue="0.18020122424432941" maxValue="0.29511677282377918"/>
    </cacheField>
    <cacheField name="Return on Equity" numFmtId="164">
      <sharedItems containsSemiMixedTypes="0" containsString="0" containsNumber="1" minValue="0.17048579740074066" maxValue="0.346632749819967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x v="0"/>
    <x v="0"/>
    <n v="151825"/>
    <x v="0"/>
    <n v="659"/>
    <n v="455"/>
    <x v="0"/>
  </r>
  <r>
    <x v="1"/>
    <x v="1"/>
    <x v="1"/>
    <x v="1"/>
    <x v="1"/>
    <x v="1"/>
    <n v="168635"/>
    <x v="1"/>
    <n v="657"/>
    <n v="176"/>
    <x v="1"/>
  </r>
  <r>
    <x v="2"/>
    <x v="2"/>
    <x v="2"/>
    <x v="2"/>
    <x v="2"/>
    <x v="2"/>
    <n v="237529"/>
    <x v="2"/>
    <n v="753"/>
    <n v="149"/>
    <x v="2"/>
  </r>
  <r>
    <x v="3"/>
    <x v="3"/>
    <x v="3"/>
    <x v="3"/>
    <x v="3"/>
    <x v="3"/>
    <n v="290506.35229249363"/>
    <x v="3"/>
    <n v="1105.4897439102122"/>
    <n v="454.32446728571301"/>
    <x v="3"/>
  </r>
  <r>
    <x v="4"/>
    <x v="4"/>
    <x v="4"/>
    <x v="4"/>
    <x v="4"/>
    <x v="4"/>
    <n v="354732.40161672927"/>
    <x v="4"/>
    <n v="1285.6999114179346"/>
    <n v="382.8687350090907"/>
    <x v="4"/>
  </r>
  <r>
    <x v="5"/>
    <x v="5"/>
    <x v="5"/>
    <x v="5"/>
    <x v="5"/>
    <x v="5"/>
    <n v="438388.78266946034"/>
    <x v="5"/>
    <n v="1549.2625718123898"/>
    <n v="478.36365265124203"/>
    <x v="5"/>
  </r>
  <r>
    <x v="6"/>
    <x v="6"/>
    <x v="6"/>
    <x v="6"/>
    <x v="6"/>
    <x v="6"/>
    <n v="546586.74141826236"/>
    <x v="6"/>
    <n v="1997.6504971380502"/>
    <n v="680.59626532552716"/>
    <x v="6"/>
  </r>
  <r>
    <x v="7"/>
    <x v="7"/>
    <x v="7"/>
    <x v="7"/>
    <x v="7"/>
    <x v="7"/>
    <n v="680252.50287671213"/>
    <x v="7"/>
    <n v="2451.9099511271056"/>
    <n v="774.53641669671413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54033"/>
    <n v="46012"/>
    <n v="34231"/>
    <n v="34343"/>
    <n v="18521"/>
    <n v="30972"/>
    <n v="0.5558054331910266"/>
    <n v="0.24481486744471972"/>
    <n v="0.33383171565023445"/>
    <n v="0.17176879594950756"/>
    <n v="3.3519603723933571"/>
    <n v="0.58663182426089766"/>
    <n v="0.21218112284300339"/>
    <n v="0.17048579740074066"/>
  </r>
  <r>
    <x v="1"/>
    <x v="1"/>
    <x v="1"/>
    <x v="1"/>
    <n v="56571"/>
    <n v="54921"/>
    <n v="41224"/>
    <n v="40269"/>
    <n v="26464"/>
    <n v="42843"/>
    <n v="0.53578374706207854"/>
    <n v="0.26342404137470071"/>
    <n v="0.30993222920444646"/>
    <n v="0.18297295857402715"/>
    <n v="3.0539465812717741"/>
    <n v="0.61299525628646989"/>
    <n v="0.22061941520980458"/>
    <n v="0.18094848659141563"/>
  </r>
  <r>
    <x v="2"/>
    <x v="2"/>
    <x v="2"/>
    <x v="2"/>
    <n v="67984"/>
    <n v="91155"/>
    <n v="78714"/>
    <n v="76033"/>
    <n v="21231"/>
    <n v="67012"/>
    <n v="0.5693980290098084"/>
    <n v="0.35217767634307184"/>
    <n v="0.26387514215737645"/>
    <n v="0.30755828536950791"/>
    <n v="2.9099044417468174"/>
    <n v="0.75900153781794832"/>
    <n v="0.29511677282377918"/>
    <n v="0.30215590041131002"/>
  </r>
  <r>
    <x v="3"/>
    <x v="3"/>
    <x v="3"/>
    <x v="3"/>
    <n v="91584.893307989201"/>
    <n v="69896.92590513188"/>
    <n v="49431.463110523851"/>
    <n v="56413.997988307041"/>
    <n v="24825.966424632636"/>
    <n v="71605.211270905682"/>
    <n v="0.57057170293220238"/>
    <n v="0.21265324179271333"/>
    <n v="0.29254636233735248"/>
    <n v="0.20932381984424661"/>
    <n v="2.2035745995967169"/>
    <n v="0.81887046563249433"/>
    <n v="0.18020122424432941"/>
    <n v="0.20374114493131049"/>
  </r>
  <r>
    <x v="4"/>
    <x v="4"/>
    <x v="4"/>
    <x v="4"/>
    <n v="108401.96598885975"/>
    <n v="103987.14331151491"/>
    <n v="79854.632465666713"/>
    <n v="75861.382235391691"/>
    <n v="29262.185100577488"/>
    <n v="92532.56804204268"/>
    <n v="0.58057170293220239"/>
    <n v="0.23512469952841539"/>
    <n v="0.28254636233735247"/>
    <n v="0.2514608913515613"/>
    <n v="1.9786381053031852"/>
    <n v="0.8810406583512731"/>
    <n v="0.19773034000781994"/>
    <n v="0.23921761165181665"/>
  </r>
  <r>
    <x v="5"/>
    <x v="5"/>
    <x v="5"/>
    <x v="5"/>
    <n v="129191.96946905012"/>
    <n v="139156.46345008462"/>
    <n v="111258.65049768724"/>
    <n v="103454.96321077083"/>
    <n v="29694.271131524518"/>
    <n v="115346.29711996141"/>
    <n v="0.59057170293220229"/>
    <n v="0.25917147012138131"/>
    <n v="0.27254636233735247"/>
    <n v="0.30512489297017098"/>
    <n v="1.7848860600872238"/>
    <n v="0.95261776657608321"/>
    <n v="0.21825097956723274"/>
    <n v="0.28586625611904165"/>
  </r>
  <r>
    <x v="6"/>
    <x v="6"/>
    <x v="6"/>
    <x v="6"/>
    <n v="155006.44908057048"/>
    <n v="186791.75367222319"/>
    <n v="149965.45610027562"/>
    <n v="137271.51988589799"/>
    <n v="34409.114129838628"/>
    <n v="140366.06663005354"/>
    <n v="0.60057170293220241"/>
    <n v="0.27564980381417009"/>
    <n v="0.26254636233735246"/>
    <n v="0.35362959300416058"/>
    <n v="1.5442131696817323"/>
    <n v="1.0254602361145833"/>
    <n v="0.23250734670935416"/>
    <n v="0.32604055729163495"/>
  </r>
  <r>
    <x v="7"/>
    <x v="7"/>
    <x v="7"/>
    <x v="7"/>
    <n v="193062.7111239903"/>
    <n v="235599.43688610033"/>
    <n v="190466.27004058685"/>
    <n v="171328.24925698197"/>
    <n v="34409.114129838628"/>
    <n v="177039.54957473255"/>
    <n v="0.60057170293220241"/>
    <n v="0.27664865782132225"/>
    <n v="0.26254636233735246"/>
    <n v="0.3820692427131212"/>
    <n v="1.3905908157401872"/>
    <n v="1.0854651832431732"/>
    <n v="0.23298962469847101"/>
    <n v="0.34663274981996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AE1C1-B752-8A4D-A103-3E44ED4CBD51}" name="PivotTable5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9:R78" firstHeaderRow="0" firstDataRow="1" firstDataCol="1"/>
  <pivotFields count="18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3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37" showAll="0"/>
    <pivotField dataField="1" numFmtId="37" showAll="0"/>
    <pivotField dataField="1" numFmtId="37" showAll="0"/>
    <pivotField dataField="1" numFmtId="37" showAll="0"/>
    <pivotField dataField="1" showAll="0"/>
    <pivotField dataField="1" numFmtId="37" showAll="0"/>
    <pivotField dataField="1" numFmtId="37" showAll="0"/>
    <pivotField dataField="1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Sum of Revenue" fld="1" baseField="0" baseItem="0"/>
    <dataField name="Sum of COGS" fld="2" baseField="0" baseItem="0"/>
    <dataField name="Sum of Gross Profit" fld="3" baseField="0" baseItem="0"/>
    <dataField name="Sum of OpEx" fld="4" baseField="0" baseItem="0"/>
    <dataField name="Sum of EBITDA" fld="5" baseField="0" baseItem="0"/>
    <dataField name="Sum of EBIT" fld="6" baseField="0" baseItem="0"/>
    <dataField name="Sum of Net Income" fld="7" baseField="0" baseItem="0"/>
    <dataField name="Sum of Cash" fld="8" baseField="0" baseItem="0"/>
    <dataField name="Sum of FCF" fld="9" baseField="0" baseItem="0"/>
    <dataField name="Sum of Gross Margin" fld="10" baseField="0" baseItem="0"/>
    <dataField name="Sum of Operating Margin" fld="11" baseField="0" baseItem="0"/>
    <dataField name="Sum of Cost-Income Ratio" fld="12" baseField="0" baseItem="0"/>
    <dataField name="Sum of ROCE" fld="13" baseField="0" baseItem="0"/>
    <dataField name="Sum of Quick Ratio" fld="14" baseField="0" baseItem="0"/>
    <dataField name="Sum of Asset Turnover" fld="15" baseField="0" baseItem="0"/>
    <dataField name="Sum of Net Profit Margin" fld="16" baseField="0" baseItem="0"/>
    <dataField name="Sum of Return on Equity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724B1E-F241-3545-9A58-8A401D657808}" name="PivotTable4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3:K42" firstHeaderRow="0" firstDataRow="1" firstDataCol="1"/>
  <pivotFields count="11">
    <pivotField axis="axisRow" numFmtId="166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Google Search &amp; other" fld="1" baseField="0" baseItem="0"/>
    <dataField name="Sum of YouTube ads" fld="2" baseField="0" baseItem="0"/>
    <dataField name="Sum of Google Network" fld="3" baseField="0" baseItem="0"/>
    <dataField name="Sum of Google advertising" fld="4" baseField="0" baseItem="0"/>
    <dataField name="Sum of Google other" fld="5" baseField="0" baseItem="0"/>
    <dataField name="Sum of Google Services total" fld="6" baseField="0" baseItem="0"/>
    <dataField name="Sum of Google Cloud" fld="7" baseField="0" baseItem="0"/>
    <dataField name="Sum of Other Bets" fld="8" baseField="0" baseItem="0"/>
    <dataField name="Sum of Hedging gains (losses)" fld="9" baseField="0" baseItem="0"/>
    <dataField name="Sum of Total Revenue: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6B813E-1779-A24A-8A02-C7DBB21B2030}" name="PivotTable2" cacheId="34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J28" firstHeaderRow="1" firstDataRow="2" firstDataCol="1"/>
  <pivotFields count="18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3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3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3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37" showAll="0"/>
    <pivotField dataField="1" numFmtId="37" showAll="0"/>
    <pivotField dataField="1" showAll="0"/>
    <pivotField dataField="1" numFmtId="37" showAll="0"/>
    <pivotField dataField="1" numFmtId="37"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8">
    <dataField name="Sum of Revenue" fld="1" baseField="0" baseItem="0"/>
    <dataField name="Sum of COGS" fld="2" baseField="0" baseItem="0"/>
    <dataField name="Sum of Gross Profit" fld="3" baseField="0" baseItem="0"/>
    <dataField name="Sum of EBITDA" fld="5" baseField="0" baseItem="0"/>
    <dataField name="Sum of EBIT" fld="6" baseField="0" baseItem="0"/>
    <dataField name="Sum of Net Income" fld="7" baseField="0" baseItem="0"/>
    <dataField name="Sum of Cash" fld="8" baseField="0" baseItem="0"/>
    <dataField name="Sum of FCF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8D066-4394-6744-8B8F-0B66C45F060A}" name="PivotTable1" cacheId="33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J14" firstHeaderRow="1" firstDataRow="2" firstDataCol="1"/>
  <pivotFields count="11">
    <pivotField axis="axisCol" numFmtId="166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0">
    <dataField name="Sum of Google Search &amp; other" fld="1" baseField="0" baseItem="0"/>
    <dataField name="Sum of YouTube ads" fld="2" baseField="0" baseItem="0"/>
    <dataField name="Sum of Google Network" fld="3" baseField="0" baseItem="0"/>
    <dataField name="Sum of Google advertising" fld="4" baseField="0" baseItem="0"/>
    <dataField name="Sum of Total Revenue:" fld="10" baseField="0" baseItem="0"/>
    <dataField name="Sum of Google other" fld="5" baseField="0" baseItem="0"/>
    <dataField name="Sum of Google Services total" fld="6" baseField="0" baseItem="0"/>
    <dataField name="Sum of Google Cloud" fld="7" baseField="0" baseItem="0"/>
    <dataField name="Sum of Other Bets" fld="8" baseField="0" baseItem="0"/>
    <dataField name="Sum of Hedging gains (losses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35B-02C2-C345-A76F-B987297AF171}">
  <dimension ref="B2:N70"/>
  <sheetViews>
    <sheetView showGridLines="0" zoomScale="110" zoomScaleNormal="110" workbookViewId="0">
      <selection activeCell="K3" sqref="K3"/>
    </sheetView>
  </sheetViews>
  <sheetFormatPr baseColWidth="10" defaultRowHeight="15" outlineLevelRow="1" outlineLevelCol="1"/>
  <cols>
    <col min="1" max="1" width="3" customWidth="1"/>
    <col min="2" max="2" width="30.83203125" customWidth="1"/>
    <col min="3" max="5" width="15.83203125" customWidth="1"/>
    <col min="6" max="7" width="15.83203125" customWidth="1" outlineLevel="1"/>
    <col min="8" max="10" width="15.83203125" customWidth="1"/>
    <col min="11" max="11" width="12.5" bestFit="1" customWidth="1"/>
  </cols>
  <sheetData>
    <row r="2" spans="2:14" ht="21">
      <c r="B2" s="1" t="s">
        <v>132</v>
      </c>
      <c r="C2" s="285" t="s">
        <v>195</v>
      </c>
      <c r="D2" s="286"/>
      <c r="E2" s="286"/>
      <c r="G2" s="2"/>
      <c r="H2" s="3" t="s">
        <v>0</v>
      </c>
      <c r="I2" s="2"/>
      <c r="K2" s="316" t="str">
        <f>C2</f>
        <v>Base Case</v>
      </c>
    </row>
    <row r="3" spans="2:14">
      <c r="B3" s="146">
        <v>44566</v>
      </c>
    </row>
    <row r="4" spans="2:14" ht="33" thickBot="1">
      <c r="B4" s="4" t="s">
        <v>1</v>
      </c>
      <c r="C4" s="5">
        <v>2019</v>
      </c>
      <c r="D4" s="5">
        <v>2020</v>
      </c>
      <c r="E4" s="5">
        <v>2021</v>
      </c>
      <c r="F4" s="5">
        <v>2022</v>
      </c>
      <c r="G4" s="5">
        <v>2023</v>
      </c>
      <c r="H4" s="5">
        <v>2024</v>
      </c>
      <c r="I4" s="5">
        <v>2025</v>
      </c>
      <c r="J4" s="170">
        <v>2026</v>
      </c>
      <c r="M4" s="253" t="s">
        <v>85</v>
      </c>
      <c r="N4" s="253" t="s">
        <v>86</v>
      </c>
    </row>
    <row r="5" spans="2:14" ht="20" customHeight="1">
      <c r="B5" s="6" t="s">
        <v>2</v>
      </c>
      <c r="C5" s="150">
        <v>161857</v>
      </c>
      <c r="D5" s="150">
        <v>182527</v>
      </c>
      <c r="E5" s="98">
        <v>257637</v>
      </c>
      <c r="F5" s="149">
        <f>E5*(1+C24)</f>
        <v>306620.2</v>
      </c>
      <c r="G5" s="150">
        <f>F5*(1+D24)</f>
        <v>368101.86</v>
      </c>
      <c r="H5" s="239">
        <f>G5*(1+E24)</f>
        <v>445592.47562553053</v>
      </c>
      <c r="I5" s="239">
        <f>H5*(1+F24)</f>
        <v>543851.87981632759</v>
      </c>
      <c r="J5" s="240">
        <f>I5*(1+F24)</f>
        <v>663778.86378027208</v>
      </c>
      <c r="L5" s="169"/>
      <c r="M5" s="254"/>
      <c r="N5" s="254"/>
    </row>
    <row r="6" spans="2:14" ht="20" customHeight="1">
      <c r="B6" s="9" t="s">
        <v>3</v>
      </c>
      <c r="C6" s="150">
        <f>-(71896)</f>
        <v>-71896</v>
      </c>
      <c r="D6" s="150">
        <v>-84732</v>
      </c>
      <c r="E6" s="99">
        <v>-110939</v>
      </c>
      <c r="F6" s="138">
        <f>-F5*C29</f>
        <v>-136856.12323278788</v>
      </c>
      <c r="G6" s="138">
        <f t="shared" ref="G6:I6" si="0">-G5*D29</f>
        <v>-164297.69961137077</v>
      </c>
      <c r="H6" s="241">
        <f t="shared" si="0"/>
        <v>-198884.6747729296</v>
      </c>
      <c r="I6" s="241">
        <f t="shared" si="0"/>
        <v>-242741.54111349047</v>
      </c>
      <c r="J6" s="242">
        <f>-J5*F29</f>
        <v>-296269.46294090484</v>
      </c>
      <c r="L6" s="169"/>
      <c r="M6" s="254"/>
      <c r="N6" s="254"/>
    </row>
    <row r="7" spans="2:14" ht="20" customHeight="1">
      <c r="B7" s="9" t="s">
        <v>4</v>
      </c>
      <c r="C7" s="150">
        <f>(C5+C6)</f>
        <v>89961</v>
      </c>
      <c r="D7" s="150">
        <f>(D5+D6)</f>
        <v>97795</v>
      </c>
      <c r="E7" s="99">
        <f>(E5+E6)</f>
        <v>146698</v>
      </c>
      <c r="F7" s="150">
        <f>(F5+F6)</f>
        <v>169764.07676721213</v>
      </c>
      <c r="G7" s="150">
        <f t="shared" ref="G7:J7" si="1">(G5+G6)</f>
        <v>203804.16038862921</v>
      </c>
      <c r="H7" s="239">
        <f t="shared" si="1"/>
        <v>246707.80085260092</v>
      </c>
      <c r="I7" s="239">
        <f t="shared" si="1"/>
        <v>301110.33870283712</v>
      </c>
      <c r="J7" s="243">
        <f t="shared" si="1"/>
        <v>367509.40083936724</v>
      </c>
      <c r="L7" s="169"/>
      <c r="M7" s="254"/>
      <c r="N7" s="254"/>
    </row>
    <row r="8" spans="2:14" ht="20" customHeight="1">
      <c r="B8" s="9" t="s">
        <v>5</v>
      </c>
      <c r="C8" s="115">
        <v>-54033</v>
      </c>
      <c r="D8" s="115">
        <v>-56571</v>
      </c>
      <c r="E8" s="14">
        <v>-67984</v>
      </c>
      <c r="F8" s="115">
        <f>-C34*F5</f>
        <v>-80061</v>
      </c>
      <c r="G8" s="150">
        <f>-G5*D34</f>
        <v>-99795.374449549374</v>
      </c>
      <c r="H8" s="239">
        <f>-H5*E34</f>
        <v>-125259.62826634223</v>
      </c>
      <c r="I8" s="239">
        <f>-I5*F34</f>
        <v>-158319.65576555216</v>
      </c>
      <c r="J8" s="243">
        <f>-J5*F34</f>
        <v>-193231.36522693143</v>
      </c>
      <c r="L8" s="169"/>
      <c r="M8" s="254"/>
      <c r="N8" s="254"/>
    </row>
    <row r="9" spans="2:14" ht="20" customHeight="1">
      <c r="B9" s="9" t="s">
        <v>59</v>
      </c>
      <c r="C9" s="139">
        <v>5394</v>
      </c>
      <c r="D9" s="139">
        <v>6858</v>
      </c>
      <c r="E9" s="142">
        <v>12020</v>
      </c>
      <c r="F9" s="150">
        <f>VLOOKUP($C$2,$I$22:$J$24,COLUMNS($I$22:$J24),FALSE)</f>
        <v>10448</v>
      </c>
      <c r="G9" s="137">
        <f>AVERAGE(C9:F9)</f>
        <v>8680</v>
      </c>
      <c r="H9" s="244">
        <f t="shared" ref="H9:J9" si="2">AVERAGE(D9:G9)</f>
        <v>9501.5</v>
      </c>
      <c r="I9" s="244">
        <f t="shared" si="2"/>
        <v>10162.375</v>
      </c>
      <c r="J9" s="245">
        <f t="shared" si="2"/>
        <v>9697.96875</v>
      </c>
      <c r="L9" s="169"/>
      <c r="M9" s="254"/>
      <c r="N9" s="254"/>
    </row>
    <row r="10" spans="2:14" ht="20" customHeight="1">
      <c r="B10" s="9" t="s">
        <v>6</v>
      </c>
      <c r="C10" s="153">
        <v>-11781</v>
      </c>
      <c r="D10" s="153">
        <v>-13697</v>
      </c>
      <c r="E10" s="154">
        <v>-12441</v>
      </c>
      <c r="F10" s="150">
        <f>F45</f>
        <v>-20044.406009130882</v>
      </c>
      <c r="G10" s="150">
        <f t="shared" ref="G10:I10" si="3">G45</f>
        <v>-23153.842971746937</v>
      </c>
      <c r="H10" s="239">
        <f t="shared" si="3"/>
        <v>-26224.841844417173</v>
      </c>
      <c r="I10" s="239">
        <f t="shared" si="3"/>
        <v>-33923.052932725244</v>
      </c>
      <c r="J10" s="243">
        <f t="shared" ref="J10" si="4">J45</f>
        <v>-40740.544754014394</v>
      </c>
      <c r="L10" s="169"/>
      <c r="M10" s="254"/>
      <c r="N10" s="254"/>
    </row>
    <row r="11" spans="2:14" ht="20" customHeight="1">
      <c r="B11" s="9" t="s">
        <v>7</v>
      </c>
      <c r="C11" s="150">
        <f>C12-C10</f>
        <v>46012</v>
      </c>
      <c r="D11" s="150">
        <f t="shared" ref="D11:F11" si="5">D12-D10</f>
        <v>54921</v>
      </c>
      <c r="E11" s="99">
        <f t="shared" si="5"/>
        <v>91155</v>
      </c>
      <c r="F11" s="150">
        <f t="shared" si="5"/>
        <v>79255.076767212129</v>
      </c>
      <c r="G11" s="150">
        <f t="shared" ref="G11" si="6">G12-G10</f>
        <v>95328.78593907984</v>
      </c>
      <c r="H11" s="239">
        <f t="shared" ref="H11" si="7">H12-H10</f>
        <v>111946.67258625869</v>
      </c>
      <c r="I11" s="239">
        <f t="shared" ref="I11:J11" si="8">I12-I10</f>
        <v>132628.30793728496</v>
      </c>
      <c r="J11" s="243">
        <f t="shared" si="8"/>
        <v>164580.06686243584</v>
      </c>
      <c r="L11" s="169"/>
      <c r="M11" s="254"/>
      <c r="N11" s="254"/>
    </row>
    <row r="12" spans="2:14" ht="20" customHeight="1">
      <c r="B12" s="9" t="s">
        <v>57</v>
      </c>
      <c r="C12" s="151">
        <v>34231</v>
      </c>
      <c r="D12" s="151">
        <v>41224</v>
      </c>
      <c r="E12" s="155">
        <v>78714</v>
      </c>
      <c r="F12" s="151">
        <f>(F7+F8+F10)-F9</f>
        <v>59210.670758081251</v>
      </c>
      <c r="G12" s="151">
        <f t="shared" ref="G12:I12" si="9">(G7+G8+G10)-G9</f>
        <v>72174.9429673329</v>
      </c>
      <c r="H12" s="244">
        <f t="shared" si="9"/>
        <v>85721.830741841521</v>
      </c>
      <c r="I12" s="244">
        <f t="shared" si="9"/>
        <v>98705.255004559716</v>
      </c>
      <c r="J12" s="245">
        <f t="shared" ref="J12" si="10">(J7+J8+J10)-J9</f>
        <v>123839.52210842143</v>
      </c>
      <c r="L12" s="169"/>
      <c r="M12" s="254"/>
      <c r="N12" s="254"/>
    </row>
    <row r="13" spans="2:14" ht="20" customHeight="1">
      <c r="B13" s="9" t="s">
        <v>60</v>
      </c>
      <c r="C13" s="116">
        <v>-100</v>
      </c>
      <c r="D13" s="116">
        <v>-135</v>
      </c>
      <c r="E13" s="47">
        <v>-346</v>
      </c>
      <c r="F13" s="116">
        <f>(AVERAGE(E13/E9,D13/D9,C13/C9)*F9)</f>
        <v>-233.37180300431072</v>
      </c>
      <c r="G13" s="116">
        <f t="shared" ref="G13:J13" si="11">(AVERAGE(F13/F9,E13/E9,D13/D9)*G9)</f>
        <v>-204.8679697545887</v>
      </c>
      <c r="H13" s="239">
        <f t="shared" si="11"/>
        <v>-236.66387914069151</v>
      </c>
      <c r="I13" s="239">
        <f t="shared" si="11"/>
        <v>-239.99078620254653</v>
      </c>
      <c r="J13" s="243">
        <f t="shared" si="11"/>
        <v>-233.15848413260238</v>
      </c>
      <c r="L13" s="169"/>
      <c r="M13" s="254"/>
      <c r="N13" s="254"/>
    </row>
    <row r="14" spans="2:14" ht="20" customHeight="1">
      <c r="B14" s="9" t="s">
        <v>58</v>
      </c>
      <c r="C14" s="150">
        <f>SUM(C12+C9)</f>
        <v>39625</v>
      </c>
      <c r="D14" s="150">
        <f t="shared" ref="D14:I14" si="12">SUM(D12+D9)</f>
        <v>48082</v>
      </c>
      <c r="E14" s="99">
        <f t="shared" si="12"/>
        <v>90734</v>
      </c>
      <c r="F14" s="150">
        <f t="shared" si="12"/>
        <v>69658.670758081251</v>
      </c>
      <c r="G14" s="150">
        <f t="shared" si="12"/>
        <v>80854.9429673329</v>
      </c>
      <c r="H14" s="239">
        <f t="shared" si="12"/>
        <v>95223.330741841521</v>
      </c>
      <c r="I14" s="239">
        <f t="shared" si="12"/>
        <v>108867.63000455972</v>
      </c>
      <c r="J14" s="243">
        <f t="shared" ref="J14" si="13">SUM(J12+J9)</f>
        <v>133537.49085842143</v>
      </c>
      <c r="L14" s="169"/>
      <c r="M14" s="254"/>
      <c r="N14" s="254"/>
    </row>
    <row r="15" spans="2:14" ht="20" customHeight="1">
      <c r="B15" s="9" t="s">
        <v>8</v>
      </c>
      <c r="C15" s="141">
        <v>5282</v>
      </c>
      <c r="D15" s="141">
        <v>7813</v>
      </c>
      <c r="E15" s="144">
        <v>14701</v>
      </c>
      <c r="F15" s="150">
        <f>AVERAGE(E15/E14,D15/D14,C15/C14)*F14</f>
        <v>10630.284244817047</v>
      </c>
      <c r="G15" s="150">
        <f t="shared" ref="G15:J15" si="14">AVERAGE(F15/F14,E15/E14,D15/D14)*G14</f>
        <v>12859.213908202302</v>
      </c>
      <c r="H15" s="239">
        <f t="shared" si="14"/>
        <v>15034.777571509509</v>
      </c>
      <c r="I15" s="239">
        <f t="shared" si="14"/>
        <v>17039.072738615316</v>
      </c>
      <c r="J15" s="246">
        <f t="shared" si="14"/>
        <v>21074.086469256385</v>
      </c>
      <c r="L15" s="169"/>
      <c r="M15" s="254"/>
      <c r="N15" s="254"/>
    </row>
    <row r="16" spans="2:14" ht="17" thickBot="1">
      <c r="B16" s="145" t="s">
        <v>9</v>
      </c>
      <c r="C16" s="152">
        <v>34343</v>
      </c>
      <c r="D16" s="152">
        <v>40269</v>
      </c>
      <c r="E16" s="156">
        <v>76033</v>
      </c>
      <c r="F16" s="152">
        <f>F14-F15</f>
        <v>59028.386513264202</v>
      </c>
      <c r="G16" s="152">
        <f t="shared" ref="G16:J16" si="15">G14-G15</f>
        <v>67995.729059130594</v>
      </c>
      <c r="H16" s="247">
        <f t="shared" si="15"/>
        <v>80188.553170332016</v>
      </c>
      <c r="I16" s="247">
        <f t="shared" si="15"/>
        <v>91828.557265944401</v>
      </c>
      <c r="J16" s="248">
        <f t="shared" si="15"/>
        <v>112463.40438916505</v>
      </c>
      <c r="L16" s="169"/>
      <c r="M16" s="254"/>
      <c r="N16" s="254"/>
    </row>
    <row r="17" spans="2:14" ht="5" customHeight="1">
      <c r="B17" s="16"/>
      <c r="C17" s="7"/>
      <c r="D17" s="7"/>
      <c r="E17" s="7"/>
      <c r="F17" s="7"/>
      <c r="G17" s="7"/>
      <c r="H17" s="7"/>
      <c r="I17" s="7"/>
      <c r="J17" s="7"/>
      <c r="K17" s="7"/>
      <c r="L17" s="167"/>
      <c r="M17" s="167"/>
      <c r="N17" s="167"/>
    </row>
    <row r="18" spans="2:14" ht="20" customHeight="1" outlineLevel="1">
      <c r="B18" s="17" t="s">
        <v>10</v>
      </c>
      <c r="C18" s="18"/>
      <c r="D18" s="18"/>
      <c r="E18" s="18"/>
      <c r="F18" s="18"/>
      <c r="G18" s="18"/>
      <c r="H18" s="18"/>
      <c r="I18" s="18"/>
      <c r="J18" s="18"/>
      <c r="K18" s="18"/>
    </row>
    <row r="19" spans="2:14" ht="20" customHeight="1" outlineLevel="1">
      <c r="B19" s="19" t="s">
        <v>11</v>
      </c>
      <c r="C19" s="20">
        <f>(C5-136819)/136819</f>
        <v>0.18300089899794619</v>
      </c>
      <c r="D19" s="20">
        <f>(D5-C5)/C5</f>
        <v>0.12770532012826136</v>
      </c>
      <c r="E19" s="20">
        <f>(E5-D5)/D5</f>
        <v>0.41150076427049148</v>
      </c>
      <c r="F19" s="20">
        <f>C24</f>
        <v>0.19012486560548372</v>
      </c>
      <c r="G19" s="20">
        <f t="shared" ref="G19:I19" si="16">D24</f>
        <v>0.20051405615155157</v>
      </c>
      <c r="H19" s="20">
        <f t="shared" si="16"/>
        <v>0.21051405615155158</v>
      </c>
      <c r="I19" s="20">
        <f t="shared" si="16"/>
        <v>0.22051405615155159</v>
      </c>
      <c r="J19" s="21"/>
      <c r="K19" s="21"/>
    </row>
    <row r="20" spans="2:14" ht="20" customHeight="1" outlineLevel="1">
      <c r="B20" s="22" t="s">
        <v>61</v>
      </c>
      <c r="C20" s="103">
        <v>68011</v>
      </c>
      <c r="D20" s="103">
        <v>74569.509999999995</v>
      </c>
      <c r="E20" s="103">
        <v>77885.66</v>
      </c>
      <c r="F20" s="103">
        <v>86154.03</v>
      </c>
      <c r="G20" s="103">
        <f>SUM(C20:F20)</f>
        <v>306620.2</v>
      </c>
      <c r="H20" s="107">
        <v>85568.37</v>
      </c>
      <c r="I20" s="107">
        <v>89884.46</v>
      </c>
      <c r="J20" s="107">
        <v>93140.68</v>
      </c>
      <c r="K20" s="107">
        <v>99508.35</v>
      </c>
      <c r="L20" s="52"/>
    </row>
    <row r="21" spans="2:14" ht="20" customHeight="1" outlineLevel="1">
      <c r="B21" s="22" t="s">
        <v>12</v>
      </c>
      <c r="C21" s="23">
        <f>C22+2.5%</f>
        <v>0.21512486560548372</v>
      </c>
      <c r="D21" s="23">
        <f>D22+2.5%</f>
        <v>0.22551405615155157</v>
      </c>
      <c r="E21" s="23">
        <f>E22+2.5%</f>
        <v>0.23551405615155158</v>
      </c>
      <c r="F21" s="23">
        <f>F22+2.5%</f>
        <v>0.24551405615155159</v>
      </c>
      <c r="G21" s="25" t="s">
        <v>79</v>
      </c>
      <c r="H21" s="106"/>
      <c r="I21" s="23"/>
      <c r="J21" s="23"/>
      <c r="K21" s="23"/>
    </row>
    <row r="22" spans="2:14" ht="20" customHeight="1" outlineLevel="1">
      <c r="B22" s="22" t="s">
        <v>195</v>
      </c>
      <c r="C22" s="23">
        <f>(G20-E5)/E5</f>
        <v>0.19012486560548372</v>
      </c>
      <c r="D22" s="23">
        <f>((SUM(H20:K20))-G20)/G20</f>
        <v>0.20051405615155157</v>
      </c>
      <c r="E22" s="23">
        <f>D22+1%</f>
        <v>0.21051405615155158</v>
      </c>
      <c r="F22" s="23">
        <f>E22+1%</f>
        <v>0.22051405615155159</v>
      </c>
      <c r="G22" s="26"/>
      <c r="H22" s="26"/>
      <c r="I22" s="110" t="s">
        <v>12</v>
      </c>
      <c r="J22" s="108">
        <v>17142</v>
      </c>
      <c r="K22" s="24"/>
    </row>
    <row r="23" spans="2:14" ht="20" customHeight="1" outlineLevel="1">
      <c r="B23" s="22" t="s">
        <v>123</v>
      </c>
      <c r="C23" s="23">
        <f>C22-3%</f>
        <v>0.16012486560548372</v>
      </c>
      <c r="D23" s="23">
        <f>C23-1.5%</f>
        <v>0.14512486560548371</v>
      </c>
      <c r="E23" s="23">
        <f>D23-1.5%</f>
        <v>0.1301248656054837</v>
      </c>
      <c r="F23" s="23">
        <f>E23-1.5%</f>
        <v>0.1151248656054837</v>
      </c>
      <c r="G23" s="27"/>
      <c r="H23" s="26"/>
      <c r="I23" s="130" t="s">
        <v>195</v>
      </c>
      <c r="J23" s="108">
        <v>10448</v>
      </c>
      <c r="K23" s="109"/>
    </row>
    <row r="24" spans="2:14" ht="20" customHeight="1" outlineLevel="1">
      <c r="B24" s="22" t="s">
        <v>13</v>
      </c>
      <c r="C24" s="28">
        <f>VLOOKUP($C$2,$B$21:$E$23, COLUMNS($B$21:C23),FALSE)</f>
        <v>0.19012486560548372</v>
      </c>
      <c r="D24" s="28">
        <f>VLOOKUP($C$2,$B$21:$E$23, COLUMNS($B$21:D23),FALSE)</f>
        <v>0.20051405615155157</v>
      </c>
      <c r="E24" s="28">
        <f>VLOOKUP($C$2,$B$21:$E$23, COLUMNS($B$21:E23),FALSE)</f>
        <v>0.21051405615155158</v>
      </c>
      <c r="F24" s="28">
        <f>VLOOKUP($C$2,$B$21:$F$23, COLUMNS($B$21:F23),FALSE)</f>
        <v>0.22051405615155159</v>
      </c>
      <c r="G24" s="25" t="s">
        <v>62</v>
      </c>
      <c r="H24" s="26"/>
      <c r="I24" s="110" t="s">
        <v>123</v>
      </c>
      <c r="J24" s="108">
        <v>9031</v>
      </c>
      <c r="K24" s="108"/>
    </row>
    <row r="25" spans="2:14" ht="20" customHeight="1" outlineLevel="1">
      <c r="B25" s="29" t="s">
        <v>14</v>
      </c>
      <c r="C25" s="30">
        <f>-(C6/C5)</f>
        <v>0.44419456680897335</v>
      </c>
      <c r="D25" s="30">
        <f t="shared" ref="D25:E25" si="17">-(D6/D5)</f>
        <v>0.46421625293792151</v>
      </c>
      <c r="E25" s="30">
        <f t="shared" si="17"/>
        <v>0.43060197099019165</v>
      </c>
      <c r="F25" s="30">
        <f>C29</f>
        <v>0.44633759691236219</v>
      </c>
      <c r="G25" s="31"/>
      <c r="H25" s="31"/>
      <c r="I25" s="31"/>
      <c r="J25" s="31"/>
      <c r="K25" s="31"/>
    </row>
    <row r="26" spans="2:14" ht="20" customHeight="1" outlineLevel="1">
      <c r="B26" s="22" t="s">
        <v>12</v>
      </c>
      <c r="C26" s="33">
        <f>C27-STDEV($C$25:$E$25)</f>
        <v>0.42942829706779762</v>
      </c>
      <c r="D26" s="33">
        <f>C26-1%</f>
        <v>0.41942829706779761</v>
      </c>
      <c r="E26" s="33">
        <f t="shared" ref="E26:F26" si="18">D26-1%</f>
        <v>0.4094282970677976</v>
      </c>
      <c r="F26" s="33">
        <f t="shared" si="18"/>
        <v>0.39942829706779759</v>
      </c>
      <c r="G26" s="26"/>
      <c r="H26" s="26"/>
      <c r="I26" s="26"/>
      <c r="J26" s="26"/>
      <c r="K26" s="26"/>
    </row>
    <row r="27" spans="2:14" ht="20" customHeight="1" outlineLevel="1">
      <c r="B27" s="22" t="s">
        <v>195</v>
      </c>
      <c r="C27" s="33">
        <f>AVERAGE($C$25:$E$25)</f>
        <v>0.44633759691236219</v>
      </c>
      <c r="D27" s="33">
        <f>C27</f>
        <v>0.44633759691236219</v>
      </c>
      <c r="E27" s="33">
        <f t="shared" ref="E27:F27" si="19">D27</f>
        <v>0.44633759691236219</v>
      </c>
      <c r="F27" s="33">
        <f t="shared" si="19"/>
        <v>0.44633759691236219</v>
      </c>
      <c r="G27" s="26"/>
      <c r="H27" s="26"/>
      <c r="I27" s="26"/>
      <c r="J27" s="26"/>
      <c r="K27" s="26"/>
    </row>
    <row r="28" spans="2:14" ht="20" customHeight="1" outlineLevel="1">
      <c r="B28" s="22" t="s">
        <v>123</v>
      </c>
      <c r="C28" s="33">
        <f>C27+STDEV($C$25:$E$25)</f>
        <v>0.46324689675692676</v>
      </c>
      <c r="D28" s="33">
        <f>C28+1%</f>
        <v>0.47324689675692677</v>
      </c>
      <c r="E28" s="33">
        <f t="shared" ref="E28:F28" si="20">D28+1%</f>
        <v>0.48324689675692678</v>
      </c>
      <c r="F28" s="33">
        <f t="shared" si="20"/>
        <v>0.49324689675692679</v>
      </c>
      <c r="G28" s="26"/>
      <c r="H28" s="26"/>
      <c r="I28" s="157"/>
      <c r="J28" s="26"/>
      <c r="K28" s="26"/>
    </row>
    <row r="29" spans="2:14" ht="20" customHeight="1" outlineLevel="1">
      <c r="B29" s="22" t="s">
        <v>13</v>
      </c>
      <c r="C29" s="35">
        <f>VLOOKUP($C$2,$B$26:$F$28, COLUMNS($B$26:C28),FALSE)</f>
        <v>0.44633759691236219</v>
      </c>
      <c r="D29" s="35">
        <f>VLOOKUP($C$2,$B$26:$F$28, COLUMNS($B$26:D28),FALSE)</f>
        <v>0.44633759691236219</v>
      </c>
      <c r="E29" s="35">
        <f>VLOOKUP($C$2,$B$26:$F$28, COLUMNS($B$26:E28),FALSE)</f>
        <v>0.44633759691236219</v>
      </c>
      <c r="F29" s="35">
        <f>VLOOKUP($C$2,$B$26:$F$28, COLUMNS($B$26:F28),FALSE)</f>
        <v>0.44633759691236219</v>
      </c>
      <c r="G29" s="26"/>
      <c r="H29" s="26"/>
      <c r="I29" s="26"/>
      <c r="J29" s="26"/>
      <c r="K29" s="26"/>
    </row>
    <row r="30" spans="2:14" ht="20" customHeight="1" outlineLevel="1">
      <c r="B30" s="19" t="s">
        <v>15</v>
      </c>
      <c r="C30" s="30">
        <f>-(C8/C5)</f>
        <v>0.33383171565023445</v>
      </c>
      <c r="D30" s="30">
        <f t="shared" ref="D30:E30" si="21">-(D8/D5)</f>
        <v>0.30993222920444646</v>
      </c>
      <c r="E30" s="30">
        <f t="shared" si="21"/>
        <v>0.26387514215737645</v>
      </c>
      <c r="F30" s="30">
        <f>AVERAGE(C30:E30)</f>
        <v>0.30254636233735249</v>
      </c>
      <c r="G30" s="26"/>
      <c r="H30" s="26"/>
      <c r="I30" s="26"/>
      <c r="J30" s="26"/>
      <c r="K30" s="26"/>
    </row>
    <row r="31" spans="2:14" ht="16" outlineLevel="1">
      <c r="B31" s="36" t="s">
        <v>12</v>
      </c>
      <c r="C31" s="104">
        <f>AVERAGE(C30:E30)-1%</f>
        <v>0.29254636233735248</v>
      </c>
      <c r="D31" s="104">
        <f>C31-1%</f>
        <v>0.28254636233735247</v>
      </c>
      <c r="E31" s="104">
        <f t="shared" ref="E31:F31" si="22">D31-1%</f>
        <v>0.27254636233735247</v>
      </c>
      <c r="F31" s="104">
        <f t="shared" si="22"/>
        <v>0.26254636233735246</v>
      </c>
      <c r="G31" s="26" t="s">
        <v>63</v>
      </c>
      <c r="H31" s="26">
        <v>80061</v>
      </c>
      <c r="I31" s="26"/>
      <c r="J31" s="26"/>
      <c r="K31" s="26"/>
    </row>
    <row r="32" spans="2:14" ht="16" outlineLevel="1">
      <c r="B32" s="22" t="s">
        <v>195</v>
      </c>
      <c r="C32" s="105">
        <f>H31/F5</f>
        <v>0.26110804180546487</v>
      </c>
      <c r="D32" s="33">
        <f>C32+1%</f>
        <v>0.27110804180546488</v>
      </c>
      <c r="E32" s="33">
        <f t="shared" ref="E32:F32" si="23">D32+1%</f>
        <v>0.28110804180546489</v>
      </c>
      <c r="F32" s="33">
        <f t="shared" si="23"/>
        <v>0.2911080418054649</v>
      </c>
      <c r="G32" s="26"/>
      <c r="H32" s="26"/>
      <c r="I32" s="26"/>
      <c r="J32" s="26"/>
      <c r="K32" s="26"/>
    </row>
    <row r="33" spans="2:11" ht="16" outlineLevel="1">
      <c r="B33" s="36" t="s">
        <v>123</v>
      </c>
      <c r="C33" s="33">
        <f>AVERAGE(C30:E30)+2%</f>
        <v>0.32254636233735251</v>
      </c>
      <c r="D33" s="33">
        <f>C33+1%</f>
        <v>0.33254636233735252</v>
      </c>
      <c r="E33" s="33">
        <f t="shared" ref="E33:F33" si="24">D33+1%</f>
        <v>0.34254636233735253</v>
      </c>
      <c r="F33" s="33">
        <f t="shared" si="24"/>
        <v>0.35254636233735254</v>
      </c>
      <c r="G33" s="26"/>
      <c r="H33" s="34"/>
      <c r="I33" s="26"/>
      <c r="J33" s="26"/>
      <c r="K33" s="26"/>
    </row>
    <row r="34" spans="2:11" ht="16" outlineLevel="1">
      <c r="B34" s="32" t="s">
        <v>13</v>
      </c>
      <c r="C34" s="35">
        <f>VLOOKUP($C$2,$B$31:$F$34, COLUMNS($B$31:C34),FALSE)</f>
        <v>0.26110804180546487</v>
      </c>
      <c r="D34" s="35">
        <f>VLOOKUP($C$2,$B$31:$F$34, COLUMNS($B$31:D34),FALSE)</f>
        <v>0.27110804180546488</v>
      </c>
      <c r="E34" s="35">
        <f>VLOOKUP($C$2,$B$31:$F$34, COLUMNS($B$31:E34),FALSE)</f>
        <v>0.28110804180546489</v>
      </c>
      <c r="F34" s="35">
        <f>VLOOKUP($C$2,$B$31:$F$34, COLUMNS($B$31:F34),FALSE)</f>
        <v>0.2911080418054649</v>
      </c>
      <c r="G34" s="26"/>
      <c r="H34" s="26"/>
      <c r="I34" s="26"/>
      <c r="J34" s="26"/>
      <c r="K34" s="26"/>
    </row>
    <row r="35" spans="2:11" s="135" customFormat="1" outlineLevel="1">
      <c r="B35" s="179"/>
      <c r="C35" s="180"/>
      <c r="D35" s="180"/>
      <c r="E35" s="180"/>
      <c r="F35" s="180"/>
    </row>
    <row r="36" spans="2:11" ht="20" customHeight="1" outlineLevel="1">
      <c r="B36" s="37" t="s">
        <v>16</v>
      </c>
      <c r="C36" s="178">
        <v>2019</v>
      </c>
      <c r="D36" s="178">
        <v>2020</v>
      </c>
      <c r="E36" s="178">
        <v>2021</v>
      </c>
      <c r="F36" s="178">
        <v>2022</v>
      </c>
      <c r="G36" s="178">
        <v>2023</v>
      </c>
      <c r="H36" s="178">
        <v>2024</v>
      </c>
      <c r="I36" s="178">
        <v>2025</v>
      </c>
      <c r="J36" s="178">
        <v>2026</v>
      </c>
      <c r="K36" s="135"/>
    </row>
    <row r="37" spans="2:11" ht="20" customHeight="1" outlineLevel="1">
      <c r="B37" s="38" t="s">
        <v>95</v>
      </c>
      <c r="C37" s="10">
        <f>'Balance Sheet Model'!C13-'Balance Sheet Model'!C11</f>
        <v>134057</v>
      </c>
      <c r="D37" s="10">
        <f>'Balance Sheet Model'!D13-'Balance Sheet Model'!D11</f>
        <v>147832</v>
      </c>
      <c r="E37" s="10">
        <f>'Balance Sheet Model'!E13-'Balance Sheet Model'!E11</f>
        <v>166912</v>
      </c>
      <c r="F37" s="10">
        <f>'Balance Sheet Model'!F13-'Balance Sheet Model'!F11</f>
        <v>168002.15806486836</v>
      </c>
      <c r="G37" s="10">
        <f>'Balance Sheet Model'!G13-'Balance Sheet Model'!G11</f>
        <v>181225.65684489804</v>
      </c>
      <c r="H37" s="10">
        <f>'Balance Sheet Model'!H13-'Balance Sheet Model'!H11</f>
        <v>194439.24785582189</v>
      </c>
      <c r="I37" s="115">
        <f>'Balance Sheet Model'!I13-'Balance Sheet Model'!I11</f>
        <v>210127.46427353629</v>
      </c>
      <c r="J37" s="14">
        <f>'Balance Sheet Model'!J13-'Balance Sheet Model'!J11</f>
        <v>230854.90585049329</v>
      </c>
    </row>
    <row r="38" spans="2:11" ht="20" customHeight="1">
      <c r="B38" s="38" t="s">
        <v>18</v>
      </c>
      <c r="C38" s="10">
        <f>-'Balance Sheet Model'!C20</f>
        <v>-45221</v>
      </c>
      <c r="D38" s="10">
        <f>-'Balance Sheet Model'!D20</f>
        <v>-56834</v>
      </c>
      <c r="E38" s="10">
        <f>-'Balance Sheet Model'!E20</f>
        <v>-64254</v>
      </c>
      <c r="F38" s="10">
        <f>-'Balance Sheet Model'!F20</f>
        <v>-85853.847377002458</v>
      </c>
      <c r="G38" s="10">
        <f>-'Balance Sheet Model'!G20</f>
        <v>-103123.50807095927</v>
      </c>
      <c r="H38" s="10">
        <f>-'Balance Sheet Model'!H20</f>
        <v>-120369.93073962182</v>
      </c>
      <c r="I38" s="115">
        <f>-'Balance Sheet Model'!I20</f>
        <v>-150517.27515320815</v>
      </c>
      <c r="J38" s="14">
        <f>-'Balance Sheet Model'!J20</f>
        <v>-182991.76797214025</v>
      </c>
    </row>
    <row r="39" spans="2:11" ht="20" customHeight="1">
      <c r="B39" s="38" t="s">
        <v>19</v>
      </c>
      <c r="C39" s="10">
        <v>1199</v>
      </c>
      <c r="D39" s="11">
        <v>1694</v>
      </c>
      <c r="E39" s="11">
        <v>2189</v>
      </c>
      <c r="F39" s="11">
        <f>AVERAGE(C39:E39)</f>
        <v>1694</v>
      </c>
      <c r="G39" s="11">
        <f>AVERAGE(D39:F39)</f>
        <v>1859</v>
      </c>
      <c r="H39" s="11">
        <f t="shared" ref="H39" si="25">AVERAGE(E39:G39)</f>
        <v>1914</v>
      </c>
      <c r="I39" s="150">
        <f>AVERAGE(F39:H39)</f>
        <v>1822.3333333333333</v>
      </c>
      <c r="J39" s="99">
        <f>AVERAGE(G39:I39)</f>
        <v>1865.1111111111111</v>
      </c>
    </row>
    <row r="40" spans="2:11" ht="20" customHeight="1">
      <c r="B40" s="224" t="s">
        <v>20</v>
      </c>
      <c r="C40" s="225">
        <f>SUM(C37:C39)</f>
        <v>90035</v>
      </c>
      <c r="D40" s="225">
        <f t="shared" ref="D40:J40" si="26">SUM(D37:D39)</f>
        <v>92692</v>
      </c>
      <c r="E40" s="225">
        <f t="shared" si="26"/>
        <v>104847</v>
      </c>
      <c r="F40" s="225">
        <f t="shared" si="26"/>
        <v>83842.310687865902</v>
      </c>
      <c r="G40" s="225">
        <f t="shared" si="26"/>
        <v>79961.148773938767</v>
      </c>
      <c r="H40" s="225">
        <f t="shared" si="26"/>
        <v>75983.317116200065</v>
      </c>
      <c r="I40" s="225">
        <f t="shared" si="26"/>
        <v>61432.522453661477</v>
      </c>
      <c r="J40" s="127">
        <f t="shared" si="26"/>
        <v>49728.248989464148</v>
      </c>
    </row>
    <row r="41" spans="2:11" ht="20" customHeight="1">
      <c r="B41" s="133" t="s">
        <v>94</v>
      </c>
      <c r="C41" s="68"/>
      <c r="D41" s="68">
        <f>D40-C40</f>
        <v>2657</v>
      </c>
      <c r="E41" s="68">
        <f t="shared" ref="E41:J41" si="27">E40-D40</f>
        <v>12155</v>
      </c>
      <c r="F41" s="68">
        <f t="shared" si="27"/>
        <v>-21004.689312134098</v>
      </c>
      <c r="G41" s="68">
        <f t="shared" si="27"/>
        <v>-3881.1619139271352</v>
      </c>
      <c r="H41" s="68">
        <f t="shared" si="27"/>
        <v>-3977.8316577387013</v>
      </c>
      <c r="I41" s="68">
        <f t="shared" si="27"/>
        <v>-14550.794662538588</v>
      </c>
      <c r="J41" s="67">
        <f t="shared" si="27"/>
        <v>-11704.273464197329</v>
      </c>
    </row>
    <row r="42" spans="2:11">
      <c r="B42" s="41"/>
      <c r="C42" s="42"/>
      <c r="D42" s="42"/>
      <c r="E42" s="42"/>
      <c r="F42" s="42"/>
    </row>
    <row r="43" spans="2:11" ht="17" thickBot="1">
      <c r="B43" s="43" t="s">
        <v>21</v>
      </c>
      <c r="C43" s="5">
        <v>2019</v>
      </c>
      <c r="D43" s="5">
        <v>2020</v>
      </c>
      <c r="E43" s="5">
        <v>2021</v>
      </c>
      <c r="F43" s="5">
        <v>2022</v>
      </c>
      <c r="G43" s="5">
        <v>2023</v>
      </c>
      <c r="H43" s="5">
        <v>2024</v>
      </c>
      <c r="I43" s="5">
        <v>2025</v>
      </c>
      <c r="J43" s="5">
        <v>2026</v>
      </c>
    </row>
    <row r="44" spans="2:11" ht="16">
      <c r="B44" s="38" t="s">
        <v>74</v>
      </c>
      <c r="C44" s="44">
        <v>59719</v>
      </c>
      <c r="D44" s="44">
        <f>C47</f>
        <v>73646</v>
      </c>
      <c r="E44" s="44">
        <f>D47</f>
        <v>84749</v>
      </c>
      <c r="F44" s="46">
        <f>E47</f>
        <v>97599</v>
      </c>
      <c r="G44" s="46">
        <f>F47</f>
        <v>114675.51704878251</v>
      </c>
      <c r="H44" s="46">
        <f t="shared" ref="H44:I44" si="28">G47</f>
        <v>133089.31659419611</v>
      </c>
      <c r="I44" s="132">
        <f t="shared" si="28"/>
        <v>155824.32866725215</v>
      </c>
      <c r="J44" s="125">
        <f t="shared" ref="J44" si="29">I47</f>
        <v>184238.48100601614</v>
      </c>
    </row>
    <row r="45" spans="2:11" ht="16">
      <c r="B45" s="38" t="s">
        <v>23</v>
      </c>
      <c r="C45" s="120">
        <f>C10</f>
        <v>-11781</v>
      </c>
      <c r="D45" s="120">
        <f>D10</f>
        <v>-13697</v>
      </c>
      <c r="E45" s="120">
        <f>E10</f>
        <v>-12441</v>
      </c>
      <c r="F45" s="12">
        <f>-F49*F5</f>
        <v>-20044.406009130882</v>
      </c>
      <c r="G45" s="12">
        <f>-G49*G5</f>
        <v>-23153.842971746937</v>
      </c>
      <c r="H45" s="12">
        <f>-H49*H5</f>
        <v>-26224.841844417173</v>
      </c>
      <c r="I45" s="249">
        <f>-I49*I5</f>
        <v>-33923.052932725244</v>
      </c>
      <c r="J45" s="126">
        <f>-J49*J5</f>
        <v>-40740.544754014394</v>
      </c>
      <c r="K45" s="162"/>
    </row>
    <row r="46" spans="2:11" ht="20" customHeight="1">
      <c r="B46" s="38" t="s">
        <v>24</v>
      </c>
      <c r="C46" s="119">
        <v>23548</v>
      </c>
      <c r="D46" s="119">
        <v>22281</v>
      </c>
      <c r="E46" s="119">
        <v>24640</v>
      </c>
      <c r="F46" s="13">
        <f>F51*F5</f>
        <v>37120.923057913387</v>
      </c>
      <c r="G46" s="13">
        <f>G51*G5</f>
        <v>41567.64251716053</v>
      </c>
      <c r="H46" s="13">
        <f>H51*H5</f>
        <v>48959.853917473207</v>
      </c>
      <c r="I46" s="140">
        <f>I51*I5</f>
        <v>62337.205271489227</v>
      </c>
      <c r="J46" s="143">
        <f>J51*J5</f>
        <v>74657.821422630877</v>
      </c>
      <c r="K46" s="163"/>
    </row>
    <row r="47" spans="2:11" ht="20" customHeight="1">
      <c r="B47" s="40" t="s">
        <v>70</v>
      </c>
      <c r="C47" s="121">
        <f>'Balance Sheet Model'!C14</f>
        <v>73646</v>
      </c>
      <c r="D47" s="124">
        <f>'Balance Sheet Model'!D14</f>
        <v>84749</v>
      </c>
      <c r="E47" s="124">
        <f>'Balance Sheet Model'!E14</f>
        <v>97599</v>
      </c>
      <c r="F47" s="48">
        <f>SUM(F44:F46)</f>
        <v>114675.51704878251</v>
      </c>
      <c r="G47" s="48">
        <f t="shared" ref="G47:J47" si="30">SUM(G44:G46)</f>
        <v>133089.31659419611</v>
      </c>
      <c r="H47" s="48">
        <f t="shared" si="30"/>
        <v>155824.32866725215</v>
      </c>
      <c r="I47" s="48">
        <f t="shared" si="30"/>
        <v>184238.48100601614</v>
      </c>
      <c r="J47" s="118">
        <f t="shared" si="30"/>
        <v>218155.75767463259</v>
      </c>
    </row>
    <row r="48" spans="2:11" ht="20" customHeight="1">
      <c r="B48" s="49" t="s">
        <v>73</v>
      </c>
      <c r="C48" s="50">
        <f>-C45/C44</f>
        <v>0.19727389942899246</v>
      </c>
      <c r="D48" s="50">
        <f>-D45/D44</f>
        <v>0.18598430328870544</v>
      </c>
      <c r="E48" s="50">
        <f>-E45/E44</f>
        <v>0.1467981923090538</v>
      </c>
      <c r="F48" s="50">
        <f t="shared" ref="F48:I48" si="31">-F45/F44</f>
        <v>0.20537511664188038</v>
      </c>
      <c r="G48" s="50">
        <f t="shared" si="31"/>
        <v>0.2019074652342521</v>
      </c>
      <c r="H48" s="50">
        <f t="shared" si="31"/>
        <v>0.19704693446116028</v>
      </c>
      <c r="I48" s="50">
        <f t="shared" si="31"/>
        <v>0.21770061981248548</v>
      </c>
      <c r="J48" s="50">
        <f t="shared" ref="J48" si="32">-J45/J44</f>
        <v>0.22112939995789505</v>
      </c>
    </row>
    <row r="49" spans="2:14" ht="20" customHeight="1">
      <c r="B49" s="49" t="s">
        <v>71</v>
      </c>
      <c r="C49" s="50">
        <f>-C45/C5</f>
        <v>7.2786472009242723E-2</v>
      </c>
      <c r="D49" s="50">
        <f>-D45/D5</f>
        <v>7.5040952845332465E-2</v>
      </c>
      <c r="E49" s="50">
        <f>-E45/E5</f>
        <v>4.8288871551834561E-2</v>
      </c>
      <c r="F49" s="50">
        <f>AVERAGE(C49:E49)</f>
        <v>6.5372098802136583E-2</v>
      </c>
      <c r="G49" s="50">
        <f t="shared" ref="G49:J49" si="33">AVERAGE(D49:F49)</f>
        <v>6.2900641066434546E-2</v>
      </c>
      <c r="H49" s="50">
        <f t="shared" si="33"/>
        <v>5.8853870473468566E-2</v>
      </c>
      <c r="I49" s="50">
        <f t="shared" si="33"/>
        <v>6.2375536780679898E-2</v>
      </c>
      <c r="J49" s="50">
        <f t="shared" si="33"/>
        <v>6.1376682773527667E-2</v>
      </c>
    </row>
    <row r="50" spans="2:14" ht="20" customHeight="1">
      <c r="B50" s="49" t="s">
        <v>25</v>
      </c>
      <c r="C50" s="50">
        <f>C46/C44</f>
        <v>0.39431336760494984</v>
      </c>
      <c r="D50" s="50">
        <f>D46/D44</f>
        <v>0.30254188957988215</v>
      </c>
      <c r="E50" s="50">
        <f>E46/E44</f>
        <v>0.29074089369786077</v>
      </c>
      <c r="F50" s="50">
        <f>AVERAGE(C50:E50)</f>
        <v>0.32919871696089759</v>
      </c>
      <c r="G50" s="50">
        <f t="shared" ref="G50:J50" si="34">AVERAGE(D50:F50)</f>
        <v>0.30749383341288022</v>
      </c>
      <c r="H50" s="50">
        <f t="shared" si="34"/>
        <v>0.30914448135721284</v>
      </c>
      <c r="I50" s="50">
        <f t="shared" si="34"/>
        <v>0.31527901057699687</v>
      </c>
      <c r="J50" s="50">
        <f t="shared" si="34"/>
        <v>0.31063910844903003</v>
      </c>
    </row>
    <row r="51" spans="2:14" ht="20" customHeight="1">
      <c r="B51" s="49" t="s">
        <v>72</v>
      </c>
      <c r="C51" s="50">
        <f>C46/C5</f>
        <v>0.14548644791389931</v>
      </c>
      <c r="D51" s="50">
        <f>D46/D5</f>
        <v>0.12206961161910293</v>
      </c>
      <c r="E51" s="50">
        <f>E46/E5</f>
        <v>9.5638437025737766E-2</v>
      </c>
      <c r="F51" s="50">
        <f>AVERAGE(C51:E51)</f>
        <v>0.12106483218624665</v>
      </c>
      <c r="G51" s="50">
        <f t="shared" ref="G51:J51" si="35">AVERAGE(D51:F51)</f>
        <v>0.11292429361036245</v>
      </c>
      <c r="H51" s="50">
        <f t="shared" si="35"/>
        <v>0.10987585427411561</v>
      </c>
      <c r="I51" s="50">
        <f t="shared" si="35"/>
        <v>0.11462166002357492</v>
      </c>
      <c r="J51" s="50">
        <f t="shared" si="35"/>
        <v>0.112473935969351</v>
      </c>
    </row>
    <row r="52" spans="2:14" ht="20" customHeight="1" outlineLevel="1">
      <c r="C52" s="123"/>
      <c r="D52" s="123"/>
      <c r="E52" s="123"/>
      <c r="F52" s="123"/>
      <c r="G52" s="123"/>
      <c r="H52" s="123"/>
      <c r="I52" s="123"/>
      <c r="J52" s="160"/>
    </row>
    <row r="53" spans="2:14" ht="20" customHeight="1" outlineLevel="1">
      <c r="C53" s="112"/>
      <c r="D53" s="112"/>
      <c r="E53" s="112"/>
      <c r="F53" s="112"/>
      <c r="G53" s="112"/>
      <c r="H53" s="112"/>
      <c r="I53" s="112"/>
    </row>
    <row r="54" spans="2:14" ht="20" customHeight="1" thickBot="1">
      <c r="B54" s="43" t="s">
        <v>75</v>
      </c>
      <c r="C54" s="5">
        <v>2019</v>
      </c>
      <c r="D54" s="5">
        <v>2020</v>
      </c>
      <c r="E54" s="5">
        <v>2021</v>
      </c>
      <c r="F54" s="5">
        <v>2022</v>
      </c>
      <c r="G54" s="5">
        <v>2023</v>
      </c>
      <c r="H54" s="5">
        <v>2024</v>
      </c>
      <c r="I54" s="5">
        <v>2025</v>
      </c>
      <c r="J54" s="5">
        <v>2026</v>
      </c>
    </row>
    <row r="55" spans="2:14" ht="20" customHeight="1">
      <c r="B55" s="38" t="s">
        <v>76</v>
      </c>
      <c r="C55" s="44">
        <f>4012</f>
        <v>4012</v>
      </c>
      <c r="D55" s="44">
        <f>C57</f>
        <v>4554</v>
      </c>
      <c r="E55" s="44">
        <f>D57</f>
        <v>13932</v>
      </c>
      <c r="F55" s="46">
        <f>E57</f>
        <v>14817</v>
      </c>
      <c r="G55" s="46">
        <f t="shared" ref="G55:I55" si="36">F57</f>
        <v>14630</v>
      </c>
      <c r="H55" s="46">
        <f t="shared" si="36"/>
        <v>14484</v>
      </c>
      <c r="I55" s="132">
        <f t="shared" si="36"/>
        <v>13325</v>
      </c>
      <c r="J55" s="125">
        <f t="shared" ref="J55" si="37">I57</f>
        <v>12163</v>
      </c>
    </row>
    <row r="56" spans="2:14" ht="20" customHeight="1">
      <c r="B56" s="38" t="s">
        <v>77</v>
      </c>
      <c r="C56" s="131">
        <v>-585</v>
      </c>
      <c r="D56" s="131">
        <v>-2100</v>
      </c>
      <c r="E56" s="131">
        <v>-21435</v>
      </c>
      <c r="F56" s="46">
        <v>-187</v>
      </c>
      <c r="G56" s="46">
        <v>-146</v>
      </c>
      <c r="H56" s="46">
        <v>-1159</v>
      </c>
      <c r="I56" s="132">
        <v>-1162</v>
      </c>
      <c r="J56" s="147">
        <v>-1161</v>
      </c>
    </row>
    <row r="57" spans="2:14" ht="20" customHeight="1">
      <c r="B57" s="40" t="s">
        <v>78</v>
      </c>
      <c r="C57" s="121">
        <f>'Balance Sheet Model'!C21</f>
        <v>4554</v>
      </c>
      <c r="D57" s="124">
        <f>'Balance Sheet Model'!D21</f>
        <v>13932</v>
      </c>
      <c r="E57" s="124">
        <f>'Balance Sheet Model'!E21</f>
        <v>14817</v>
      </c>
      <c r="F57" s="48">
        <f>SUM(F55:F56)</f>
        <v>14630</v>
      </c>
      <c r="G57" s="48">
        <f>SUM(G55:G56)</f>
        <v>14484</v>
      </c>
      <c r="H57" s="48">
        <f>SUM(H55:H56)</f>
        <v>13325</v>
      </c>
      <c r="I57" s="48">
        <f>SUM(I55:I56)</f>
        <v>12163</v>
      </c>
      <c r="J57" s="118">
        <f>SUM(J55:J56)</f>
        <v>11002</v>
      </c>
    </row>
    <row r="58" spans="2:14" ht="20" customHeight="1"/>
    <row r="59" spans="2:14" ht="20" customHeight="1"/>
    <row r="60" spans="2:14">
      <c r="D60" s="102"/>
      <c r="E60" s="128"/>
      <c r="F60" s="128"/>
      <c r="G60" s="129"/>
      <c r="H60" s="128"/>
      <c r="I60" s="128"/>
    </row>
    <row r="64" spans="2:14">
      <c r="F64" s="128"/>
      <c r="J64" s="282"/>
      <c r="K64" s="284"/>
      <c r="L64" s="284"/>
      <c r="M64" s="282"/>
      <c r="N64" s="283"/>
    </row>
    <row r="65" spans="10:14">
      <c r="J65" s="282"/>
      <c r="K65" s="284"/>
      <c r="L65" s="284"/>
      <c r="M65" s="282"/>
      <c r="N65" s="283"/>
    </row>
    <row r="66" spans="10:14">
      <c r="J66" s="53"/>
      <c r="K66" s="53"/>
    </row>
    <row r="67" spans="10:14">
      <c r="M67" s="10"/>
      <c r="N67" s="10"/>
    </row>
    <row r="68" spans="10:14">
      <c r="M68" s="10"/>
      <c r="N68" s="10"/>
    </row>
    <row r="69" spans="10:14">
      <c r="J69" s="129"/>
      <c r="M69" s="10"/>
      <c r="N69" s="10"/>
    </row>
    <row r="70" spans="10:14">
      <c r="M70" s="10"/>
      <c r="N70" s="10"/>
    </row>
  </sheetData>
  <mergeCells count="6">
    <mergeCell ref="C2:E2"/>
    <mergeCell ref="M64:M65"/>
    <mergeCell ref="N64:N65"/>
    <mergeCell ref="J64:J65"/>
    <mergeCell ref="K64:K65"/>
    <mergeCell ref="L64:L65"/>
  </mergeCells>
  <phoneticPr fontId="23" type="noConversion"/>
  <conditionalFormatting sqref="L5:N16">
    <cfRule type="iconSet" priority="2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2" xr:uid="{CADD748A-3B01-3149-B4C0-23AC05940BEC}">
      <formula1>$B$21:$B$23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433-4F57-8A4B-9698-65113342BF68}">
  <dimension ref="B2:N48"/>
  <sheetViews>
    <sheetView showGridLines="0" zoomScale="120" zoomScaleNormal="120" workbookViewId="0">
      <selection activeCell="C4" sqref="C4:D4"/>
    </sheetView>
  </sheetViews>
  <sheetFormatPr baseColWidth="10" defaultRowHeight="15" outlineLevelRow="1" outlineLevelCol="1"/>
  <cols>
    <col min="1" max="1" width="2.83203125" customWidth="1"/>
    <col min="2" max="2" width="30.83203125" customWidth="1"/>
    <col min="3" max="5" width="15.83203125" customWidth="1"/>
    <col min="6" max="7" width="15.83203125" customWidth="1" outlineLevel="1"/>
  </cols>
  <sheetData>
    <row r="2" spans="2:14">
      <c r="C2" s="39"/>
      <c r="D2" s="39"/>
      <c r="E2" s="39"/>
    </row>
    <row r="3" spans="2:14">
      <c r="C3" s="39"/>
      <c r="D3" s="39"/>
      <c r="E3" s="39"/>
    </row>
    <row r="4" spans="2:14" ht="21">
      <c r="B4" s="1" t="s">
        <v>68</v>
      </c>
      <c r="C4" s="83" t="s">
        <v>196</v>
      </c>
      <c r="D4" s="111" t="str">
        <f>'P&amp;L Model'!$K$2</f>
        <v>Base Case</v>
      </c>
      <c r="F4" s="287" t="s">
        <v>0</v>
      </c>
      <c r="G4" s="287"/>
      <c r="H4" s="287"/>
      <c r="I4" s="287"/>
    </row>
    <row r="6" spans="2:14" ht="17" thickBot="1">
      <c r="B6" s="4" t="s">
        <v>1</v>
      </c>
      <c r="C6" s="5">
        <v>2019</v>
      </c>
      <c r="D6" s="5">
        <v>2020</v>
      </c>
      <c r="E6" s="5">
        <v>2021</v>
      </c>
      <c r="F6" s="5">
        <v>2022</v>
      </c>
      <c r="G6" s="5">
        <v>2023</v>
      </c>
      <c r="H6" s="5">
        <v>2024</v>
      </c>
      <c r="I6" s="5">
        <v>2025</v>
      </c>
      <c r="J6" s="170">
        <v>2026</v>
      </c>
    </row>
    <row r="7" spans="2:14" ht="20" customHeight="1">
      <c r="B7" s="82" t="s">
        <v>38</v>
      </c>
      <c r="C7" s="2"/>
      <c r="D7" s="2"/>
      <c r="E7" s="2"/>
      <c r="F7" s="2"/>
      <c r="G7" s="2"/>
      <c r="H7" s="81"/>
      <c r="I7" s="81"/>
      <c r="J7" s="81"/>
    </row>
    <row r="8" spans="2:14" ht="20" customHeight="1">
      <c r="B8" s="69" t="s">
        <v>37</v>
      </c>
      <c r="C8" s="45">
        <v>27492</v>
      </c>
      <c r="D8" s="46">
        <v>31384</v>
      </c>
      <c r="E8" s="114">
        <v>40270</v>
      </c>
      <c r="F8" s="115">
        <f>F29*'P&amp;L Model'!F5/365</f>
        <v>50909.226066021722</v>
      </c>
      <c r="G8" s="115">
        <f>G29*'P&amp;L Model'!G5/365</f>
        <v>60648.50883151943</v>
      </c>
      <c r="H8" s="115">
        <f>H29*'P&amp;L Model'!H5/365</f>
        <v>72349.189488999604</v>
      </c>
      <c r="I8" s="14">
        <f>I29*'P&amp;L Model'!I5/365</f>
        <v>89401.979993892426</v>
      </c>
      <c r="J8" s="14">
        <f>J29*'P&amp;L Model'!J5/365</f>
        <v>108751.98752788336</v>
      </c>
    </row>
    <row r="9" spans="2:14" ht="20" customHeight="1">
      <c r="B9" s="69" t="s">
        <v>36</v>
      </c>
      <c r="C9" s="45">
        <v>999</v>
      </c>
      <c r="D9" s="46">
        <v>728</v>
      </c>
      <c r="E9" s="114">
        <v>1170</v>
      </c>
      <c r="F9" s="115">
        <f>-(F31*'P&amp;L Model'!F6)/365</f>
        <v>1506.9319988466152</v>
      </c>
      <c r="G9" s="115">
        <f>-(G31*'P&amp;L Model'!G6)/365</f>
        <v>1651.148013378601</v>
      </c>
      <c r="H9" s="115">
        <f>-(H31*'P&amp;L Model'!H6)/365</f>
        <v>2095.3917001555938</v>
      </c>
      <c r="I9" s="14">
        <f>-(I31*'P&amp;L Model'!I6)/365</f>
        <v>2556.5953907549797</v>
      </c>
      <c r="J9" s="14">
        <f>-(J31*'P&amp;L Model'!J6)/365</f>
        <v>3073.0664707580554</v>
      </c>
    </row>
    <row r="10" spans="2:14" ht="20" customHeight="1">
      <c r="B10" s="69" t="s">
        <v>103</v>
      </c>
      <c r="C10" s="45">
        <v>101177</v>
      </c>
      <c r="D10" s="46">
        <v>110229</v>
      </c>
      <c r="E10" s="114">
        <v>118704</v>
      </c>
      <c r="F10" s="115">
        <f>AVERAGE(C10:E10)</f>
        <v>110036.66666666667</v>
      </c>
      <c r="G10" s="115">
        <f t="shared" ref="G10:J10" si="0">AVERAGE(D10:F10)</f>
        <v>112989.88888888889</v>
      </c>
      <c r="H10" s="115">
        <f t="shared" si="0"/>
        <v>113910.18518518518</v>
      </c>
      <c r="I10" s="14">
        <f t="shared" si="0"/>
        <v>112312.24691358024</v>
      </c>
      <c r="J10" s="14">
        <f t="shared" si="0"/>
        <v>113070.77366255144</v>
      </c>
    </row>
    <row r="11" spans="2:14" ht="20" customHeight="1">
      <c r="B11" s="69" t="s">
        <v>82</v>
      </c>
      <c r="C11" s="45">
        <f>'Cash Flow Model'!C16</f>
        <v>18521</v>
      </c>
      <c r="D11" s="45">
        <f>'Cash Flow Model'!D16</f>
        <v>26464</v>
      </c>
      <c r="E11" s="47">
        <f>'Cash Flow Model'!E16</f>
        <v>21231</v>
      </c>
      <c r="F11" s="45">
        <f>'Cash Flow Model'!F16</f>
        <v>24752.003523238927</v>
      </c>
      <c r="G11" s="45">
        <f>'Cash Flow Model'!G16</f>
        <v>29008.316149275903</v>
      </c>
      <c r="H11" s="45">
        <f>'Cash Flow Model'!H16</f>
        <v>29414.490921617464</v>
      </c>
      <c r="I11" s="47">
        <f>'Cash Flow Model'!I16</f>
        <v>33757.633706710629</v>
      </c>
      <c r="J11" s="47">
        <f>'Cash Flow Model'!J16</f>
        <v>38284.671451868016</v>
      </c>
      <c r="K11" s="52"/>
      <c r="L11" s="52"/>
      <c r="M11" s="52"/>
      <c r="N11" s="52"/>
    </row>
    <row r="12" spans="2:14" ht="20" customHeight="1">
      <c r="B12" s="69" t="s">
        <v>64</v>
      </c>
      <c r="C12" s="45">
        <f>C13-SUM(C8:C11)</f>
        <v>4389</v>
      </c>
      <c r="D12" s="46">
        <f>D13-SUM(D8:D11)</f>
        <v>5491</v>
      </c>
      <c r="E12" s="114">
        <f>E13-SUM(E8:E11)</f>
        <v>6768</v>
      </c>
      <c r="F12" s="113">
        <f>AVERAGE(C12:E12)</f>
        <v>5549.333333333333</v>
      </c>
      <c r="G12" s="113">
        <f t="shared" ref="G12:J12" si="1">AVERAGE(D12:F12)</f>
        <v>5936.1111111111104</v>
      </c>
      <c r="H12" s="113">
        <f t="shared" si="1"/>
        <v>6084.4814814814808</v>
      </c>
      <c r="I12" s="80">
        <f t="shared" si="1"/>
        <v>5856.6419753086411</v>
      </c>
      <c r="J12" s="80">
        <f t="shared" si="1"/>
        <v>5959.0781893004105</v>
      </c>
    </row>
    <row r="13" spans="2:14" ht="20" customHeight="1">
      <c r="B13" s="267" t="s">
        <v>17</v>
      </c>
      <c r="C13" s="64">
        <v>152578</v>
      </c>
      <c r="D13" s="64">
        <v>174296</v>
      </c>
      <c r="E13" s="63">
        <v>188143</v>
      </c>
      <c r="F13" s="64">
        <f>SUM(F8:F12)</f>
        <v>192754.16158810729</v>
      </c>
      <c r="G13" s="64">
        <f>SUM(G8:G12)</f>
        <v>210233.97299417394</v>
      </c>
      <c r="H13" s="64">
        <f>SUM(H8:H12)</f>
        <v>223853.73877743934</v>
      </c>
      <c r="I13" s="63">
        <f>SUM(I8:I12)</f>
        <v>243885.09798024691</v>
      </c>
      <c r="J13" s="63">
        <f>SUM(J8:J12)</f>
        <v>269139.57730236131</v>
      </c>
      <c r="K13" s="39"/>
    </row>
    <row r="14" spans="2:14" ht="20" customHeight="1">
      <c r="B14" s="69" t="s">
        <v>22</v>
      </c>
      <c r="C14" s="51">
        <v>73646</v>
      </c>
      <c r="D14" s="51">
        <v>84749</v>
      </c>
      <c r="E14" s="99">
        <v>97599</v>
      </c>
      <c r="F14" s="115">
        <f>'P&amp;L Model'!F47</f>
        <v>114675.51704878251</v>
      </c>
      <c r="G14" s="115">
        <f>'P&amp;L Model'!G47</f>
        <v>133089.31659419611</v>
      </c>
      <c r="H14" s="115">
        <f>'P&amp;L Model'!H47</f>
        <v>155824.32866725215</v>
      </c>
      <c r="I14" s="14">
        <f>'P&amp;L Model'!I47</f>
        <v>184238.48100601614</v>
      </c>
      <c r="J14" s="14">
        <f>'P&amp;L Model'!J47</f>
        <v>218155.75767463259</v>
      </c>
      <c r="K14" s="39"/>
      <c r="L14" s="39"/>
    </row>
    <row r="15" spans="2:14" ht="20" customHeight="1">
      <c r="B15" s="69" t="s">
        <v>35</v>
      </c>
      <c r="C15" s="45">
        <v>49685</v>
      </c>
      <c r="D15" s="46">
        <v>60571</v>
      </c>
      <c r="E15" s="147">
        <v>73526</v>
      </c>
      <c r="F15" s="115">
        <f>F32*'P&amp;L Model'!F5</f>
        <v>94459.597837040128</v>
      </c>
      <c r="G15" s="115">
        <f>G32*'P&amp;L Model'!G5</f>
        <v>113534.87503436739</v>
      </c>
      <c r="H15" s="115">
        <f>H32*'P&amp;L Model'!H5</f>
        <v>133957.93777929738</v>
      </c>
      <c r="I15" s="14">
        <f>I32*'P&amp;L Model'!I5</f>
        <v>166260.81879067229</v>
      </c>
      <c r="J15" s="14">
        <f>J32*'P&amp;L Model'!J5</f>
        <v>202402.07710086339</v>
      </c>
      <c r="K15" s="159"/>
      <c r="L15" s="159"/>
      <c r="M15" s="159"/>
      <c r="N15" s="159"/>
    </row>
    <row r="16" spans="2:14" ht="20" customHeight="1">
      <c r="B16" s="79" t="s">
        <v>34</v>
      </c>
      <c r="C16" s="78">
        <f>C13+SUM(C14:C15)</f>
        <v>275909</v>
      </c>
      <c r="D16" s="77">
        <f t="shared" ref="D16:E16" si="2">D13+SUM(D14:D15)</f>
        <v>319616</v>
      </c>
      <c r="E16" s="77">
        <f t="shared" si="2"/>
        <v>359268</v>
      </c>
      <c r="F16" s="48">
        <f>SUM(F13:F15)</f>
        <v>401889.27647392993</v>
      </c>
      <c r="G16" s="48">
        <f t="shared" ref="G16:J16" si="3">SUM(G13:G15)</f>
        <v>456858.16462273739</v>
      </c>
      <c r="H16" s="48">
        <f t="shared" si="3"/>
        <v>513636.0052239889</v>
      </c>
      <c r="I16" s="118">
        <f t="shared" si="3"/>
        <v>594384.39777693525</v>
      </c>
      <c r="J16" s="118">
        <f t="shared" si="3"/>
        <v>689697.4120778573</v>
      </c>
      <c r="K16" s="39"/>
      <c r="L16" s="39"/>
      <c r="M16" s="39"/>
    </row>
    <row r="17" spans="2:14" ht="20" customHeight="1">
      <c r="B17" s="75" t="s">
        <v>30</v>
      </c>
      <c r="C17" s="73"/>
      <c r="D17" s="73"/>
      <c r="E17" s="73"/>
      <c r="F17" s="74"/>
      <c r="G17" s="73"/>
      <c r="H17" s="72"/>
      <c r="I17" s="72"/>
      <c r="J17" s="72"/>
      <c r="K17" s="8"/>
    </row>
    <row r="18" spans="2:14" ht="20" customHeight="1">
      <c r="B18" s="69" t="s">
        <v>66</v>
      </c>
      <c r="C18" s="45">
        <v>5561</v>
      </c>
      <c r="D18" s="46">
        <v>5589</v>
      </c>
      <c r="E18" s="114">
        <v>6037</v>
      </c>
      <c r="F18" s="115">
        <f>-(F30*'P&amp;L Model'!F6)/365</f>
        <v>9020.0064413502296</v>
      </c>
      <c r="G18" s="115">
        <f>-(G30*'P&amp;L Model'!G6)/365</f>
        <v>10202.168863977658</v>
      </c>
      <c r="H18" s="115">
        <f>-(H30*'P&amp;L Model'!H6)/365</f>
        <v>12093.620237031826</v>
      </c>
      <c r="I18" s="14">
        <f>-(I30*'P&amp;L Model'!I6)/365</f>
        <v>15277.465513082214</v>
      </c>
      <c r="J18" s="14">
        <f>-(J30*'P&amp;L Model'!J6)/365</f>
        <v>18352.905452592084</v>
      </c>
      <c r="K18" s="39"/>
      <c r="L18" s="39"/>
      <c r="M18" s="39"/>
    </row>
    <row r="19" spans="2:14" ht="20" customHeight="1">
      <c r="B19" s="69" t="s">
        <v>69</v>
      </c>
      <c r="C19" s="71">
        <f>C20-C18</f>
        <v>39660</v>
      </c>
      <c r="D19" s="71">
        <f>D20-D18</f>
        <v>51245</v>
      </c>
      <c r="E19" s="84">
        <f>E20-E18</f>
        <v>58217</v>
      </c>
      <c r="F19" s="115">
        <f>F33*'P&amp;L Model'!F5</f>
        <v>76833.840935652232</v>
      </c>
      <c r="G19" s="115">
        <f>G33*'P&amp;L Model'!G5</f>
        <v>92921.339206981618</v>
      </c>
      <c r="H19" s="115">
        <f>H33*'P&amp;L Model'!H5</f>
        <v>108276.31050259</v>
      </c>
      <c r="I19" s="14">
        <f>I33*'P&amp;L Model'!I5</f>
        <v>135239.80964012592</v>
      </c>
      <c r="J19" s="14">
        <f>J33*'P&amp;L Model'!J5</f>
        <v>164638.86251954816</v>
      </c>
      <c r="K19" s="39"/>
      <c r="L19" s="39"/>
      <c r="M19" s="39"/>
      <c r="N19" s="39"/>
    </row>
    <row r="20" spans="2:14" ht="20" customHeight="1">
      <c r="B20" s="267" t="s">
        <v>65</v>
      </c>
      <c r="C20" s="268">
        <v>45221</v>
      </c>
      <c r="D20" s="268">
        <v>56834</v>
      </c>
      <c r="E20" s="269">
        <v>64254</v>
      </c>
      <c r="F20" s="270">
        <f>SUM(F18:F19)</f>
        <v>85853.847377002458</v>
      </c>
      <c r="G20" s="270">
        <f t="shared" ref="G20:J20" si="4">SUM(G18:G19)</f>
        <v>103123.50807095927</v>
      </c>
      <c r="H20" s="270">
        <f t="shared" si="4"/>
        <v>120369.93073962182</v>
      </c>
      <c r="I20" s="271">
        <f t="shared" si="4"/>
        <v>150517.27515320815</v>
      </c>
      <c r="J20" s="271">
        <f t="shared" si="4"/>
        <v>182991.76797214025</v>
      </c>
      <c r="K20" s="39"/>
    </row>
    <row r="21" spans="2:14" ht="20" customHeight="1">
      <c r="B21" s="69" t="s">
        <v>33</v>
      </c>
      <c r="C21" s="10">
        <v>4554</v>
      </c>
      <c r="D21" s="10">
        <v>13932</v>
      </c>
      <c r="E21" s="14">
        <v>14817</v>
      </c>
      <c r="F21" s="115">
        <f>'P&amp;L Model'!F57</f>
        <v>14630</v>
      </c>
      <c r="G21" s="115">
        <f>'P&amp;L Model'!G57</f>
        <v>14484</v>
      </c>
      <c r="H21" s="115">
        <f>'P&amp;L Model'!H57</f>
        <v>13325</v>
      </c>
      <c r="I21" s="14">
        <f>'P&amp;L Model'!I57</f>
        <v>12163</v>
      </c>
      <c r="J21" s="14">
        <f>'P&amp;L Model'!J57</f>
        <v>11002</v>
      </c>
    </row>
    <row r="22" spans="2:14" ht="20" customHeight="1">
      <c r="B22" s="70" t="s">
        <v>32</v>
      </c>
      <c r="C22" s="10">
        <f>C23-SUM(C20+C21)</f>
        <v>24692</v>
      </c>
      <c r="D22" s="10">
        <f t="shared" ref="D22:E22" si="5">D23-SUM(D20+D21)</f>
        <v>26306</v>
      </c>
      <c r="E22" s="14">
        <f t="shared" si="5"/>
        <v>28562</v>
      </c>
      <c r="F22" s="115">
        <f>AVERAGE(C22:E22)</f>
        <v>26520</v>
      </c>
      <c r="G22" s="115">
        <f t="shared" ref="G22:J22" si="6">AVERAGE(D22:F22)</f>
        <v>27129.333333333332</v>
      </c>
      <c r="H22" s="115">
        <f t="shared" si="6"/>
        <v>27403.777777777777</v>
      </c>
      <c r="I22" s="14">
        <f t="shared" si="6"/>
        <v>27017.703703703704</v>
      </c>
      <c r="J22" s="14">
        <f t="shared" si="6"/>
        <v>27183.604938271605</v>
      </c>
    </row>
    <row r="23" spans="2:14" ht="20" customHeight="1">
      <c r="B23" s="265" t="s">
        <v>67</v>
      </c>
      <c r="C23" s="266">
        <v>74467</v>
      </c>
      <c r="D23" s="266">
        <v>97072</v>
      </c>
      <c r="E23" s="264">
        <v>107633</v>
      </c>
      <c r="F23" s="263">
        <f>SUM(F20:F22)</f>
        <v>127003.84737700246</v>
      </c>
      <c r="G23" s="263">
        <f t="shared" ref="G23:J23" si="7">SUM(G20:G22)</f>
        <v>144736.84140429262</v>
      </c>
      <c r="H23" s="263">
        <f t="shared" si="7"/>
        <v>161098.70851739959</v>
      </c>
      <c r="I23" s="264">
        <f t="shared" si="7"/>
        <v>189697.97885691185</v>
      </c>
      <c r="J23" s="264">
        <f t="shared" si="7"/>
        <v>221177.37291041185</v>
      </c>
    </row>
    <row r="24" spans="2:14" ht="20" customHeight="1">
      <c r="B24" s="69" t="s">
        <v>31</v>
      </c>
      <c r="C24" s="45">
        <v>201442</v>
      </c>
      <c r="D24" s="46">
        <v>222544</v>
      </c>
      <c r="E24" s="147">
        <v>251635</v>
      </c>
      <c r="F24" s="115">
        <f>F16-F23</f>
        <v>274885.42909692746</v>
      </c>
      <c r="G24" s="115">
        <f t="shared" ref="G24:J24" si="8">G16-G23</f>
        <v>312121.32321844477</v>
      </c>
      <c r="H24" s="115">
        <f t="shared" si="8"/>
        <v>352537.29670658929</v>
      </c>
      <c r="I24" s="67">
        <f t="shared" si="8"/>
        <v>404686.41892002337</v>
      </c>
      <c r="J24" s="67">
        <f t="shared" si="8"/>
        <v>468520.03916744544</v>
      </c>
      <c r="K24" s="39"/>
    </row>
    <row r="25" spans="2:14" ht="20" customHeight="1">
      <c r="B25" s="66" t="s">
        <v>30</v>
      </c>
      <c r="C25" s="65">
        <f>SUM(C23+C24)</f>
        <v>275909</v>
      </c>
      <c r="D25" s="48">
        <f t="shared" ref="D25:E25" si="9">SUM(D23+D24)</f>
        <v>319616</v>
      </c>
      <c r="E25" s="168">
        <f t="shared" si="9"/>
        <v>359268</v>
      </c>
      <c r="F25" s="77">
        <f>SUM(F23:F24)</f>
        <v>401889.27647392993</v>
      </c>
      <c r="G25" s="77">
        <f t="shared" ref="G25:J25" si="10">SUM(G23:G24)</f>
        <v>456858.16462273739</v>
      </c>
      <c r="H25" s="77">
        <f t="shared" si="10"/>
        <v>513636.0052239889</v>
      </c>
      <c r="I25" s="76">
        <f t="shared" si="10"/>
        <v>594384.39777693525</v>
      </c>
      <c r="J25" s="76">
        <f t="shared" si="10"/>
        <v>689697.4120778573</v>
      </c>
      <c r="K25" s="165"/>
      <c r="L25" s="128"/>
      <c r="M25" s="128"/>
      <c r="N25" s="165"/>
    </row>
    <row r="26" spans="2:14" ht="20" customHeight="1" outlineLevel="1">
      <c r="B26" s="62" t="s">
        <v>29</v>
      </c>
      <c r="C26" s="60">
        <f t="shared" ref="C26:J26" si="11">C25-C16</f>
        <v>0</v>
      </c>
      <c r="D26" s="60">
        <f t="shared" si="11"/>
        <v>0</v>
      </c>
      <c r="E26" s="60">
        <f t="shared" si="11"/>
        <v>0</v>
      </c>
      <c r="F26" s="60">
        <f t="shared" si="11"/>
        <v>0</v>
      </c>
      <c r="G26" s="60">
        <f t="shared" si="11"/>
        <v>0</v>
      </c>
      <c r="H26" s="60">
        <f t="shared" si="11"/>
        <v>0</v>
      </c>
      <c r="I26" s="166">
        <f t="shared" si="11"/>
        <v>0</v>
      </c>
      <c r="J26" s="166">
        <f t="shared" si="11"/>
        <v>0</v>
      </c>
    </row>
    <row r="27" spans="2:14" ht="20" customHeight="1">
      <c r="B27" s="59"/>
      <c r="F27" s="58"/>
      <c r="G27" s="58"/>
      <c r="J27" s="148"/>
      <c r="K27" s="148"/>
      <c r="L27" s="148"/>
    </row>
    <row r="28" spans="2:14" ht="20" customHeight="1">
      <c r="B28" s="75" t="s">
        <v>89</v>
      </c>
      <c r="C28" s="61"/>
      <c r="D28" s="61"/>
      <c r="E28" s="61"/>
      <c r="F28" s="61"/>
      <c r="G28" s="61"/>
      <c r="H28" s="61"/>
      <c r="I28" s="61"/>
      <c r="J28" s="61"/>
    </row>
    <row r="29" spans="2:14" ht="20" customHeight="1" outlineLevel="1">
      <c r="B29" s="55" t="s">
        <v>28</v>
      </c>
      <c r="C29" s="56">
        <f>(C8/'P&amp;L Model'!C5)*365</f>
        <v>61.996577225575663</v>
      </c>
      <c r="D29" s="56">
        <f>(D8/'P&amp;L Model'!D5)*365</f>
        <v>62.758715148991655</v>
      </c>
      <c r="E29" s="56">
        <f>(E8/'P&amp;L Model'!E5)*365</f>
        <v>57.051394015611116</v>
      </c>
      <c r="F29" s="56">
        <f>AVERAGE(C29:E29)</f>
        <v>60.602228796726145</v>
      </c>
      <c r="G29" s="56">
        <f t="shared" ref="G29:H29" si="12">AVERAGE(D29:F29)</f>
        <v>60.137445987109636</v>
      </c>
      <c r="H29" s="56">
        <f t="shared" si="12"/>
        <v>59.263689599815628</v>
      </c>
      <c r="I29" s="56">
        <f>AVERAGE(F29:H29)</f>
        <v>60.001121461217139</v>
      </c>
      <c r="J29" s="56">
        <f>AVERAGE(G29:I29)</f>
        <v>59.800752349380808</v>
      </c>
    </row>
    <row r="30" spans="2:14" ht="20" customHeight="1" outlineLevel="1">
      <c r="B30" s="55" t="s">
        <v>27</v>
      </c>
      <c r="C30" s="56">
        <f>-(C18/'P&amp;L Model'!C6)*365</f>
        <v>28.231960053410486</v>
      </c>
      <c r="D30" s="56">
        <f>-(D18/'P&amp;L Model'!D6)*365</f>
        <v>24.075732899022803</v>
      </c>
      <c r="E30" s="56">
        <f>-(E18/'P&amp;L Model'!E6)*365</f>
        <v>19.862311720855605</v>
      </c>
      <c r="F30" s="56">
        <f t="shared" ref="F30:F31" si="13">AVERAGE(C30:E30)</f>
        <v>24.056668224429629</v>
      </c>
      <c r="G30" s="56">
        <f t="shared" ref="G30:G33" si="14">AVERAGE(D30:F30)</f>
        <v>22.664904281436012</v>
      </c>
      <c r="H30" s="56">
        <f t="shared" ref="H30:J31" si="15">AVERAGE(E30:G30)</f>
        <v>22.194628075573746</v>
      </c>
      <c r="I30" s="56">
        <f t="shared" si="15"/>
        <v>22.972066860479796</v>
      </c>
      <c r="J30" s="56">
        <f t="shared" si="15"/>
        <v>22.610533072496519</v>
      </c>
      <c r="K30" s="164"/>
      <c r="L30" s="164"/>
      <c r="M30" s="164"/>
    </row>
    <row r="31" spans="2:14" ht="20" customHeight="1" outlineLevel="1">
      <c r="B31" s="55" t="s">
        <v>26</v>
      </c>
      <c r="C31" s="57">
        <f>-(C9/'P&amp;L Model'!C6)*365</f>
        <v>5.071700790030043</v>
      </c>
      <c r="D31" s="57">
        <f>-(D9/'P&amp;L Model'!D6)*365</f>
        <v>3.1360052872586506</v>
      </c>
      <c r="E31" s="57">
        <f>-(E9/'P&amp;L Model'!E6)*365</f>
        <v>3.8494127403347784</v>
      </c>
      <c r="F31" s="56">
        <f t="shared" si="13"/>
        <v>4.0190396058744904</v>
      </c>
      <c r="G31" s="56">
        <f t="shared" si="14"/>
        <v>3.6681525444893062</v>
      </c>
      <c r="H31" s="56">
        <f t="shared" si="15"/>
        <v>3.8455349635661915</v>
      </c>
      <c r="I31" s="56">
        <f t="shared" si="15"/>
        <v>3.844242371309996</v>
      </c>
      <c r="J31" s="56">
        <f t="shared" si="15"/>
        <v>3.7859766264551644</v>
      </c>
    </row>
    <row r="32" spans="2:14" ht="20" customHeight="1" outlineLevel="1">
      <c r="B32" s="55" t="s">
        <v>83</v>
      </c>
      <c r="C32" s="161">
        <f>C15/'P&amp;L Model'!C5</f>
        <v>0.30696849688305111</v>
      </c>
      <c r="D32" s="161">
        <f>D15/'P&amp;L Model'!D5</f>
        <v>0.33184679526864519</v>
      </c>
      <c r="E32" s="161">
        <f>E15/'P&amp;L Model'!E5</f>
        <v>0.28538602762801929</v>
      </c>
      <c r="F32" s="161">
        <f>AVERAGE(C32:E32)</f>
        <v>0.30806710659323855</v>
      </c>
      <c r="G32" s="161">
        <f t="shared" si="14"/>
        <v>0.30843330982996769</v>
      </c>
      <c r="H32" s="161">
        <f t="shared" ref="H32:J33" si="16">AVERAGE(E32:G32)</f>
        <v>0.30062881468374186</v>
      </c>
      <c r="I32" s="161">
        <f t="shared" si="16"/>
        <v>0.30570974370231602</v>
      </c>
      <c r="J32" s="161">
        <f t="shared" si="16"/>
        <v>0.30492395607200851</v>
      </c>
    </row>
    <row r="33" spans="2:10" ht="20" customHeight="1" outlineLevel="1">
      <c r="B33" s="55" t="s">
        <v>88</v>
      </c>
      <c r="C33" s="117">
        <f>C19/'P&amp;L Model'!C5</f>
        <v>0.24503110770618508</v>
      </c>
      <c r="D33" s="117">
        <f>D19/'P&amp;L Model'!D5</f>
        <v>0.28075298448996588</v>
      </c>
      <c r="E33" s="117">
        <f>E19/'P&amp;L Model'!E5</f>
        <v>0.22596521462367594</v>
      </c>
      <c r="F33" s="33">
        <f>AVERAGE(C33:E33)</f>
        <v>0.25058310227327563</v>
      </c>
      <c r="G33" s="117">
        <f t="shared" si="14"/>
        <v>0.25243376712897247</v>
      </c>
      <c r="H33" s="117">
        <f t="shared" si="16"/>
        <v>0.24299402800864134</v>
      </c>
      <c r="I33" s="117">
        <f t="shared" si="16"/>
        <v>0.24867029913696315</v>
      </c>
      <c r="J33" s="117">
        <f t="shared" si="16"/>
        <v>0.24803269809152564</v>
      </c>
    </row>
    <row r="34" spans="2:10" ht="20" customHeight="1" outlineLevel="1">
      <c r="B34" s="186"/>
      <c r="C34" s="187"/>
      <c r="D34" s="187"/>
      <c r="E34" s="187"/>
      <c r="F34" s="188"/>
      <c r="G34" s="189"/>
      <c r="H34" s="190"/>
      <c r="I34" s="190"/>
    </row>
    <row r="35" spans="2:10" ht="20" customHeight="1" outlineLevel="1">
      <c r="B35" s="191"/>
      <c r="C35" s="191"/>
      <c r="D35" s="191"/>
      <c r="E35" s="191"/>
      <c r="F35" s="288"/>
      <c r="G35" s="288"/>
      <c r="H35" s="288"/>
      <c r="I35" s="288"/>
    </row>
    <row r="36" spans="2:10" ht="20" customHeight="1"/>
    <row r="37" spans="2:10" ht="20" customHeight="1"/>
    <row r="38" spans="2:10" ht="20" customHeight="1"/>
    <row r="39" spans="2:10" ht="20" customHeight="1"/>
    <row r="40" spans="2:10" ht="20" customHeight="1"/>
    <row r="41" spans="2:10" ht="20" customHeight="1"/>
    <row r="42" spans="2:10" ht="20" customHeight="1"/>
    <row r="44" spans="2:10">
      <c r="B44" s="192"/>
      <c r="C44" s="192"/>
      <c r="D44" s="193"/>
      <c r="E44" s="193"/>
      <c r="F44" s="192"/>
      <c r="G44" s="192"/>
      <c r="H44" s="192"/>
      <c r="I44" s="192"/>
    </row>
    <row r="45" spans="2:10">
      <c r="B45" s="192"/>
      <c r="C45" s="113"/>
      <c r="D45" s="113"/>
      <c r="E45" s="113"/>
      <c r="F45" s="113"/>
      <c r="G45" s="182"/>
      <c r="H45" s="192"/>
      <c r="I45" s="192"/>
    </row>
    <row r="48" spans="2:10">
      <c r="D48" s="39"/>
    </row>
  </sheetData>
  <mergeCells count="2">
    <mergeCell ref="F4:I4"/>
    <mergeCell ref="F35:I35"/>
  </mergeCells>
  <pageMargins left="0.7" right="0.7" top="0.75" bottom="0.75" header="0.3" footer="0.3"/>
  <ignoredErrors>
    <ignoredError sqref="F23:I23 F11:J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3528-FC53-3947-B06B-8F3ECC4F33A1}">
  <dimension ref="B2:N48"/>
  <sheetViews>
    <sheetView showGridLines="0" workbookViewId="0">
      <selection activeCell="C2" sqref="C2:D2"/>
    </sheetView>
  </sheetViews>
  <sheetFormatPr baseColWidth="10" defaultRowHeight="15" outlineLevelCol="1"/>
  <cols>
    <col min="1" max="1" width="2.83203125" customWidth="1"/>
    <col min="2" max="2" width="28.5" bestFit="1" customWidth="1"/>
    <col min="3" max="5" width="14.83203125" customWidth="1"/>
    <col min="6" max="7" width="14.83203125" customWidth="1" outlineLevel="1"/>
    <col min="8" max="9" width="14.83203125" customWidth="1"/>
    <col min="10" max="11" width="15.83203125" customWidth="1"/>
  </cols>
  <sheetData>
    <row r="2" spans="2:11" ht="21">
      <c r="B2" s="1" t="s">
        <v>81</v>
      </c>
      <c r="C2" s="83" t="s">
        <v>196</v>
      </c>
      <c r="D2" s="111" t="str">
        <f>'P&amp;L Model'!K2</f>
        <v>Base Case</v>
      </c>
      <c r="E2" s="214"/>
      <c r="F2" s="287" t="s">
        <v>0</v>
      </c>
      <c r="G2" s="287"/>
      <c r="H2" s="287"/>
      <c r="I2" s="287"/>
      <c r="J2" s="287"/>
    </row>
    <row r="4" spans="2:11" ht="20" customHeight="1" thickBot="1">
      <c r="B4" s="4" t="s">
        <v>1</v>
      </c>
      <c r="C4" s="5">
        <v>2019</v>
      </c>
      <c r="D4" s="5">
        <v>2020</v>
      </c>
      <c r="E4" s="5">
        <v>2021</v>
      </c>
      <c r="F4" s="5">
        <v>2022</v>
      </c>
      <c r="G4" s="175">
        <v>2023</v>
      </c>
      <c r="H4" s="175">
        <v>2024</v>
      </c>
      <c r="I4" s="175">
        <v>2025</v>
      </c>
      <c r="J4" s="175">
        <v>2026</v>
      </c>
    </row>
    <row r="5" spans="2:11" ht="28" customHeight="1">
      <c r="B5" s="197" t="s">
        <v>87</v>
      </c>
      <c r="C5" s="73"/>
      <c r="D5" s="73"/>
      <c r="E5" s="73"/>
      <c r="F5" s="194"/>
      <c r="G5" s="195"/>
      <c r="H5" s="195"/>
      <c r="I5" s="196"/>
      <c r="J5" s="196"/>
      <c r="K5" s="39"/>
    </row>
    <row r="6" spans="2:11" ht="35" customHeight="1">
      <c r="B6" s="212" t="s">
        <v>55</v>
      </c>
      <c r="C6" s="132">
        <f>'P&amp;L Model'!C5</f>
        <v>161857</v>
      </c>
      <c r="D6" s="132">
        <f>'P&amp;L Model'!D5</f>
        <v>182527</v>
      </c>
      <c r="E6" s="114">
        <f>'P&amp;L Model'!E5</f>
        <v>257637</v>
      </c>
      <c r="F6" s="132">
        <f>'P&amp;L Model'!F5</f>
        <v>306620.2</v>
      </c>
      <c r="G6" s="132">
        <f>'P&amp;L Model'!G5</f>
        <v>368101.86</v>
      </c>
      <c r="H6" s="132">
        <f>'P&amp;L Model'!H5</f>
        <v>445592.47562553053</v>
      </c>
      <c r="I6" s="114">
        <f>'P&amp;L Model'!I5</f>
        <v>543851.87981632759</v>
      </c>
      <c r="J6" s="114">
        <f>'P&amp;L Model'!J5</f>
        <v>663778.86378027208</v>
      </c>
    </row>
    <row r="7" spans="2:11" ht="35" customHeight="1">
      <c r="B7" s="212" t="s">
        <v>97</v>
      </c>
      <c r="C7" s="199">
        <f>C8/C6</f>
        <v>0.33684054443119543</v>
      </c>
      <c r="D7" s="199">
        <f t="shared" ref="D7:E7" si="0">D8/D6</f>
        <v>0.35679105009121936</v>
      </c>
      <c r="E7" s="208">
        <f t="shared" si="0"/>
        <v>0.35574082915109245</v>
      </c>
      <c r="F7" s="199">
        <f>AVERAGE(C7:E7)</f>
        <v>0.34979080789116906</v>
      </c>
      <c r="G7" s="199">
        <f t="shared" ref="G7" si="1">AVERAGE(D7:F7)</f>
        <v>0.35410756237782698</v>
      </c>
      <c r="H7" s="199">
        <f t="shared" ref="H7" si="2">AVERAGE(E7:G7)</f>
        <v>0.35321306647336281</v>
      </c>
      <c r="I7" s="208">
        <f t="shared" ref="I7:J7" si="3">AVERAGE(F7:H7)</f>
        <v>0.3523704789141196</v>
      </c>
      <c r="J7" s="208">
        <f t="shared" si="3"/>
        <v>0.35323036925510309</v>
      </c>
    </row>
    <row r="8" spans="2:11" ht="35" customHeight="1">
      <c r="B8" s="212" t="s">
        <v>96</v>
      </c>
      <c r="C8" s="115">
        <v>54520</v>
      </c>
      <c r="D8" s="115">
        <v>65124</v>
      </c>
      <c r="E8" s="177">
        <v>91652</v>
      </c>
      <c r="F8" s="200">
        <f>F6*F7</f>
        <v>107252.92747375184</v>
      </c>
      <c r="G8" s="200">
        <f t="shared" ref="G8:J8" si="4">G6*G7</f>
        <v>130347.65235134414</v>
      </c>
      <c r="H8" s="200">
        <f t="shared" si="4"/>
        <v>157389.08471315081</v>
      </c>
      <c r="I8" s="207">
        <f t="shared" si="4"/>
        <v>191637.34734922356</v>
      </c>
      <c r="J8" s="207">
        <f t="shared" si="4"/>
        <v>234466.85315683828</v>
      </c>
    </row>
    <row r="9" spans="2:11" ht="35" customHeight="1">
      <c r="B9" s="212" t="s">
        <v>80</v>
      </c>
      <c r="C9" s="202">
        <f>-'P&amp;L Model'!C46</f>
        <v>-23548</v>
      </c>
      <c r="D9" s="202">
        <f>-'P&amp;L Model'!D46</f>
        <v>-22281</v>
      </c>
      <c r="E9" s="209">
        <f>-'P&amp;L Model'!E46</f>
        <v>-24640</v>
      </c>
      <c r="F9" s="202">
        <f>-'P&amp;L Model'!F46</f>
        <v>-37120.923057913387</v>
      </c>
      <c r="G9" s="202">
        <f>-'P&amp;L Model'!G46</f>
        <v>-41567.64251716053</v>
      </c>
      <c r="H9" s="202">
        <f>-'P&amp;L Model'!H46</f>
        <v>-48959.853917473207</v>
      </c>
      <c r="I9" s="209">
        <f>-'P&amp;L Model'!I46</f>
        <v>-62337.205271489227</v>
      </c>
      <c r="J9" s="209">
        <f>-'P&amp;L Model'!J46</f>
        <v>-74657.821422630877</v>
      </c>
    </row>
    <row r="10" spans="2:11" ht="35" customHeight="1" thickBot="1">
      <c r="B10" s="217" t="s">
        <v>91</v>
      </c>
      <c r="C10" s="215">
        <f t="shared" ref="C10:J10" si="5">C8+C9</f>
        <v>30972</v>
      </c>
      <c r="D10" s="215">
        <f t="shared" si="5"/>
        <v>42843</v>
      </c>
      <c r="E10" s="216">
        <f t="shared" si="5"/>
        <v>67012</v>
      </c>
      <c r="F10" s="215">
        <f t="shared" si="5"/>
        <v>70132.004415838455</v>
      </c>
      <c r="G10" s="215">
        <f t="shared" si="5"/>
        <v>88780.009834183613</v>
      </c>
      <c r="H10" s="215">
        <f t="shared" si="5"/>
        <v>108429.23079567761</v>
      </c>
      <c r="I10" s="216">
        <f t="shared" si="5"/>
        <v>129300.14207773434</v>
      </c>
      <c r="J10" s="216">
        <f t="shared" si="5"/>
        <v>159809.03173420741</v>
      </c>
    </row>
    <row r="11" spans="2:11" ht="35" customHeight="1">
      <c r="B11" s="212" t="s">
        <v>100</v>
      </c>
      <c r="C11" s="203">
        <f>C12/-C6</f>
        <v>0.18220404431071871</v>
      </c>
      <c r="D11" s="203">
        <f>D12/-D6</f>
        <v>0.17955151840549619</v>
      </c>
      <c r="E11" s="210">
        <f>E12/-E6</f>
        <v>0.13788004052212999</v>
      </c>
      <c r="F11" s="203">
        <f>AVERAGE(C11:E11)</f>
        <v>0.16654520107944829</v>
      </c>
      <c r="G11" s="203">
        <f t="shared" ref="G11:J11" si="6">AVERAGE(D11:F11)</f>
        <v>0.16132558666902483</v>
      </c>
      <c r="H11" s="203">
        <f t="shared" si="6"/>
        <v>0.15525027609020103</v>
      </c>
      <c r="I11" s="210">
        <f t="shared" si="6"/>
        <v>0.16104035461289137</v>
      </c>
      <c r="J11" s="210">
        <f t="shared" si="6"/>
        <v>0.15920540579070575</v>
      </c>
      <c r="K11" s="172"/>
    </row>
    <row r="12" spans="2:11" ht="35" customHeight="1">
      <c r="B12" s="212" t="s">
        <v>98</v>
      </c>
      <c r="C12" s="202">
        <v>-29491</v>
      </c>
      <c r="D12" s="202">
        <v>-32773</v>
      </c>
      <c r="E12" s="209">
        <v>-35523</v>
      </c>
      <c r="F12" s="202">
        <f>-(F11*F6)</f>
        <v>-51066.122864020654</v>
      </c>
      <c r="G12" s="202">
        <f>-(G11*G6)</f>
        <v>-59384.248518459244</v>
      </c>
      <c r="H12" s="202">
        <f>-(H11*H6)</f>
        <v>-69178.354864579785</v>
      </c>
      <c r="I12" s="209">
        <f>-(I11*I6)</f>
        <v>-87582.099582508978</v>
      </c>
      <c r="J12" s="209">
        <f>-(J11*J6)</f>
        <v>-105677.1833634318</v>
      </c>
      <c r="K12" s="172"/>
    </row>
    <row r="13" spans="2:11" ht="35" customHeight="1">
      <c r="B13" s="212" t="s">
        <v>101</v>
      </c>
      <c r="C13" s="203">
        <f>-C14/C6</f>
        <v>0.14339200652427761</v>
      </c>
      <c r="D13" s="203">
        <f>-D14/D6</f>
        <v>0.13372268212374061</v>
      </c>
      <c r="E13" s="210">
        <f>-E14/E6</f>
        <v>0.23817231220670945</v>
      </c>
      <c r="F13" s="203">
        <f>AVERAGE(C13:E13)</f>
        <v>0.17176233361824256</v>
      </c>
      <c r="G13" s="203">
        <f t="shared" ref="G13:J13" si="7">AVERAGE(D13:F13)</f>
        <v>0.18121910931623086</v>
      </c>
      <c r="H13" s="203">
        <f t="shared" si="7"/>
        <v>0.19705125171372762</v>
      </c>
      <c r="I13" s="210">
        <f t="shared" si="7"/>
        <v>0.18334423154940035</v>
      </c>
      <c r="J13" s="210">
        <f t="shared" si="7"/>
        <v>0.18720486419311963</v>
      </c>
    </row>
    <row r="14" spans="2:11" ht="35" customHeight="1">
      <c r="B14" s="212" t="s">
        <v>99</v>
      </c>
      <c r="C14" s="202">
        <v>-23209</v>
      </c>
      <c r="D14" s="202">
        <v>-24408</v>
      </c>
      <c r="E14" s="209">
        <v>-61362</v>
      </c>
      <c r="F14" s="202">
        <f>F13*-F6</f>
        <v>-52665.801086492262</v>
      </c>
      <c r="G14" s="202">
        <f>G13*-G6</f>
        <v>-66707.091206847908</v>
      </c>
      <c r="H14" s="202">
        <f>H13*-H6</f>
        <v>-87804.555076229459</v>
      </c>
      <c r="I14" s="209">
        <f>I13*-I6</f>
        <v>-99712.104981621422</v>
      </c>
      <c r="J14" s="209">
        <f>J13*-J6</f>
        <v>-124262.63204824908</v>
      </c>
    </row>
    <row r="15" spans="2:11" ht="35" customHeight="1">
      <c r="B15" s="212" t="s">
        <v>90</v>
      </c>
      <c r="C15" s="171">
        <f t="shared" ref="C15:J15" si="8">C8+C12+C14</f>
        <v>1820</v>
      </c>
      <c r="D15" s="171">
        <f t="shared" si="8"/>
        <v>7943</v>
      </c>
      <c r="E15" s="176">
        <f t="shared" si="8"/>
        <v>-5233</v>
      </c>
      <c r="F15" s="171">
        <f t="shared" si="8"/>
        <v>3521.0035232389273</v>
      </c>
      <c r="G15" s="171">
        <f t="shared" si="8"/>
        <v>4256.3126260369754</v>
      </c>
      <c r="H15" s="171">
        <f t="shared" si="8"/>
        <v>406.17477234156104</v>
      </c>
      <c r="I15" s="176">
        <f t="shared" si="8"/>
        <v>4343.142785093165</v>
      </c>
      <c r="J15" s="176">
        <f t="shared" si="8"/>
        <v>4527.0377451573877</v>
      </c>
      <c r="K15" s="172"/>
    </row>
    <row r="16" spans="2:11" ht="35" customHeight="1" thickBot="1">
      <c r="B16" s="213" t="s">
        <v>102</v>
      </c>
      <c r="C16" s="205">
        <f>16701+C15</f>
        <v>18521</v>
      </c>
      <c r="D16" s="206">
        <f t="shared" ref="D16:J16" si="9">C16+D15</f>
        <v>26464</v>
      </c>
      <c r="E16" s="211">
        <f t="shared" si="9"/>
        <v>21231</v>
      </c>
      <c r="F16" s="206">
        <f t="shared" si="9"/>
        <v>24752.003523238927</v>
      </c>
      <c r="G16" s="206">
        <f t="shared" si="9"/>
        <v>29008.316149275903</v>
      </c>
      <c r="H16" s="206">
        <f t="shared" si="9"/>
        <v>29414.490921617464</v>
      </c>
      <c r="I16" s="211">
        <f t="shared" si="9"/>
        <v>33757.633706710629</v>
      </c>
      <c r="J16" s="211">
        <f t="shared" si="9"/>
        <v>38284.671451868016</v>
      </c>
    </row>
    <row r="17" spans="2:11" ht="35" customHeight="1">
      <c r="B17" s="167"/>
      <c r="C17" s="183"/>
      <c r="D17" s="136"/>
      <c r="E17" s="181"/>
      <c r="F17" s="136"/>
      <c r="G17" s="136"/>
      <c r="H17" s="136"/>
      <c r="I17" s="136"/>
    </row>
    <row r="18" spans="2:11" ht="25" customHeight="1">
      <c r="B18" s="167"/>
      <c r="C18" s="183"/>
      <c r="D18" s="185"/>
      <c r="E18" s="185"/>
      <c r="F18" s="185"/>
      <c r="G18" s="185"/>
      <c r="H18" s="185"/>
      <c r="I18" s="185"/>
    </row>
    <row r="19" spans="2:11" ht="25" customHeight="1">
      <c r="B19" s="184"/>
      <c r="G19" s="52"/>
    </row>
    <row r="20" spans="2:11" ht="25" customHeight="1">
      <c r="C20" s="52"/>
      <c r="D20" s="52"/>
      <c r="E20" s="52"/>
      <c r="F20" s="52"/>
      <c r="G20" s="52"/>
    </row>
    <row r="21" spans="2:11" ht="25" customHeight="1"/>
    <row r="22" spans="2:11" ht="25" customHeight="1"/>
    <row r="23" spans="2:11" ht="25" customHeight="1"/>
    <row r="24" spans="2:11" ht="25" customHeight="1"/>
    <row r="25" spans="2:11" ht="25" customHeight="1">
      <c r="K25" s="172"/>
    </row>
    <row r="26" spans="2:11" ht="25" customHeight="1">
      <c r="K26" s="172"/>
    </row>
    <row r="27" spans="2:11" ht="25" customHeight="1">
      <c r="K27" s="172"/>
    </row>
    <row r="28" spans="2:11" ht="25" customHeight="1">
      <c r="K28" s="172"/>
    </row>
    <row r="29" spans="2:11" ht="25" customHeight="1"/>
    <row r="30" spans="2:11" ht="25" customHeight="1"/>
    <row r="31" spans="2:11" ht="25" customHeight="1"/>
    <row r="32" spans="2:11" ht="25" customHeight="1"/>
    <row r="33" spans="10:14" ht="25" customHeight="1"/>
    <row r="34" spans="10:14" ht="25" customHeight="1"/>
    <row r="35" spans="10:14" ht="25" customHeight="1"/>
    <row r="36" spans="10:14" ht="25" customHeight="1"/>
    <row r="37" spans="10:14" ht="25" customHeight="1"/>
    <row r="38" spans="10:14" ht="25" customHeight="1"/>
    <row r="39" spans="10:14" ht="25" customHeight="1"/>
    <row r="40" spans="10:14" ht="25" customHeight="1"/>
    <row r="41" spans="10:14" ht="25" customHeight="1"/>
    <row r="42" spans="10:14" ht="25" customHeight="1">
      <c r="K42" s="203"/>
      <c r="L42" s="203"/>
      <c r="M42" s="203"/>
      <c r="N42" s="15"/>
    </row>
    <row r="43" spans="10:14" ht="25" customHeight="1">
      <c r="K43" s="203"/>
      <c r="L43" s="203"/>
      <c r="M43" s="203"/>
      <c r="N43" s="15"/>
    </row>
    <row r="44" spans="10:14" ht="25" customHeight="1"/>
    <row r="45" spans="10:14" ht="25" customHeight="1"/>
    <row r="46" spans="10:14" ht="25" customHeight="1"/>
    <row r="48" spans="10:14">
      <c r="J48" s="52"/>
    </row>
  </sheetData>
  <mergeCells count="1">
    <mergeCell ref="F2:J2"/>
  </mergeCells>
  <phoneticPr fontId="23" type="noConversion"/>
  <pageMargins left="0.7" right="0.7" top="0.75" bottom="0.75" header="0.3" footer="0.3"/>
  <ignoredErrors>
    <ignoredError sqref="F12:J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D27E-37C2-4043-B490-9CB3C3DF6266}">
  <dimension ref="B1:N41"/>
  <sheetViews>
    <sheetView showGridLines="0" workbookViewId="0">
      <selection activeCell="E17" sqref="E17:F17"/>
    </sheetView>
  </sheetViews>
  <sheetFormatPr baseColWidth="10" defaultRowHeight="15"/>
  <cols>
    <col min="1" max="1" width="2.83203125" customWidth="1"/>
    <col min="2" max="2" width="25.83203125" customWidth="1"/>
    <col min="3" max="4" width="15.83203125" customWidth="1"/>
    <col min="5" max="5" width="21.1640625" customWidth="1"/>
    <col min="6" max="12" width="15.83203125" customWidth="1"/>
  </cols>
  <sheetData>
    <row r="1" spans="2:10">
      <c r="E1" t="s">
        <v>49</v>
      </c>
      <c r="F1" s="95">
        <v>1</v>
      </c>
      <c r="G1" s="95">
        <v>2</v>
      </c>
      <c r="H1" s="95">
        <v>3</v>
      </c>
      <c r="I1" s="95">
        <v>4</v>
      </c>
      <c r="J1" s="95">
        <v>5</v>
      </c>
    </row>
    <row r="2" spans="2:10" ht="20" customHeight="1">
      <c r="B2" s="91" t="s">
        <v>110</v>
      </c>
      <c r="C2" s="90"/>
      <c r="E2" s="91" t="s">
        <v>117</v>
      </c>
      <c r="F2" s="198">
        <v>2022</v>
      </c>
      <c r="G2" s="198">
        <v>2023</v>
      </c>
      <c r="H2" s="198">
        <v>2024</v>
      </c>
      <c r="I2" s="198">
        <v>2025</v>
      </c>
      <c r="J2" s="198">
        <v>2026</v>
      </c>
    </row>
    <row r="3" spans="2:10" ht="20" customHeight="1">
      <c r="B3" s="85" t="s">
        <v>104</v>
      </c>
      <c r="C3" s="226">
        <f>C4*C5</f>
        <v>1565373225780</v>
      </c>
      <c r="D3" s="97"/>
      <c r="E3" s="85" t="s">
        <v>143</v>
      </c>
      <c r="F3" s="238">
        <f>'Cash Flow Model'!F10-'P&amp;L Model'!F15</f>
        <v>59501.720171021407</v>
      </c>
      <c r="G3" s="238">
        <f>'Cash Flow Model'!G10-'P&amp;L Model'!G15</f>
        <v>75920.795925981307</v>
      </c>
      <c r="H3" s="238">
        <f>'Cash Flow Model'!H10-'P&amp;L Model'!H15</f>
        <v>93394.453224168101</v>
      </c>
      <c r="I3" s="238">
        <f>'Cash Flow Model'!I10-'P&amp;L Model'!I15</f>
        <v>112261.06933911903</v>
      </c>
      <c r="J3" s="207">
        <f>'Cash Flow Model'!J10-'P&amp;L Model'!J15</f>
        <v>138734.94526495103</v>
      </c>
    </row>
    <row r="4" spans="2:10" ht="20" customHeight="1">
      <c r="B4" s="85" t="s">
        <v>41</v>
      </c>
      <c r="C4" s="94">
        <v>2364.1799999999998</v>
      </c>
      <c r="E4" s="85" t="s">
        <v>125</v>
      </c>
      <c r="F4" s="219">
        <f>F3/(1+$C$14)^F1</f>
        <v>55250.75043447419</v>
      </c>
      <c r="G4" s="219">
        <f t="shared" ref="G4:J4" si="0">G3/(1+$C$14)^G1</f>
        <v>65460.312208125026</v>
      </c>
      <c r="H4" s="219">
        <f t="shared" si="0"/>
        <v>74773.388796377039</v>
      </c>
      <c r="I4" s="219">
        <f t="shared" si="0"/>
        <v>83457.20087358453</v>
      </c>
      <c r="J4" s="255">
        <f t="shared" si="0"/>
        <v>95769.929312795997</v>
      </c>
    </row>
    <row r="5" spans="2:10" ht="20" customHeight="1">
      <c r="B5" s="85" t="s">
        <v>42</v>
      </c>
      <c r="C5" s="94">
        <f>662121*1000</f>
        <v>662121000</v>
      </c>
      <c r="E5" s="85" t="s">
        <v>124</v>
      </c>
      <c r="J5" s="255">
        <f>(J3*(1+C29))/(C14-C29)</f>
        <v>2273440.6832123799</v>
      </c>
    </row>
    <row r="6" spans="2:10" ht="20" customHeight="1">
      <c r="B6" s="85" t="s">
        <v>43</v>
      </c>
      <c r="C6" s="93">
        <f>C27</f>
        <v>4.060574044726184E-2</v>
      </c>
      <c r="E6" s="173" t="s">
        <v>126</v>
      </c>
      <c r="F6" s="134"/>
      <c r="G6" s="134"/>
      <c r="H6" s="134"/>
      <c r="I6" s="134"/>
      <c r="J6" s="256">
        <f>J5/(1+C14)^J1</f>
        <v>1569375.7121702577</v>
      </c>
    </row>
    <row r="7" spans="2:10" ht="20" customHeight="1">
      <c r="B7" s="85" t="s">
        <v>106</v>
      </c>
      <c r="C7" s="227">
        <f>'P&amp;L Model'!E15/'P&amp;L Model'!E14</f>
        <v>0.16202305640663919</v>
      </c>
    </row>
    <row r="8" spans="2:10" ht="20" customHeight="1">
      <c r="B8" s="85" t="s">
        <v>111</v>
      </c>
      <c r="C8" s="94">
        <v>2.97</v>
      </c>
      <c r="E8" s="83" t="s">
        <v>127</v>
      </c>
      <c r="F8" s="2"/>
      <c r="G8" s="2"/>
      <c r="H8" s="2"/>
      <c r="I8" s="2"/>
      <c r="J8" s="2"/>
    </row>
    <row r="9" spans="2:10" ht="20" customHeight="1">
      <c r="B9" s="85" t="s">
        <v>107</v>
      </c>
      <c r="C9" s="94">
        <v>1.06</v>
      </c>
      <c r="E9" s="222" t="s">
        <v>122</v>
      </c>
      <c r="F9" s="174"/>
      <c r="G9" s="257">
        <f>SUM(F4:J4,J6)</f>
        <v>1944087.2937956145</v>
      </c>
      <c r="H9" s="174"/>
      <c r="I9" s="174"/>
      <c r="J9" s="258"/>
    </row>
    <row r="10" spans="2:10" ht="20" customHeight="1">
      <c r="B10" s="85" t="s">
        <v>108</v>
      </c>
      <c r="C10" s="228">
        <v>0.08</v>
      </c>
      <c r="E10" s="85" t="s">
        <v>119</v>
      </c>
      <c r="G10" s="71">
        <f>'Balance Sheet Model'!J11</f>
        <v>38284.671451868016</v>
      </c>
      <c r="J10" s="86"/>
    </row>
    <row r="11" spans="2:10" ht="20" customHeight="1">
      <c r="B11" s="85" t="s">
        <v>109</v>
      </c>
      <c r="C11" s="93">
        <f>C21</f>
        <v>7.7717999999999995E-2</v>
      </c>
      <c r="E11" s="85" t="s">
        <v>120</v>
      </c>
      <c r="G11" s="71">
        <f>'Balance Sheet Model'!J10</f>
        <v>113070.77366255144</v>
      </c>
      <c r="J11" s="86"/>
    </row>
    <row r="12" spans="2:10" ht="20" customHeight="1">
      <c r="B12" s="85" t="s">
        <v>39</v>
      </c>
      <c r="C12" s="93">
        <f>C24/(C3+C24)</f>
        <v>1.7816266845264349E-2</v>
      </c>
      <c r="E12" s="85" t="s">
        <v>121</v>
      </c>
      <c r="G12" s="95">
        <f>-C24/(1000*1000)</f>
        <v>-28395</v>
      </c>
      <c r="J12" s="86"/>
    </row>
    <row r="13" spans="2:10" ht="20" customHeight="1">
      <c r="B13" s="85" t="s">
        <v>112</v>
      </c>
      <c r="C13" s="229">
        <f>C3/(C3+C24)</f>
        <v>0.98218373315473562</v>
      </c>
      <c r="E13" s="85" t="s">
        <v>105</v>
      </c>
      <c r="G13" s="219">
        <f>SUM(G9:G12)</f>
        <v>2067047.7389100341</v>
      </c>
      <c r="H13" s="122"/>
      <c r="J13" s="86"/>
    </row>
    <row r="14" spans="2:10" ht="20" customHeight="1">
      <c r="B14" s="223" t="s">
        <v>114</v>
      </c>
      <c r="C14" s="230">
        <f>C13*C11+C12*C6*(1-C7)</f>
        <v>7.6939583682012674E-2</v>
      </c>
      <c r="E14" s="85" t="s">
        <v>42</v>
      </c>
      <c r="G14" s="95">
        <f>C5/1000</f>
        <v>662121</v>
      </c>
      <c r="J14" s="86"/>
    </row>
    <row r="15" spans="2:10" ht="20" customHeight="1">
      <c r="E15" s="173" t="s">
        <v>84</v>
      </c>
      <c r="F15" s="134"/>
      <c r="G15" s="252">
        <f>(G13/G14)*1000</f>
        <v>3121.8579971184026</v>
      </c>
      <c r="H15" s="134"/>
      <c r="I15" s="134"/>
      <c r="J15" s="158"/>
    </row>
    <row r="16" spans="2:10" ht="20" customHeight="1">
      <c r="B16" s="91" t="s">
        <v>50</v>
      </c>
      <c r="C16" s="90"/>
    </row>
    <row r="17" spans="2:14" ht="20" customHeight="1">
      <c r="B17" s="218" t="s">
        <v>128</v>
      </c>
      <c r="C17" s="96" t="s">
        <v>113</v>
      </c>
      <c r="E17" s="83" t="s">
        <v>196</v>
      </c>
      <c r="F17" s="111" t="str">
        <f>'P&amp;L Model'!$K$2</f>
        <v>Base Case</v>
      </c>
    </row>
    <row r="18" spans="2:14" ht="20" customHeight="1">
      <c r="B18" s="212" t="s">
        <v>48</v>
      </c>
      <c r="C18" s="93">
        <v>2.9700000000000001E-2</v>
      </c>
    </row>
    <row r="19" spans="2:14" ht="20" customHeight="1">
      <c r="B19" s="212" t="s">
        <v>47</v>
      </c>
      <c r="C19" s="94">
        <v>1.06</v>
      </c>
      <c r="E19" s="83" t="s">
        <v>129</v>
      </c>
      <c r="F19" s="2"/>
      <c r="G19" s="2"/>
      <c r="H19" s="83"/>
      <c r="I19" s="82" t="s">
        <v>130</v>
      </c>
      <c r="J19" s="83"/>
      <c r="K19" s="83"/>
    </row>
    <row r="20" spans="2:14" ht="20" customHeight="1">
      <c r="B20" s="212" t="s">
        <v>46</v>
      </c>
      <c r="C20" s="231">
        <v>7.4999999999999997E-2</v>
      </c>
      <c r="E20" s="167"/>
      <c r="F20" s="134" t="s">
        <v>127</v>
      </c>
      <c r="G20" s="251"/>
      <c r="H20" s="262" t="s">
        <v>131</v>
      </c>
      <c r="I20" s="134"/>
      <c r="J20" s="134"/>
      <c r="K20" s="134"/>
    </row>
    <row r="21" spans="2:14" ht="20" customHeight="1">
      <c r="B21" s="221" t="s">
        <v>45</v>
      </c>
      <c r="C21" s="235">
        <f>C18+C19*(C20-C18)</f>
        <v>7.7717999999999995E-2</v>
      </c>
      <c r="E21" s="261" t="s">
        <v>114</v>
      </c>
      <c r="F21" s="260">
        <f>G15</f>
        <v>3121.8579971184026</v>
      </c>
      <c r="G21" s="220">
        <v>0.01</v>
      </c>
      <c r="H21" s="220">
        <v>0.02</v>
      </c>
      <c r="I21" s="220">
        <v>0.03</v>
      </c>
      <c r="J21" s="250">
        <v>0.04</v>
      </c>
      <c r="K21" s="250"/>
      <c r="L21" s="250"/>
      <c r="M21" s="250"/>
      <c r="N21" s="250"/>
    </row>
    <row r="22" spans="2:14" ht="20" customHeight="1">
      <c r="B22" s="92"/>
      <c r="C22" s="234"/>
      <c r="E22" s="86"/>
      <c r="F22" s="259">
        <v>7.0000000000000007E-2</v>
      </c>
      <c r="G22">
        <f t="dataTable" ref="G22:J25" dt2D="1" dtr="1" r1="C29" r2="C14"/>
        <v>3278.5043475633765</v>
      </c>
      <c r="H22">
        <v>3811.3386053818454</v>
      </c>
      <c r="I22">
        <v>4610.5899921095479</v>
      </c>
      <c r="J22">
        <v>5942.6756366557174</v>
      </c>
    </row>
    <row r="23" spans="2:14" ht="20" customHeight="1">
      <c r="B23" s="91" t="s">
        <v>43</v>
      </c>
      <c r="C23" s="232"/>
      <c r="D23" s="89" t="s">
        <v>40</v>
      </c>
      <c r="E23" s="86"/>
      <c r="F23" s="259">
        <f>F22+0.5%</f>
        <v>7.5000000000000011E-2</v>
      </c>
      <c r="G23">
        <v>3022.8241118958158</v>
      </c>
      <c r="H23">
        <v>3461.6968475159133</v>
      </c>
      <c r="I23">
        <v>4095.6241323005002</v>
      </c>
      <c r="J23">
        <v>5091.7955798191369</v>
      </c>
    </row>
    <row r="24" spans="2:14" ht="20" customHeight="1">
      <c r="B24" s="92" t="s">
        <v>44</v>
      </c>
      <c r="C24" s="88">
        <f>28395*1000*1000</f>
        <v>28395000000</v>
      </c>
      <c r="E24" s="86"/>
      <c r="F24" s="259">
        <f>C14</f>
        <v>7.6939583682012674E-2</v>
      </c>
      <c r="G24">
        <v>3022.8241118958158</v>
      </c>
      <c r="H24">
        <v>3461.6968475159133</v>
      </c>
      <c r="I24">
        <v>4095.6241323005002</v>
      </c>
      <c r="J24">
        <v>5091.7955798191369</v>
      </c>
    </row>
    <row r="25" spans="2:14" ht="20" customHeight="1">
      <c r="B25" s="212" t="s">
        <v>116</v>
      </c>
      <c r="C25" s="233">
        <f>1153*1000*1000</f>
        <v>1153000000</v>
      </c>
      <c r="E25" s="86"/>
      <c r="F25" s="259">
        <f>8%</f>
        <v>0.08</v>
      </c>
      <c r="G25">
        <v>2803.9819501500206</v>
      </c>
      <c r="H25">
        <v>3170.6762782685141</v>
      </c>
      <c r="I25">
        <v>3684.0483376344055</v>
      </c>
      <c r="J25">
        <v>4454.1064266832427</v>
      </c>
    </row>
    <row r="26" spans="2:14" ht="20" customHeight="1">
      <c r="B26" s="92" t="s">
        <v>106</v>
      </c>
      <c r="C26" s="87">
        <f>C7</f>
        <v>0.16202305640663919</v>
      </c>
      <c r="F26" s="259"/>
    </row>
    <row r="27" spans="2:14" ht="20" customHeight="1">
      <c r="B27" s="236" t="s">
        <v>115</v>
      </c>
      <c r="C27" s="237">
        <f>C25/C24</f>
        <v>4.060574044726184E-2</v>
      </c>
      <c r="E27" s="259"/>
    </row>
    <row r="28" spans="2:14" ht="20" customHeight="1">
      <c r="E28" s="259"/>
    </row>
    <row r="29" spans="2:14" ht="20" customHeight="1">
      <c r="B29" s="204" t="s">
        <v>118</v>
      </c>
      <c r="C29" s="250">
        <v>1.4999999999999999E-2</v>
      </c>
      <c r="E29" s="259"/>
    </row>
    <row r="30" spans="2:14" ht="20" customHeight="1">
      <c r="E30" s="259"/>
    </row>
    <row r="31" spans="2:14" ht="20" customHeight="1">
      <c r="E31" s="259"/>
    </row>
    <row r="32" spans="2:14" ht="20" customHeight="1">
      <c r="E32" s="259"/>
    </row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1DF3-25C0-9B43-930A-D3C1F4C39954}">
  <dimension ref="G1:U37"/>
  <sheetViews>
    <sheetView showGridLines="0" tabSelected="1" topLeftCell="A2" workbookViewId="0">
      <selection activeCell="R16" sqref="R16:U16"/>
    </sheetView>
  </sheetViews>
  <sheetFormatPr baseColWidth="10" defaultRowHeight="15"/>
  <cols>
    <col min="1" max="16384" width="10.83203125" style="2"/>
  </cols>
  <sheetData>
    <row r="1" spans="7:21" ht="26">
      <c r="G1" s="312"/>
      <c r="H1" s="315" t="s">
        <v>188</v>
      </c>
      <c r="I1" s="315"/>
      <c r="J1" s="315"/>
      <c r="K1" s="315"/>
      <c r="L1" s="315"/>
      <c r="M1" s="315"/>
      <c r="N1" s="315"/>
      <c r="O1" s="312"/>
    </row>
    <row r="2" spans="7:21">
      <c r="G2" s="312"/>
      <c r="H2" s="312"/>
      <c r="I2" s="312"/>
      <c r="J2" s="312"/>
      <c r="K2" s="312"/>
      <c r="L2" s="312"/>
      <c r="M2" s="312"/>
      <c r="N2" s="312"/>
      <c r="O2" s="312"/>
    </row>
    <row r="3" spans="7:21">
      <c r="G3" s="312"/>
      <c r="H3" s="312"/>
      <c r="I3" s="312"/>
      <c r="J3" s="312"/>
      <c r="K3" s="312"/>
      <c r="L3" s="312"/>
      <c r="M3" s="312"/>
      <c r="N3" s="312"/>
      <c r="O3" s="312"/>
    </row>
    <row r="4" spans="7:21" ht="26">
      <c r="G4" s="312"/>
      <c r="H4" s="317" t="s">
        <v>187</v>
      </c>
      <c r="I4" s="317"/>
      <c r="J4" s="313"/>
      <c r="K4" s="314" t="str">
        <f>'P&amp;L Model'!K2</f>
        <v>Base Case</v>
      </c>
      <c r="L4" s="313"/>
      <c r="M4" s="312"/>
      <c r="N4" s="312"/>
      <c r="O4" s="318" t="s">
        <v>189</v>
      </c>
    </row>
    <row r="7" spans="7:21">
      <c r="R7" s="312"/>
      <c r="S7" s="312"/>
      <c r="T7" s="312"/>
      <c r="U7" s="312"/>
    </row>
    <row r="8" spans="7:21">
      <c r="R8" s="312"/>
      <c r="S8" s="312"/>
      <c r="T8" s="312"/>
      <c r="U8" s="312"/>
    </row>
    <row r="9" spans="7:21">
      <c r="R9" s="312"/>
      <c r="S9" s="312"/>
      <c r="T9" s="312"/>
      <c r="U9" s="312"/>
    </row>
    <row r="10" spans="7:21">
      <c r="R10" s="312"/>
      <c r="S10" s="312"/>
      <c r="T10" s="312"/>
      <c r="U10" s="312"/>
    </row>
    <row r="11" spans="7:21" ht="25" customHeight="1">
      <c r="R11" s="339" t="s">
        <v>190</v>
      </c>
      <c r="S11" s="339"/>
      <c r="T11" s="339"/>
      <c r="U11" s="339"/>
    </row>
    <row r="12" spans="7:21" ht="21">
      <c r="R12" s="332" t="s">
        <v>165</v>
      </c>
      <c r="S12" s="332"/>
      <c r="T12" s="332"/>
      <c r="U12" s="332"/>
    </row>
    <row r="13" spans="7:21">
      <c r="R13" s="312"/>
      <c r="S13" s="312"/>
      <c r="T13" s="312"/>
      <c r="U13" s="312"/>
    </row>
    <row r="14" spans="7:21">
      <c r="R14" s="312"/>
      <c r="S14" s="312"/>
      <c r="T14" s="312"/>
      <c r="U14" s="312"/>
    </row>
    <row r="15" spans="7:21" ht="19">
      <c r="R15" s="339" t="s">
        <v>191</v>
      </c>
      <c r="S15" s="339"/>
      <c r="T15" s="339"/>
      <c r="U15" s="339"/>
    </row>
    <row r="16" spans="7:21" ht="21">
      <c r="R16" s="332">
        <v>2026</v>
      </c>
      <c r="S16" s="332"/>
      <c r="T16" s="332"/>
      <c r="U16" s="332"/>
    </row>
    <row r="17" spans="18:21">
      <c r="R17" s="312"/>
      <c r="S17" s="312"/>
      <c r="T17" s="312"/>
      <c r="U17" s="312"/>
    </row>
    <row r="18" spans="18:21" ht="19">
      <c r="R18" s="339" t="s">
        <v>193</v>
      </c>
      <c r="S18" s="339"/>
      <c r="T18" s="339"/>
      <c r="U18" s="339"/>
    </row>
    <row r="19" spans="18:21" ht="21">
      <c r="R19" s="332">
        <v>2025</v>
      </c>
      <c r="S19" s="332"/>
      <c r="T19" s="332"/>
      <c r="U19" s="332"/>
    </row>
    <row r="20" spans="18:21">
      <c r="R20" s="312"/>
      <c r="S20" s="312"/>
      <c r="T20" s="312"/>
      <c r="U20" s="312"/>
    </row>
    <row r="21" spans="18:21">
      <c r="R21" s="312"/>
      <c r="S21" s="312"/>
      <c r="T21" s="312"/>
      <c r="U21" s="312"/>
    </row>
    <row r="22" spans="18:21">
      <c r="R22" s="312"/>
      <c r="S22" s="312"/>
      <c r="T22" s="312"/>
      <c r="U22" s="312"/>
    </row>
    <row r="23" spans="18:21" ht="19">
      <c r="R23" s="339" t="s">
        <v>194</v>
      </c>
      <c r="S23" s="339"/>
      <c r="T23" s="339"/>
      <c r="U23" s="339"/>
    </row>
    <row r="24" spans="18:21" ht="21">
      <c r="R24" s="332" t="s">
        <v>53</v>
      </c>
      <c r="S24" s="332"/>
      <c r="T24" s="332"/>
      <c r="U24" s="332"/>
    </row>
    <row r="25" spans="18:21">
      <c r="R25" s="312"/>
      <c r="S25" s="312"/>
      <c r="T25" s="312"/>
      <c r="U25" s="312"/>
    </row>
    <row r="26" spans="18:21">
      <c r="R26" s="312"/>
      <c r="S26" s="312"/>
      <c r="T26" s="312"/>
      <c r="U26" s="312"/>
    </row>
    <row r="27" spans="18:21">
      <c r="R27" s="312"/>
      <c r="S27" s="312"/>
      <c r="T27" s="312"/>
      <c r="U27" s="312"/>
    </row>
    <row r="28" spans="18:21">
      <c r="R28" s="312"/>
      <c r="S28" s="312"/>
      <c r="T28" s="312"/>
      <c r="U28" s="312"/>
    </row>
    <row r="29" spans="18:21">
      <c r="R29" s="312"/>
      <c r="S29" s="312"/>
      <c r="T29" s="312"/>
      <c r="U29" s="312"/>
    </row>
    <row r="30" spans="18:21">
      <c r="R30" s="312"/>
      <c r="S30" s="312"/>
      <c r="T30" s="312"/>
      <c r="U30" s="312"/>
    </row>
    <row r="31" spans="18:21">
      <c r="R31" s="312"/>
      <c r="S31" s="312"/>
      <c r="T31" s="312"/>
      <c r="U31" s="312"/>
    </row>
    <row r="32" spans="18:21">
      <c r="R32" s="312"/>
      <c r="S32" s="312"/>
      <c r="T32" s="312"/>
      <c r="U32" s="312"/>
    </row>
    <row r="33" spans="18:21">
      <c r="R33" s="312"/>
      <c r="S33" s="312"/>
      <c r="T33" s="312"/>
      <c r="U33" s="312"/>
    </row>
    <row r="34" spans="18:21">
      <c r="R34" s="312"/>
      <c r="S34" s="312"/>
      <c r="T34" s="312"/>
      <c r="U34" s="312"/>
    </row>
    <row r="35" spans="18:21">
      <c r="R35" s="312"/>
      <c r="S35" s="312"/>
      <c r="T35" s="312"/>
      <c r="U35" s="312"/>
    </row>
    <row r="36" spans="18:21">
      <c r="R36" s="312"/>
      <c r="S36" s="312"/>
      <c r="T36" s="312"/>
      <c r="U36" s="312"/>
    </row>
    <row r="37" spans="18:21">
      <c r="R37" s="312"/>
      <c r="S37" s="312"/>
      <c r="T37" s="312"/>
      <c r="U37" s="312"/>
    </row>
  </sheetData>
  <mergeCells count="10">
    <mergeCell ref="R16:U16"/>
    <mergeCell ref="R18:U18"/>
    <mergeCell ref="R19:U19"/>
    <mergeCell ref="R23:U23"/>
    <mergeCell ref="R24:U24"/>
    <mergeCell ref="R11:U11"/>
    <mergeCell ref="R15:U15"/>
    <mergeCell ref="H4:I4"/>
    <mergeCell ref="H1:N1"/>
    <mergeCell ref="R12:U1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42AD9A-2A19-AC4B-8780-68577C449A46}">
          <x14:formula1>
            <xm:f>'Pivot Tables'!$B$33:$J$33</xm:f>
          </x14:formula1>
          <xm:sqref>R12:U12</xm:sqref>
        </x14:dataValidation>
        <x14:dataValidation type="list" allowBlank="1" showInputMessage="1" showErrorMessage="1" xr:uid="{A1402253-8DBB-8540-884D-9A0F81F151CA}">
          <x14:formula1>
            <xm:f>'Pivot Tables'!$A$34:$A$41</xm:f>
          </x14:formula1>
          <xm:sqref>R16:U16</xm:sqref>
        </x14:dataValidation>
        <x14:dataValidation type="list" allowBlank="1" showInputMessage="1" showErrorMessage="1" xr:uid="{A675AF9E-FC9E-9148-BFA4-0DE63BC76FD0}">
          <x14:formula1>
            <xm:f>'Pivot Tables'!$G$58:$G$65</xm:f>
          </x14:formula1>
          <xm:sqref>R19:U19</xm:sqref>
        </x14:dataValidation>
        <x14:dataValidation type="list" allowBlank="1" showInputMessage="1" showErrorMessage="1" xr:uid="{8C72AEBB-7A85-F54F-886F-D5AA1420D867}">
          <x14:formula1>
            <xm:f>'Key Metrics'!$B$4:$B$11</xm:f>
          </x14:formula1>
          <xm:sqref>R24:U24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BD23-40B3-604D-9A19-C30D4189F16C}">
  <dimension ref="B1:K40"/>
  <sheetViews>
    <sheetView showGridLines="0" workbookViewId="0">
      <selection activeCell="P11" sqref="P11"/>
    </sheetView>
  </sheetViews>
  <sheetFormatPr baseColWidth="10" defaultRowHeight="15"/>
  <cols>
    <col min="1" max="1" width="2.83203125" customWidth="1"/>
    <col min="2" max="2" width="22" customWidth="1"/>
    <col min="3" max="10" width="12.83203125" customWidth="1"/>
    <col min="11" max="11" width="27.1640625" customWidth="1"/>
    <col min="12" max="12" width="12.83203125" customWidth="1"/>
  </cols>
  <sheetData>
    <row r="1" spans="2:11" ht="20" customHeight="1"/>
    <row r="2" spans="2:11" ht="20" customHeight="1">
      <c r="B2" s="83" t="s">
        <v>196</v>
      </c>
      <c r="C2" s="111" t="str">
        <f>'P&amp;L Model'!$K$2</f>
        <v>Base Case</v>
      </c>
    </row>
    <row r="3" spans="2:11" ht="52" customHeight="1">
      <c r="B3" s="278" t="s">
        <v>133</v>
      </c>
      <c r="C3" s="277">
        <v>2019</v>
      </c>
      <c r="D3" s="277">
        <v>2020</v>
      </c>
      <c r="E3" s="277">
        <v>2021</v>
      </c>
      <c r="F3" s="277">
        <v>2022</v>
      </c>
      <c r="G3" s="277">
        <v>2023</v>
      </c>
      <c r="H3" s="277">
        <v>2024</v>
      </c>
      <c r="I3" s="277">
        <v>2025</v>
      </c>
      <c r="J3" s="277">
        <v>2026</v>
      </c>
      <c r="K3" s="279" t="s">
        <v>142</v>
      </c>
    </row>
    <row r="4" spans="2:11" ht="40" customHeight="1">
      <c r="B4" s="201" t="s">
        <v>134</v>
      </c>
      <c r="C4" s="100">
        <f>'P&amp;L Model'!C7/'P&amp;L Model'!C5</f>
        <v>0.5558054331910266</v>
      </c>
      <c r="D4" s="100">
        <f>'P&amp;L Model'!D7/'P&amp;L Model'!D5</f>
        <v>0.53578374706207854</v>
      </c>
      <c r="E4" s="100">
        <f>'P&amp;L Model'!E7/'P&amp;L Model'!E5</f>
        <v>0.5693980290098084</v>
      </c>
      <c r="F4" s="100">
        <f>'P&amp;L Model'!F7/'P&amp;L Model'!F5</f>
        <v>0.55366240308763781</v>
      </c>
      <c r="G4" s="100">
        <f>'P&amp;L Model'!G7/'P&amp;L Model'!G5</f>
        <v>0.55366240308763781</v>
      </c>
      <c r="H4" s="100">
        <f>'P&amp;L Model'!H7/'P&amp;L Model'!H5</f>
        <v>0.55366240308763781</v>
      </c>
      <c r="I4" s="100">
        <f>'P&amp;L Model'!I7/'P&amp;L Model'!I5</f>
        <v>0.55366240308763781</v>
      </c>
      <c r="J4" s="273">
        <f>'P&amp;L Model'!J7/'P&amp;L Model'!J5</f>
        <v>0.55366240308763781</v>
      </c>
      <c r="K4" s="85"/>
    </row>
    <row r="5" spans="2:11" ht="40" customHeight="1">
      <c r="B5" s="201" t="s">
        <v>52</v>
      </c>
      <c r="C5" s="100">
        <f>'P&amp;L Model'!C14/'P&amp;L Model'!C5</f>
        <v>0.24481486744471972</v>
      </c>
      <c r="D5" s="100">
        <f>'P&amp;L Model'!D14/'P&amp;L Model'!D5</f>
        <v>0.26342404137470071</v>
      </c>
      <c r="E5" s="100">
        <f>'P&amp;L Model'!E14/'P&amp;L Model'!E5</f>
        <v>0.35217767634307184</v>
      </c>
      <c r="F5" s="100">
        <f>'P&amp;L Model'!F14/'P&amp;L Model'!F5</f>
        <v>0.22718226248003637</v>
      </c>
      <c r="G5" s="100">
        <f>'P&amp;L Model'!G14/'P&amp;L Model'!G5</f>
        <v>0.2196537202157384</v>
      </c>
      <c r="H5" s="100">
        <f>'P&amp;L Model'!H14/'P&amp;L Model'!H5</f>
        <v>0.2137004908087044</v>
      </c>
      <c r="I5" s="100">
        <f>'P&amp;L Model'!I14/'P&amp;L Model'!I5</f>
        <v>0.20017882450149302</v>
      </c>
      <c r="J5" s="273">
        <f>'P&amp;L Model'!J14/'P&amp;L Model'!J5</f>
        <v>0.20117767850864529</v>
      </c>
      <c r="K5" s="85"/>
    </row>
    <row r="6" spans="2:11" ht="40" customHeight="1">
      <c r="B6" s="201" t="s">
        <v>135</v>
      </c>
      <c r="C6" s="100">
        <f>'P&amp;L Model'!C8/-'P&amp;L Model'!C5</f>
        <v>0.33383171565023445</v>
      </c>
      <c r="D6" s="100">
        <f>'P&amp;L Model'!D8/-'P&amp;L Model'!D5</f>
        <v>0.30993222920444646</v>
      </c>
      <c r="E6" s="100">
        <f>'P&amp;L Model'!E8/-'P&amp;L Model'!E5</f>
        <v>0.26387514215737645</v>
      </c>
      <c r="F6" s="100">
        <f>'P&amp;L Model'!F8/-'P&amp;L Model'!F5</f>
        <v>0.26110804180546487</v>
      </c>
      <c r="G6" s="100">
        <f>'P&amp;L Model'!G8/-'P&amp;L Model'!G5</f>
        <v>0.27110804180546488</v>
      </c>
      <c r="H6" s="100">
        <f>'P&amp;L Model'!H8/-'P&amp;L Model'!H5</f>
        <v>0.28110804180546489</v>
      </c>
      <c r="I6" s="100">
        <f>'P&amp;L Model'!I8/-'P&amp;L Model'!I5</f>
        <v>0.2911080418054649</v>
      </c>
      <c r="J6" s="273">
        <f>'P&amp;L Model'!J8/-'P&amp;L Model'!J5</f>
        <v>0.2911080418054649</v>
      </c>
      <c r="K6" s="85"/>
    </row>
    <row r="7" spans="2:11" ht="40" customHeight="1">
      <c r="B7" s="201" t="s">
        <v>54</v>
      </c>
      <c r="C7" s="100">
        <f>'P&amp;L Model'!C14/('Balance Sheet Model'!C16-'Balance Sheet Model'!C20)</f>
        <v>0.17176879594950756</v>
      </c>
      <c r="D7" s="100">
        <f>'P&amp;L Model'!D14/('Balance Sheet Model'!D16-'Balance Sheet Model'!D20)</f>
        <v>0.18297295857402715</v>
      </c>
      <c r="E7" s="100">
        <f>'P&amp;L Model'!E14/('Balance Sheet Model'!E16-'Balance Sheet Model'!E20)</f>
        <v>0.30755828536950791</v>
      </c>
      <c r="F7" s="100">
        <f>'P&amp;L Model'!F14/('Balance Sheet Model'!F16-'Balance Sheet Model'!F20)</f>
        <v>0.22041411925596821</v>
      </c>
      <c r="G7" s="100">
        <f>'P&amp;L Model'!G14/('Balance Sheet Model'!G16-'Balance Sheet Model'!G20)</f>
        <v>0.22857512395169491</v>
      </c>
      <c r="H7" s="100">
        <f>'P&amp;L Model'!H14/('Balance Sheet Model'!H16-'Balance Sheet Model'!H20)</f>
        <v>0.24213461806156072</v>
      </c>
      <c r="I7" s="100">
        <f>'P&amp;L Model'!I14/('Balance Sheet Model'!I16-'Balance Sheet Model'!I20)</f>
        <v>0.24527076788439783</v>
      </c>
      <c r="J7" s="273">
        <f>'P&amp;L Model'!J14/('Balance Sheet Model'!J16-'Balance Sheet Model'!J20)</f>
        <v>0.26354056326745928</v>
      </c>
      <c r="K7" s="85"/>
    </row>
    <row r="8" spans="2:11" ht="40" customHeight="1">
      <c r="B8" s="201" t="s">
        <v>136</v>
      </c>
      <c r="C8" s="101">
        <f>('Balance Sheet Model'!C13-'Balance Sheet Model'!C9)/'Balance Sheet Model'!C20</f>
        <v>3.3519603723933571</v>
      </c>
      <c r="D8" s="101">
        <f>('Balance Sheet Model'!D13-'Balance Sheet Model'!D9)/'Balance Sheet Model'!D20</f>
        <v>3.0539465812717741</v>
      </c>
      <c r="E8" s="101">
        <f>('Balance Sheet Model'!E13-'Balance Sheet Model'!E9)/'Balance Sheet Model'!E20</f>
        <v>2.9099044417468174</v>
      </c>
      <c r="F8" s="101">
        <f>('Balance Sheet Model'!F13-'Balance Sheet Model'!F9)/'Balance Sheet Model'!F20</f>
        <v>2.2275906721972927</v>
      </c>
      <c r="G8" s="101">
        <f>('Balance Sheet Model'!G13-'Balance Sheet Model'!G9)/'Balance Sheet Model'!G20</f>
        <v>2.0226505952189826</v>
      </c>
      <c r="H8" s="101">
        <f>('Balance Sheet Model'!H13-'Balance Sheet Model'!H9)/'Balance Sheet Model'!H20</f>
        <v>1.8423068428690903</v>
      </c>
      <c r="I8" s="101">
        <f>('Balance Sheet Model'!I13-'Balance Sheet Model'!I9)/'Balance Sheet Model'!I20</f>
        <v>1.6033276070394515</v>
      </c>
      <c r="J8" s="274">
        <f>('Balance Sheet Model'!J13-'Balance Sheet Model'!J9)/'Balance Sheet Model'!J20</f>
        <v>1.4539807652555758</v>
      </c>
      <c r="K8" s="85"/>
    </row>
    <row r="9" spans="2:11" ht="40" customHeight="1">
      <c r="B9" s="201" t="s">
        <v>53</v>
      </c>
      <c r="C9" s="272">
        <f>'P&amp;L Model'!C5/('Balance Sheet Model'!C16)</f>
        <v>0.58663182426089766</v>
      </c>
      <c r="D9" s="272">
        <f>'P&amp;L Model'!D5/(('Balance Sheet Model'!D16+'Balance Sheet Model'!C16)/2)</f>
        <v>0.61299525628646989</v>
      </c>
      <c r="E9" s="272">
        <f>'P&amp;L Model'!E5/(('Balance Sheet Model'!E16+'Balance Sheet Model'!D16)/2)</f>
        <v>0.75900153781794832</v>
      </c>
      <c r="F9" s="272">
        <f>'P&amp;L Model'!F5/(('Balance Sheet Model'!F16+'Balance Sheet Model'!E16)/2)</f>
        <v>0.80566844587079756</v>
      </c>
      <c r="G9" s="272">
        <f>'P&amp;L Model'!G5/(('Balance Sheet Model'!G16+'Balance Sheet Model'!F16)/2)</f>
        <v>0.85729946287796521</v>
      </c>
      <c r="H9" s="272">
        <f>'P&amp;L Model'!H5/(('Balance Sheet Model'!H16+'Balance Sheet Model'!G16)/2)</f>
        <v>0.91827955173786269</v>
      </c>
      <c r="I9" s="272">
        <f>'P&amp;L Model'!I5/(('Balance Sheet Model'!I16+'Balance Sheet Model'!H16)/2)</f>
        <v>0.98166401691408911</v>
      </c>
      <c r="J9" s="275">
        <f>'P&amp;L Model'!J5/(('Balance Sheet Model'!J16+'Balance Sheet Model'!I16)/2)</f>
        <v>1.0338575917609705</v>
      </c>
      <c r="K9" s="85"/>
    </row>
    <row r="10" spans="2:11" ht="40" customHeight="1">
      <c r="B10" s="350" t="s">
        <v>139</v>
      </c>
      <c r="C10" s="351">
        <f>'P&amp;L Model'!C16/'Balance Sheet Model'!C24</f>
        <v>0.17048579740074066</v>
      </c>
      <c r="D10" s="281">
        <f>'P&amp;L Model'!D16/'Balance Sheet Model'!D24</f>
        <v>0.18094848659141563</v>
      </c>
      <c r="E10" s="281">
        <f>'P&amp;L Model'!E16/'Balance Sheet Model'!E24</f>
        <v>0.30215590041131002</v>
      </c>
      <c r="F10" s="281">
        <f>'P&amp;L Model'!F16/'Balance Sheet Model'!F24</f>
        <v>0.21473814274982972</v>
      </c>
      <c r="G10" s="281">
        <f>'P&amp;L Model'!G16/'Balance Sheet Model'!G24</f>
        <v>0.21785031653073678</v>
      </c>
      <c r="H10" s="281">
        <f>'P&amp;L Model'!H16/'Balance Sheet Model'!H24</f>
        <v>0.22746119040298754</v>
      </c>
      <c r="I10" s="281">
        <f>'P&amp;L Model'!I16/'Balance Sheet Model'!I24</f>
        <v>0.22691287123250886</v>
      </c>
      <c r="J10" s="281">
        <f>'P&amp;L Model'!J16/'Balance Sheet Model'!J24</f>
        <v>0.24003968878046536</v>
      </c>
      <c r="K10" s="173"/>
    </row>
    <row r="11" spans="2:11" ht="40" customHeight="1">
      <c r="B11" s="321" t="s">
        <v>56</v>
      </c>
      <c r="C11" s="100">
        <f>'P&amp;L Model'!C16/'P&amp;L Model'!C5</f>
        <v>0.21218112284300339</v>
      </c>
      <c r="D11" s="100">
        <f>'P&amp;L Model'!D16/'P&amp;L Model'!D5</f>
        <v>0.22061941520980458</v>
      </c>
      <c r="E11" s="100">
        <f>'P&amp;L Model'!E16/'P&amp;L Model'!E5</f>
        <v>0.29511677282377918</v>
      </c>
      <c r="F11" s="100">
        <f>'P&amp;L Model'!F16/'P&amp;L Model'!F5</f>
        <v>0.19251303897546279</v>
      </c>
      <c r="G11" s="100">
        <f>'P&amp;L Model'!G16/'P&amp;L Model'!G5</f>
        <v>0.1847198736217486</v>
      </c>
      <c r="H11" s="100">
        <f>'P&amp;L Model'!H16/'P&amp;L Model'!H5</f>
        <v>0.17995939688560028</v>
      </c>
      <c r="I11" s="100">
        <f>'P&amp;L Model'!I16/'P&amp;L Model'!I5</f>
        <v>0.16884846899298611</v>
      </c>
      <c r="J11" s="273">
        <f>'P&amp;L Model'!J16/'P&amp;L Model'!J5</f>
        <v>0.16942902301630583</v>
      </c>
      <c r="K11" s="85"/>
    </row>
    <row r="12" spans="2:11" ht="40" customHeight="1">
      <c r="B12" s="321" t="s">
        <v>137</v>
      </c>
      <c r="C12" s="54"/>
      <c r="D12" s="54"/>
      <c r="E12" s="101">
        <f>DCF!C4/'Key Metrics'!E13</f>
        <v>20.588076569121302</v>
      </c>
      <c r="F12" s="54"/>
      <c r="G12" s="27"/>
      <c r="H12" s="27"/>
      <c r="I12" s="27"/>
      <c r="J12" s="320"/>
      <c r="K12" s="85"/>
    </row>
    <row r="13" spans="2:11" ht="40" customHeight="1">
      <c r="B13" s="321" t="s">
        <v>138</v>
      </c>
      <c r="C13" s="272">
        <f>('P&amp;L Model'!C16/C14)*1000</f>
        <v>49.892857402282317</v>
      </c>
      <c r="D13" s="272">
        <f>('P&amp;L Model'!D16/D14)*1000</f>
        <v>59.638163448465832</v>
      </c>
      <c r="E13" s="272">
        <f>('P&amp;L Model'!E16/E14)*1000</f>
        <v>114.83248530102503</v>
      </c>
      <c r="F13" s="276">
        <f>('P&amp;L Model'!F16/F14)*1000</f>
        <v>4.3710095962880722</v>
      </c>
      <c r="G13" s="289" t="s">
        <v>141</v>
      </c>
      <c r="H13" s="289"/>
      <c r="I13" s="289"/>
      <c r="J13" s="290"/>
      <c r="K13" s="85"/>
    </row>
    <row r="14" spans="2:11" ht="40" customHeight="1">
      <c r="B14" s="322" t="s">
        <v>140</v>
      </c>
      <c r="C14" s="348">
        <v>688335</v>
      </c>
      <c r="D14" s="348">
        <v>675222</v>
      </c>
      <c r="E14" s="348">
        <v>662121</v>
      </c>
      <c r="F14" s="354">
        <f>AVERAGE(C14:E14)*20</f>
        <v>13504520</v>
      </c>
      <c r="G14" s="348"/>
      <c r="H14" s="348"/>
      <c r="I14" s="348"/>
      <c r="J14" s="349"/>
      <c r="K14" s="173"/>
    </row>
    <row r="15" spans="2:11" ht="40" customHeight="1"/>
    <row r="16" spans="2:11" ht="40" customHeight="1">
      <c r="B16" s="112"/>
    </row>
    <row r="17" spans="2:10" ht="20" customHeight="1">
      <c r="B17" s="112"/>
    </row>
    <row r="18" spans="2:10" ht="20" customHeight="1">
      <c r="B18" s="112"/>
    </row>
    <row r="19" spans="2:10" ht="20" customHeight="1">
      <c r="B19" s="278" t="s">
        <v>154</v>
      </c>
      <c r="C19" s="277">
        <v>2019</v>
      </c>
      <c r="D19" s="277">
        <v>2020</v>
      </c>
      <c r="E19" s="277">
        <v>2021</v>
      </c>
      <c r="F19" s="277">
        <v>2022</v>
      </c>
      <c r="G19" s="277">
        <v>2023</v>
      </c>
      <c r="H19" s="277">
        <v>2024</v>
      </c>
      <c r="I19" s="277">
        <v>2025</v>
      </c>
      <c r="J19" s="277">
        <v>2026</v>
      </c>
    </row>
    <row r="20" spans="2:10" ht="30" customHeight="1">
      <c r="B20" s="324" t="s">
        <v>145</v>
      </c>
      <c r="C20" s="293">
        <v>98115</v>
      </c>
      <c r="D20" s="294">
        <v>104062</v>
      </c>
      <c r="E20" s="294">
        <v>148951</v>
      </c>
      <c r="F20" s="295">
        <f>F31*F$29</f>
        <v>179316.04322719196</v>
      </c>
      <c r="G20" s="295">
        <f>G31*G$29</f>
        <v>212649.51498166661</v>
      </c>
      <c r="H20" s="295">
        <f t="shared" ref="G20:J20" si="0">H31*H$29</f>
        <v>258540.1471141603</v>
      </c>
      <c r="I20" s="295">
        <f t="shared" si="0"/>
        <v>315927.8121581928</v>
      </c>
      <c r="J20" s="297">
        <f t="shared" si="0"/>
        <v>384729.87060179166</v>
      </c>
    </row>
    <row r="21" spans="2:10" ht="20" customHeight="1">
      <c r="B21" s="324" t="s">
        <v>146</v>
      </c>
      <c r="C21" s="293">
        <v>15149</v>
      </c>
      <c r="D21" s="294">
        <v>19772</v>
      </c>
      <c r="E21" s="294">
        <v>28845</v>
      </c>
      <c r="F21" s="295">
        <f t="shared" ref="F21:F28" si="1">F32*$F$29</f>
        <v>32080.49757926098</v>
      </c>
      <c r="G21" s="295">
        <f t="shared" ref="G21:J28" si="2">G32*G$29</f>
        <v>39866.624318130431</v>
      </c>
      <c r="H21" s="295">
        <f t="shared" si="2"/>
        <v>48256.070252355596</v>
      </c>
      <c r="I21" s="295">
        <f t="shared" si="2"/>
        <v>58233.090999688844</v>
      </c>
      <c r="J21" s="297">
        <f t="shared" si="2"/>
        <v>71616.194421401116</v>
      </c>
    </row>
    <row r="22" spans="2:10" ht="20" customHeight="1">
      <c r="B22" s="324" t="s">
        <v>147</v>
      </c>
      <c r="C22" s="293">
        <v>21547</v>
      </c>
      <c r="D22" s="294">
        <v>23090</v>
      </c>
      <c r="E22" s="294">
        <v>31701</v>
      </c>
      <c r="F22" s="295">
        <f t="shared" si="1"/>
        <v>39111.525320563531</v>
      </c>
      <c r="G22" s="295">
        <f t="shared" si="2"/>
        <v>46270.889401537956</v>
      </c>
      <c r="H22" s="295">
        <f t="shared" si="2"/>
        <v>55892.661094297386</v>
      </c>
      <c r="I22" s="295">
        <f t="shared" si="2"/>
        <v>68650.914215097699</v>
      </c>
      <c r="J22" s="297">
        <f t="shared" si="2"/>
        <v>83496.014046976125</v>
      </c>
    </row>
    <row r="23" spans="2:10" ht="20" customHeight="1">
      <c r="B23" s="325" t="s">
        <v>148</v>
      </c>
      <c r="C23" s="302">
        <v>134811</v>
      </c>
      <c r="D23" s="303">
        <v>146924</v>
      </c>
      <c r="E23" s="303">
        <v>209497</v>
      </c>
      <c r="F23" s="304">
        <f t="shared" si="1"/>
        <v>250508.0661270165</v>
      </c>
      <c r="G23" s="304">
        <f t="shared" si="2"/>
        <v>298787.02870133502</v>
      </c>
      <c r="H23" s="304">
        <f t="shared" si="2"/>
        <v>362688.87846081331</v>
      </c>
      <c r="I23" s="304">
        <f t="shared" si="2"/>
        <v>442811.81737297942</v>
      </c>
      <c r="J23" s="305">
        <f t="shared" si="2"/>
        <v>539842.07907016901</v>
      </c>
    </row>
    <row r="24" spans="2:10" ht="20" customHeight="1">
      <c r="B24" s="324" t="s">
        <v>149</v>
      </c>
      <c r="C24" s="293">
        <v>17014</v>
      </c>
      <c r="D24" s="294">
        <v>21711</v>
      </c>
      <c r="E24" s="294">
        <v>28032</v>
      </c>
      <c r="F24" s="295">
        <f t="shared" si="1"/>
        <v>34021.403449235964</v>
      </c>
      <c r="G24" s="295">
        <f t="shared" si="2"/>
        <v>41559.584068859636</v>
      </c>
      <c r="H24" s="295">
        <f t="shared" si="2"/>
        <v>49410.683303766134</v>
      </c>
      <c r="I24" s="295">
        <f t="shared" si="2"/>
        <v>60684.113089001192</v>
      </c>
      <c r="J24" s="297">
        <f t="shared" si="2"/>
        <v>74204.296898547924</v>
      </c>
    </row>
    <row r="25" spans="2:10" ht="20" customHeight="1">
      <c r="B25" s="325" t="s">
        <v>150</v>
      </c>
      <c r="C25" s="302">
        <v>151825</v>
      </c>
      <c r="D25" s="303">
        <v>168635</v>
      </c>
      <c r="E25" s="303">
        <v>237529</v>
      </c>
      <c r="F25" s="304">
        <f t="shared" si="1"/>
        <v>284529.46957625245</v>
      </c>
      <c r="G25" s="304">
        <f t="shared" si="2"/>
        <v>340346.61277019471</v>
      </c>
      <c r="H25" s="304">
        <f t="shared" si="2"/>
        <v>412099.56176457944</v>
      </c>
      <c r="I25" s="304">
        <f t="shared" si="2"/>
        <v>503495.93046198058</v>
      </c>
      <c r="J25" s="305">
        <f t="shared" si="2"/>
        <v>614046.37596871681</v>
      </c>
    </row>
    <row r="26" spans="2:10" ht="20" customHeight="1">
      <c r="B26" s="324" t="s">
        <v>151</v>
      </c>
      <c r="C26" s="293">
        <v>8918</v>
      </c>
      <c r="D26" s="294">
        <v>13059</v>
      </c>
      <c r="E26" s="294">
        <v>19206</v>
      </c>
      <c r="F26" s="295">
        <f t="shared" si="1"/>
        <v>20563.007857109056</v>
      </c>
      <c r="G26" s="295">
        <f t="shared" si="2"/>
        <v>26154.345580004621</v>
      </c>
      <c r="H26" s="295">
        <f t="shared" si="2"/>
        <v>31586.879966936423</v>
      </c>
      <c r="I26" s="295">
        <f t="shared" si="2"/>
        <v>37888.845336832077</v>
      </c>
      <c r="J26" s="297">
        <f t="shared" si="2"/>
        <v>46820.057954933691</v>
      </c>
    </row>
    <row r="27" spans="2:10" ht="20" customHeight="1">
      <c r="B27" s="324" t="s">
        <v>152</v>
      </c>
      <c r="C27" s="293">
        <v>659</v>
      </c>
      <c r="D27" s="294">
        <v>657</v>
      </c>
      <c r="E27" s="294">
        <v>753</v>
      </c>
      <c r="F27" s="295">
        <f t="shared" si="1"/>
        <v>1082.7453788000603</v>
      </c>
      <c r="G27" s="295">
        <f t="shared" si="2"/>
        <v>1233.5597422048318</v>
      </c>
      <c r="H27" s="295">
        <f t="shared" si="2"/>
        <v>1456.3566681940738</v>
      </c>
      <c r="I27" s="295">
        <f t="shared" si="2"/>
        <v>1840.1633621491189</v>
      </c>
      <c r="J27" s="297">
        <f t="shared" si="2"/>
        <v>2213.275825262348</v>
      </c>
    </row>
    <row r="28" spans="2:10" ht="20" customHeight="1">
      <c r="B28" s="324" t="s">
        <v>153</v>
      </c>
      <c r="C28" s="293">
        <v>455</v>
      </c>
      <c r="D28" s="294">
        <v>176</v>
      </c>
      <c r="E28" s="294">
        <v>149</v>
      </c>
      <c r="F28" s="295">
        <f t="shared" si="1"/>
        <v>444.97718783844141</v>
      </c>
      <c r="G28" s="295">
        <f t="shared" si="2"/>
        <v>367.34190759586903</v>
      </c>
      <c r="H28" s="295">
        <f t="shared" si="2"/>
        <v>449.67722582061708</v>
      </c>
      <c r="I28" s="295">
        <f t="shared" si="2"/>
        <v>626.94065536580524</v>
      </c>
      <c r="J28" s="297">
        <f t="shared" si="2"/>
        <v>699.1540313591621</v>
      </c>
    </row>
    <row r="29" spans="2:10" ht="20" customHeight="1" thickBot="1">
      <c r="B29" s="326" t="s">
        <v>155</v>
      </c>
      <c r="C29" s="298">
        <v>161857</v>
      </c>
      <c r="D29" s="299">
        <v>182527</v>
      </c>
      <c r="E29" s="299">
        <v>257637</v>
      </c>
      <c r="F29" s="300">
        <f>'P&amp;L Model'!F5</f>
        <v>306620.2</v>
      </c>
      <c r="G29" s="300">
        <f>'P&amp;L Model'!G5</f>
        <v>368101.86</v>
      </c>
      <c r="H29" s="300">
        <f>'P&amp;L Model'!H5</f>
        <v>445592.47562553053</v>
      </c>
      <c r="I29" s="300">
        <f>'P&amp;L Model'!I5</f>
        <v>543851.87981632759</v>
      </c>
      <c r="J29" s="301">
        <f>'P&amp;L Model'!J5</f>
        <v>663778.86378027208</v>
      </c>
    </row>
    <row r="30" spans="2:10" ht="20" customHeight="1">
      <c r="B30" s="280"/>
      <c r="C30" s="95"/>
      <c r="D30" s="95"/>
      <c r="E30" s="95"/>
      <c r="F30" s="122"/>
      <c r="J30" s="167"/>
    </row>
    <row r="31" spans="2:10" ht="20" customHeight="1">
      <c r="B31" s="327" t="s">
        <v>145</v>
      </c>
      <c r="C31" s="328">
        <f>C20/$C$29</f>
        <v>0.60618323581927258</v>
      </c>
      <c r="D31" s="328">
        <f>D20/$D$29</f>
        <v>0.57011839344316184</v>
      </c>
      <c r="E31" s="328">
        <f>E20/$E$29</f>
        <v>0.57814289096674776</v>
      </c>
      <c r="F31" s="329">
        <f>AVERAGE(C31:E31)</f>
        <v>0.58481484007639406</v>
      </c>
      <c r="G31" s="329">
        <f t="shared" ref="G31:J39" si="3">AVERAGE(D31:F31)</f>
        <v>0.57769204149543452</v>
      </c>
      <c r="H31" s="329">
        <f t="shared" si="3"/>
        <v>0.58021659084619215</v>
      </c>
      <c r="I31" s="329">
        <f t="shared" si="3"/>
        <v>0.58090782413934017</v>
      </c>
      <c r="J31" s="329">
        <f t="shared" si="3"/>
        <v>0.57960548549365554</v>
      </c>
    </row>
    <row r="32" spans="2:10" ht="20" customHeight="1">
      <c r="B32" s="327" t="s">
        <v>146</v>
      </c>
      <c r="C32" s="328">
        <f t="shared" ref="C32:C39" si="4">C21/$C$29</f>
        <v>9.3594963455395808E-2</v>
      </c>
      <c r="D32" s="328">
        <f t="shared" ref="D32:D39" si="5">D21/$D$29</f>
        <v>0.10832370005533427</v>
      </c>
      <c r="E32" s="328">
        <f t="shared" ref="E32:E39" si="6">E21/$E$29</f>
        <v>0.11195985048731355</v>
      </c>
      <c r="F32" s="329">
        <f t="shared" ref="F32:F39" si="7">AVERAGE(C32:E32)</f>
        <v>0.10462617133268121</v>
      </c>
      <c r="G32" s="329">
        <f t="shared" si="3"/>
        <v>0.10830324062510967</v>
      </c>
      <c r="H32" s="329">
        <f t="shared" si="3"/>
        <v>0.10829642081503481</v>
      </c>
      <c r="I32" s="329">
        <f t="shared" si="3"/>
        <v>0.10707527759094189</v>
      </c>
      <c r="J32" s="329">
        <f t="shared" si="3"/>
        <v>0.10789164634369545</v>
      </c>
    </row>
    <row r="33" spans="2:10" ht="20" customHeight="1">
      <c r="B33" s="327" t="s">
        <v>147</v>
      </c>
      <c r="C33" s="328">
        <f t="shared" si="4"/>
        <v>0.133123683251265</v>
      </c>
      <c r="D33" s="328">
        <f t="shared" si="5"/>
        <v>0.12650183260558712</v>
      </c>
      <c r="E33" s="328">
        <f t="shared" si="6"/>
        <v>0.12304521477893315</v>
      </c>
      <c r="F33" s="329">
        <f t="shared" si="7"/>
        <v>0.12755691021192841</v>
      </c>
      <c r="G33" s="329">
        <f t="shared" si="3"/>
        <v>0.12570131919881622</v>
      </c>
      <c r="H33" s="329">
        <f t="shared" si="3"/>
        <v>0.12543448139655924</v>
      </c>
      <c r="I33" s="329">
        <f t="shared" si="3"/>
        <v>0.12623090360243461</v>
      </c>
      <c r="J33" s="329">
        <f t="shared" si="3"/>
        <v>0.12578890139927001</v>
      </c>
    </row>
    <row r="34" spans="2:10" ht="20" customHeight="1">
      <c r="B34" s="327" t="s">
        <v>148</v>
      </c>
      <c r="C34" s="328">
        <f t="shared" si="4"/>
        <v>0.83290188252593333</v>
      </c>
      <c r="D34" s="328">
        <f t="shared" si="5"/>
        <v>0.80494392610408327</v>
      </c>
      <c r="E34" s="328">
        <f t="shared" si="6"/>
        <v>0.81314795623299452</v>
      </c>
      <c r="F34" s="329">
        <f t="shared" si="7"/>
        <v>0.81699792162100371</v>
      </c>
      <c r="G34" s="329">
        <f t="shared" si="3"/>
        <v>0.8116966013193605</v>
      </c>
      <c r="H34" s="329">
        <f t="shared" si="3"/>
        <v>0.81394749305778624</v>
      </c>
      <c r="I34" s="329">
        <f t="shared" si="3"/>
        <v>0.81421400533271682</v>
      </c>
      <c r="J34" s="329">
        <f t="shared" si="3"/>
        <v>0.81328603323662119</v>
      </c>
    </row>
    <row r="35" spans="2:10" ht="20" customHeight="1">
      <c r="B35" s="327" t="s">
        <v>149</v>
      </c>
      <c r="C35" s="328">
        <f t="shared" si="4"/>
        <v>0.10511748024490754</v>
      </c>
      <c r="D35" s="328">
        <f t="shared" si="5"/>
        <v>0.11894678595495461</v>
      </c>
      <c r="E35" s="328">
        <f t="shared" si="6"/>
        <v>0.1088042478370731</v>
      </c>
      <c r="F35" s="329">
        <f t="shared" si="7"/>
        <v>0.11095617134564507</v>
      </c>
      <c r="G35" s="329">
        <f t="shared" si="3"/>
        <v>0.1129024017125576</v>
      </c>
      <c r="H35" s="329">
        <f t="shared" si="3"/>
        <v>0.11088760696509192</v>
      </c>
      <c r="I35" s="329">
        <f t="shared" si="3"/>
        <v>0.11158206000776487</v>
      </c>
      <c r="J35" s="329">
        <f t="shared" si="3"/>
        <v>0.11179068956180481</v>
      </c>
    </row>
    <row r="36" spans="2:10" ht="20" customHeight="1">
      <c r="B36" s="327" t="s">
        <v>150</v>
      </c>
      <c r="C36" s="328">
        <f t="shared" si="4"/>
        <v>0.93801936277084097</v>
      </c>
      <c r="D36" s="328">
        <f t="shared" si="5"/>
        <v>0.92389071205903783</v>
      </c>
      <c r="E36" s="328">
        <f t="shared" si="6"/>
        <v>0.92195220407006762</v>
      </c>
      <c r="F36" s="329">
        <f t="shared" si="7"/>
        <v>0.92795409296664877</v>
      </c>
      <c r="G36" s="329">
        <f t="shared" si="3"/>
        <v>0.92459900303191811</v>
      </c>
      <c r="H36" s="329">
        <f t="shared" si="3"/>
        <v>0.92483510002287816</v>
      </c>
      <c r="I36" s="329">
        <f t="shared" si="3"/>
        <v>0.92579606534048164</v>
      </c>
      <c r="J36" s="329">
        <f t="shared" si="3"/>
        <v>0.9250767227984259</v>
      </c>
    </row>
    <row r="37" spans="2:10" ht="20" customHeight="1">
      <c r="B37" s="327" t="s">
        <v>151</v>
      </c>
      <c r="C37" s="328">
        <f t="shared" si="4"/>
        <v>5.5098018621375658E-2</v>
      </c>
      <c r="D37" s="328">
        <f t="shared" si="5"/>
        <v>7.1545579558092778E-2</v>
      </c>
      <c r="E37" s="328">
        <f t="shared" si="6"/>
        <v>7.4546746003097381E-2</v>
      </c>
      <c r="F37" s="329">
        <f t="shared" si="7"/>
        <v>6.7063448060855277E-2</v>
      </c>
      <c r="G37" s="329">
        <f t="shared" si="3"/>
        <v>7.1051924540681821E-2</v>
      </c>
      <c r="H37" s="329">
        <f t="shared" si="3"/>
        <v>7.0887372868211493E-2</v>
      </c>
      <c r="I37" s="329">
        <f t="shared" si="3"/>
        <v>6.9667581823249544E-2</v>
      </c>
      <c r="J37" s="329">
        <f t="shared" si="3"/>
        <v>7.05356264107143E-2</v>
      </c>
    </row>
    <row r="38" spans="2:10" ht="20" customHeight="1">
      <c r="B38" s="327" t="s">
        <v>152</v>
      </c>
      <c r="C38" s="328">
        <f t="shared" si="4"/>
        <v>4.071495208733635E-3</v>
      </c>
      <c r="D38" s="328">
        <f t="shared" si="5"/>
        <v>3.5994674760446398E-3</v>
      </c>
      <c r="E38" s="328">
        <f t="shared" si="6"/>
        <v>2.9227168457946645E-3</v>
      </c>
      <c r="F38" s="329">
        <f t="shared" si="7"/>
        <v>3.5312265101909799E-3</v>
      </c>
      <c r="G38" s="329">
        <f t="shared" si="3"/>
        <v>3.3511369440100947E-3</v>
      </c>
      <c r="H38" s="329">
        <f t="shared" si="3"/>
        <v>3.2683600999985798E-3</v>
      </c>
      <c r="I38" s="329">
        <f t="shared" si="3"/>
        <v>3.3835745180665518E-3</v>
      </c>
      <c r="J38" s="329">
        <f t="shared" si="3"/>
        <v>3.3343571873584083E-3</v>
      </c>
    </row>
    <row r="39" spans="2:10" ht="20" customHeight="1">
      <c r="B39" s="327" t="s">
        <v>153</v>
      </c>
      <c r="C39" s="328">
        <f t="shared" si="4"/>
        <v>2.8111233990497785E-3</v>
      </c>
      <c r="D39" s="328">
        <f t="shared" si="5"/>
        <v>9.6424090682474377E-4</v>
      </c>
      <c r="E39" s="328">
        <f t="shared" si="6"/>
        <v>5.783330810403785E-4</v>
      </c>
      <c r="F39" s="329">
        <f t="shared" si="7"/>
        <v>1.4512324623049669E-3</v>
      </c>
      <c r="G39" s="329">
        <f t="shared" si="3"/>
        <v>9.9793548339002975E-4</v>
      </c>
      <c r="H39" s="329">
        <f t="shared" si="3"/>
        <v>1.0091670089117917E-3</v>
      </c>
      <c r="I39" s="329">
        <f t="shared" si="3"/>
        <v>1.1527783182022626E-3</v>
      </c>
      <c r="J39" s="329">
        <f t="shared" si="3"/>
        <v>1.0532936035013614E-3</v>
      </c>
    </row>
    <row r="40" spans="2:10" ht="20" customHeight="1"/>
  </sheetData>
  <mergeCells count="1">
    <mergeCell ref="G13:J13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3FCA5D0-9FC3-1442-9DD3-D0160192C26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'Key Metrics'!C4:J4</xm:f>
              <xm:sqref>K4</xm:sqref>
            </x14:sparkline>
          </x14:sparklines>
        </x14:sparklineGroup>
        <x14:sparklineGroup displayEmptyCellsAs="gap" xr2:uid="{94371CDB-526B-C242-8A73-F229A1C6E0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'Key Metrics'!C5:J5</xm:f>
              <xm:sqref>K5</xm:sqref>
            </x14:sparkline>
            <x14:sparkline>
              <xm:f>'Key Metrics'!C6:J6</xm:f>
              <xm:sqref>K6</xm:sqref>
            </x14:sparkline>
            <x14:sparkline>
              <xm:f>'Key Metrics'!C7:J7</xm:f>
              <xm:sqref>K7</xm:sqref>
            </x14:sparkline>
            <x14:sparkline>
              <xm:f>'Key Metrics'!C8:J8</xm:f>
              <xm:sqref>K8</xm:sqref>
            </x14:sparkline>
            <x14:sparkline>
              <xm:f>'Key Metrics'!C9:J9</xm:f>
              <xm:sqref>K9</xm:sqref>
            </x14:sparkline>
          </x14:sparklines>
        </x14:sparklineGroup>
        <x14:sparklineGroup displayEmptyCellsAs="gap" xr2:uid="{BDE7FCCF-B17E-4147-93A0-655E3F0F80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'Key Metrics'!C11:J11</xm:f>
              <xm:sqref>K12</xm:sqref>
            </x14:sparkline>
          </x14:sparklines>
        </x14:sparklineGroup>
        <x14:sparklineGroup displayEmptyCellsAs="gap" xr2:uid="{256DE972-510A-B34C-848D-55768E2BF8A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'Key Metrics'!C10:J10</xm:f>
              <xm:sqref>K10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E2D-EB4C-B44B-B698-E396FC9FE399}">
  <dimension ref="A2:R130"/>
  <sheetViews>
    <sheetView showGridLines="0" topLeftCell="G1" workbookViewId="0">
      <selection activeCell="G2" sqref="G2:H2"/>
    </sheetView>
  </sheetViews>
  <sheetFormatPr baseColWidth="10" defaultRowHeight="15"/>
  <cols>
    <col min="1" max="1" width="12.1640625" bestFit="1" customWidth="1"/>
    <col min="2" max="2" width="13.5" bestFit="1" customWidth="1"/>
    <col min="3" max="3" width="12.1640625" bestFit="1" customWidth="1"/>
    <col min="4" max="4" width="15.5" bestFit="1" customWidth="1"/>
    <col min="5" max="6" width="12.1640625" bestFit="1" customWidth="1"/>
    <col min="7" max="7" width="24" bestFit="1" customWidth="1"/>
    <col min="8" max="8" width="22.1640625" bestFit="1" customWidth="1"/>
    <col min="9" max="9" width="21.5" bestFit="1" customWidth="1"/>
    <col min="10" max="14" width="14.83203125" bestFit="1" customWidth="1"/>
    <col min="15" max="15" width="13" bestFit="1" customWidth="1"/>
    <col min="16" max="16" width="18.33203125" bestFit="1" customWidth="1"/>
    <col min="17" max="17" width="20.1640625" bestFit="1" customWidth="1"/>
    <col min="18" max="18" width="19.6640625" bestFit="1" customWidth="1"/>
    <col min="19" max="24" width="15.5" bestFit="1" customWidth="1"/>
    <col min="25" max="25" width="17.83203125" bestFit="1" customWidth="1"/>
    <col min="26" max="26" width="15" bestFit="1" customWidth="1"/>
    <col min="27" max="27" width="19.83203125" bestFit="1" customWidth="1"/>
    <col min="28" max="80" width="24.33203125" bestFit="1" customWidth="1"/>
    <col min="81" max="81" width="28.6640625" bestFit="1" customWidth="1"/>
    <col min="82" max="82" width="20.6640625" bestFit="1" customWidth="1"/>
    <col min="83" max="83" width="23.6640625" bestFit="1" customWidth="1"/>
    <col min="84" max="84" width="25.5" bestFit="1" customWidth="1"/>
    <col min="85" max="85" width="22.6640625" bestFit="1" customWidth="1"/>
    <col min="86" max="86" width="21.1640625" bestFit="1" customWidth="1"/>
    <col min="87" max="87" width="27.5" bestFit="1" customWidth="1"/>
    <col min="88" max="88" width="21.5" bestFit="1" customWidth="1"/>
    <col min="89" max="89" width="19.1640625" bestFit="1" customWidth="1"/>
    <col min="90" max="90" width="27.6640625" bestFit="1" customWidth="1"/>
  </cols>
  <sheetData>
    <row r="2" spans="1:10" ht="19">
      <c r="G2" s="83" t="s">
        <v>196</v>
      </c>
      <c r="H2" s="111" t="str">
        <f>'P&amp;L Model'!$K$2</f>
        <v>Base Case</v>
      </c>
    </row>
    <row r="3" spans="1:10">
      <c r="B3" s="310" t="s">
        <v>156</v>
      </c>
    </row>
    <row r="4" spans="1:10">
      <c r="A4" s="310" t="s">
        <v>169</v>
      </c>
      <c r="B4" s="172">
        <v>2019</v>
      </c>
      <c r="C4" s="172">
        <v>2020</v>
      </c>
      <c r="D4" s="172">
        <v>2021</v>
      </c>
      <c r="E4" s="172">
        <v>2022</v>
      </c>
      <c r="F4" s="172">
        <v>2023</v>
      </c>
      <c r="G4" s="172">
        <v>2024</v>
      </c>
      <c r="H4" s="172">
        <v>2025</v>
      </c>
      <c r="I4" s="172">
        <v>2026</v>
      </c>
      <c r="J4" s="172" t="s">
        <v>157</v>
      </c>
    </row>
    <row r="5" spans="1:10">
      <c r="A5" s="291" t="s">
        <v>159</v>
      </c>
      <c r="B5" s="308">
        <v>98115</v>
      </c>
      <c r="C5" s="308">
        <v>104062</v>
      </c>
      <c r="D5" s="308">
        <v>148951</v>
      </c>
      <c r="E5" s="308">
        <v>183082.79175101101</v>
      </c>
      <c r="F5" s="308">
        <v>221637.79606354653</v>
      </c>
      <c r="G5" s="308">
        <v>275033.29505918868</v>
      </c>
      <c r="H5" s="308">
        <v>342965.93661145162</v>
      </c>
      <c r="I5" s="308">
        <v>426211.22385980107</v>
      </c>
      <c r="J5" s="308">
        <v>1800059.0433449992</v>
      </c>
    </row>
    <row r="6" spans="1:10">
      <c r="A6" s="291" t="s">
        <v>160</v>
      </c>
      <c r="B6" s="308">
        <v>15149</v>
      </c>
      <c r="C6" s="308">
        <v>19772</v>
      </c>
      <c r="D6" s="308">
        <v>28845</v>
      </c>
      <c r="E6" s="308">
        <v>32754.386901851929</v>
      </c>
      <c r="F6" s="308">
        <v>41551.708928777007</v>
      </c>
      <c r="G6" s="308">
        <v>51334.487723690712</v>
      </c>
      <c r="H6" s="308">
        <v>63216.867359837648</v>
      </c>
      <c r="I6" s="308">
        <v>79337.811292848142</v>
      </c>
      <c r="J6" s="308">
        <v>331961.26220700546</v>
      </c>
    </row>
    <row r="7" spans="1:10">
      <c r="A7" s="291" t="s">
        <v>161</v>
      </c>
      <c r="B7" s="308">
        <v>21547</v>
      </c>
      <c r="C7" s="308">
        <v>23090</v>
      </c>
      <c r="D7" s="308">
        <v>31701</v>
      </c>
      <c r="E7" s="308">
        <v>39933.109812470298</v>
      </c>
      <c r="F7" s="308">
        <v>48226.669831535452</v>
      </c>
      <c r="G7" s="308">
        <v>59458.242450845974</v>
      </c>
      <c r="H7" s="308">
        <v>74526.28159632835</v>
      </c>
      <c r="I7" s="308">
        <v>92498.506234288507</v>
      </c>
      <c r="J7" s="308">
        <v>390980.80992546858</v>
      </c>
    </row>
    <row r="8" spans="1:10">
      <c r="A8" s="291" t="s">
        <v>162</v>
      </c>
      <c r="B8" s="308">
        <v>134811</v>
      </c>
      <c r="C8" s="308">
        <v>146924</v>
      </c>
      <c r="D8" s="308">
        <v>209497</v>
      </c>
      <c r="E8" s="308">
        <v>255770.28846533326</v>
      </c>
      <c r="F8" s="308">
        <v>311416.17482385901</v>
      </c>
      <c r="G8" s="308">
        <v>385826.02523372538</v>
      </c>
      <c r="H8" s="308">
        <v>480709.08556761773</v>
      </c>
      <c r="I8" s="308">
        <v>598047.54138693784</v>
      </c>
      <c r="J8" s="308">
        <v>2523001.1154774735</v>
      </c>
    </row>
    <row r="9" spans="1:10">
      <c r="A9" s="291" t="s">
        <v>168</v>
      </c>
      <c r="B9" s="308">
        <v>161857</v>
      </c>
      <c r="C9" s="308">
        <v>182527</v>
      </c>
      <c r="D9" s="308">
        <v>257637</v>
      </c>
      <c r="E9" s="308">
        <v>313061.125</v>
      </c>
      <c r="F9" s="308">
        <v>383660.80912211793</v>
      </c>
      <c r="G9" s="308">
        <v>474018.32246485417</v>
      </c>
      <c r="H9" s="308">
        <v>590396.48350335471</v>
      </c>
      <c r="I9" s="308">
        <v>735347.11890587595</v>
      </c>
      <c r="J9" s="308">
        <v>3098504.8589962027</v>
      </c>
    </row>
    <row r="10" spans="1:10">
      <c r="A10" s="291" t="s">
        <v>163</v>
      </c>
      <c r="B10" s="308">
        <v>17014</v>
      </c>
      <c r="C10" s="308">
        <v>21711</v>
      </c>
      <c r="D10" s="308">
        <v>28032</v>
      </c>
      <c r="E10" s="308">
        <v>34736.063827160411</v>
      </c>
      <c r="F10" s="308">
        <v>43316.226792870242</v>
      </c>
      <c r="G10" s="308">
        <v>52562.757435734951</v>
      </c>
      <c r="H10" s="308">
        <v>65877.655850644689</v>
      </c>
      <c r="I10" s="308">
        <v>82204.961489774345</v>
      </c>
      <c r="J10" s="308">
        <v>345454.66539618466</v>
      </c>
    </row>
    <row r="11" spans="1:10">
      <c r="A11" s="291" t="s">
        <v>164</v>
      </c>
      <c r="B11" s="308">
        <v>151825</v>
      </c>
      <c r="C11" s="308">
        <v>168635</v>
      </c>
      <c r="D11" s="308">
        <v>237529</v>
      </c>
      <c r="E11" s="308">
        <v>290506.35229249363</v>
      </c>
      <c r="F11" s="308">
        <v>354732.40161672927</v>
      </c>
      <c r="G11" s="308">
        <v>438388.78266946034</v>
      </c>
      <c r="H11" s="308">
        <v>546586.74141826236</v>
      </c>
      <c r="I11" s="308">
        <v>680252.50287671213</v>
      </c>
      <c r="J11" s="308">
        <v>2868455.7808736577</v>
      </c>
    </row>
    <row r="12" spans="1:10">
      <c r="A12" s="291" t="s">
        <v>165</v>
      </c>
      <c r="B12" s="308">
        <v>8918</v>
      </c>
      <c r="C12" s="308">
        <v>13059</v>
      </c>
      <c r="D12" s="308">
        <v>19206</v>
      </c>
      <c r="E12" s="308">
        <v>20994.958496310421</v>
      </c>
      <c r="F12" s="308">
        <v>27259.838858961655</v>
      </c>
      <c r="G12" s="308">
        <v>33601.913570930228</v>
      </c>
      <c r="H12" s="308">
        <v>41131.495322628762</v>
      </c>
      <c r="I12" s="308">
        <v>51868.169661339969</v>
      </c>
      <c r="J12" s="308">
        <v>216039.37591017102</v>
      </c>
    </row>
    <row r="13" spans="1:10">
      <c r="A13" s="291" t="s">
        <v>166</v>
      </c>
      <c r="B13" s="308">
        <v>659</v>
      </c>
      <c r="C13" s="308">
        <v>657</v>
      </c>
      <c r="D13" s="308">
        <v>753</v>
      </c>
      <c r="E13" s="308">
        <v>1105.4897439102122</v>
      </c>
      <c r="F13" s="308">
        <v>1285.6999114179346</v>
      </c>
      <c r="G13" s="308">
        <v>1549.2625718123898</v>
      </c>
      <c r="H13" s="308">
        <v>1997.6504971380502</v>
      </c>
      <c r="I13" s="308">
        <v>2451.9099511271056</v>
      </c>
      <c r="J13" s="308">
        <v>10459.012675405693</v>
      </c>
    </row>
    <row r="14" spans="1:10">
      <c r="A14" s="291" t="s">
        <v>167</v>
      </c>
      <c r="B14" s="308">
        <v>455</v>
      </c>
      <c r="C14" s="308">
        <v>176</v>
      </c>
      <c r="D14" s="308">
        <v>149</v>
      </c>
      <c r="E14" s="308">
        <v>454.32446728571301</v>
      </c>
      <c r="F14" s="308">
        <v>382.8687350090907</v>
      </c>
      <c r="G14" s="308">
        <v>478.36365265124203</v>
      </c>
      <c r="H14" s="308">
        <v>680.59626532552716</v>
      </c>
      <c r="I14" s="308">
        <v>774.53641669671413</v>
      </c>
      <c r="J14" s="308">
        <v>3550.6895369682875</v>
      </c>
    </row>
    <row r="15" spans="1:10">
      <c r="A15" s="291" t="s">
        <v>170</v>
      </c>
      <c r="B15" s="308">
        <v>161857</v>
      </c>
      <c r="C15" s="308">
        <v>182527</v>
      </c>
      <c r="D15" s="308">
        <v>257637</v>
      </c>
      <c r="E15" s="308">
        <v>313061.125</v>
      </c>
      <c r="F15" s="308">
        <v>383660.80912211793</v>
      </c>
      <c r="G15" s="308">
        <v>474018.32246485417</v>
      </c>
      <c r="H15" s="308">
        <v>590396.48350335471</v>
      </c>
      <c r="I15" s="308">
        <v>735347.11890587595</v>
      </c>
      <c r="J15" s="308">
        <v>3098504.8589962027</v>
      </c>
    </row>
    <row r="19" spans="1:10">
      <c r="B19" s="310" t="s">
        <v>156</v>
      </c>
    </row>
    <row r="20" spans="1:10">
      <c r="A20" s="310" t="s">
        <v>169</v>
      </c>
      <c r="B20">
        <v>2019</v>
      </c>
      <c r="C20">
        <v>2020</v>
      </c>
      <c r="D20">
        <v>2021</v>
      </c>
      <c r="E20">
        <v>2022</v>
      </c>
      <c r="F20">
        <v>2023</v>
      </c>
      <c r="G20">
        <v>2024</v>
      </c>
      <c r="H20">
        <v>2025</v>
      </c>
      <c r="I20">
        <v>2026</v>
      </c>
      <c r="J20" t="s">
        <v>157</v>
      </c>
    </row>
    <row r="21" spans="1:10">
      <c r="A21" s="291" t="s">
        <v>170</v>
      </c>
      <c r="B21" s="308">
        <v>161857</v>
      </c>
      <c r="C21" s="308">
        <v>182527</v>
      </c>
      <c r="D21" s="308">
        <v>257637</v>
      </c>
      <c r="E21" s="308">
        <v>313061.125</v>
      </c>
      <c r="F21" s="308">
        <v>383660.80912211793</v>
      </c>
      <c r="G21" s="308">
        <v>474018.32246485417</v>
      </c>
      <c r="H21" s="308">
        <v>590396.48350335471</v>
      </c>
      <c r="I21" s="308">
        <v>735347.11890587595</v>
      </c>
      <c r="J21" s="308">
        <v>3098504.8589962027</v>
      </c>
    </row>
    <row r="22" spans="1:10">
      <c r="A22" s="291" t="s">
        <v>171</v>
      </c>
      <c r="B22" s="308">
        <v>71896</v>
      </c>
      <c r="C22" s="308">
        <v>84732</v>
      </c>
      <c r="D22" s="308">
        <v>110939</v>
      </c>
      <c r="E22" s="308">
        <v>134437.30578687892</v>
      </c>
      <c r="F22" s="308">
        <v>160918.19982174327</v>
      </c>
      <c r="G22" s="308">
        <v>194076.5145457194</v>
      </c>
      <c r="H22" s="308">
        <v>235821.06200056101</v>
      </c>
      <c r="I22" s="308">
        <v>293718.44745828531</v>
      </c>
      <c r="J22" s="308">
        <v>1286538.529613188</v>
      </c>
    </row>
    <row r="23" spans="1:10">
      <c r="A23" s="291" t="s">
        <v>172</v>
      </c>
      <c r="B23" s="308">
        <v>89961</v>
      </c>
      <c r="C23" s="308">
        <v>97795</v>
      </c>
      <c r="D23" s="308">
        <v>146698</v>
      </c>
      <c r="E23" s="308">
        <v>178623.81921312108</v>
      </c>
      <c r="F23" s="308">
        <v>222742.60930037466</v>
      </c>
      <c r="G23" s="308">
        <v>279941.80791913474</v>
      </c>
      <c r="H23" s="308">
        <v>354575.42150279367</v>
      </c>
      <c r="I23" s="308">
        <v>441628.67144759063</v>
      </c>
      <c r="J23" s="308">
        <v>1811966.3293830149</v>
      </c>
    </row>
    <row r="24" spans="1:10">
      <c r="A24" s="291" t="s">
        <v>174</v>
      </c>
      <c r="B24" s="308">
        <v>46012</v>
      </c>
      <c r="C24" s="308">
        <v>54921</v>
      </c>
      <c r="D24" s="308">
        <v>91155</v>
      </c>
      <c r="E24" s="308">
        <v>69896.92590513188</v>
      </c>
      <c r="F24" s="308">
        <v>103987.14331151491</v>
      </c>
      <c r="G24" s="308">
        <v>139156.46345008462</v>
      </c>
      <c r="H24" s="308">
        <v>186791.75367222319</v>
      </c>
      <c r="I24" s="308">
        <v>235599.43688610033</v>
      </c>
      <c r="J24" s="308">
        <v>927519.72322505491</v>
      </c>
    </row>
    <row r="25" spans="1:10">
      <c r="A25" s="291" t="s">
        <v>175</v>
      </c>
      <c r="B25" s="308">
        <v>34231</v>
      </c>
      <c r="C25" s="308">
        <v>41224</v>
      </c>
      <c r="D25" s="308">
        <v>78714</v>
      </c>
      <c r="E25" s="308">
        <v>49431.463110523851</v>
      </c>
      <c r="F25" s="308">
        <v>79854.632465666713</v>
      </c>
      <c r="G25" s="308">
        <v>111258.65049768724</v>
      </c>
      <c r="H25" s="308">
        <v>149965.45610027562</v>
      </c>
      <c r="I25" s="308">
        <v>190466.27004058685</v>
      </c>
      <c r="J25" s="308">
        <v>735145.47221474024</v>
      </c>
    </row>
    <row r="26" spans="1:10">
      <c r="A26" s="291" t="s">
        <v>176</v>
      </c>
      <c r="B26" s="308">
        <v>34343</v>
      </c>
      <c r="C26" s="308">
        <v>40269</v>
      </c>
      <c r="D26" s="308">
        <v>76033</v>
      </c>
      <c r="E26" s="308">
        <v>56413.997988307041</v>
      </c>
      <c r="F26" s="308">
        <v>75861.382235391691</v>
      </c>
      <c r="G26" s="308">
        <v>103454.96321077083</v>
      </c>
      <c r="H26" s="308">
        <v>137271.51988589799</v>
      </c>
      <c r="I26" s="308">
        <v>171328.24925698197</v>
      </c>
      <c r="J26" s="308">
        <v>694975.11257734953</v>
      </c>
    </row>
    <row r="27" spans="1:10">
      <c r="A27" s="291" t="s">
        <v>177</v>
      </c>
      <c r="B27" s="308">
        <v>18521</v>
      </c>
      <c r="C27" s="308">
        <v>26464</v>
      </c>
      <c r="D27" s="308">
        <v>21231</v>
      </c>
      <c r="E27" s="308">
        <v>24825.966424632636</v>
      </c>
      <c r="F27" s="308">
        <v>29262.185100577488</v>
      </c>
      <c r="G27" s="308">
        <v>29694.271131524518</v>
      </c>
      <c r="H27" s="308">
        <v>34409.114129838628</v>
      </c>
      <c r="I27" s="308">
        <v>34409.114129838628</v>
      </c>
      <c r="J27" s="308">
        <v>218816.65091641189</v>
      </c>
    </row>
    <row r="28" spans="1:10">
      <c r="A28" s="291" t="s">
        <v>178</v>
      </c>
      <c r="B28" s="308">
        <v>30972</v>
      </c>
      <c r="C28" s="308">
        <v>42843</v>
      </c>
      <c r="D28" s="308">
        <v>67012</v>
      </c>
      <c r="E28" s="308">
        <v>71605.211270905682</v>
      </c>
      <c r="F28" s="308">
        <v>92532.56804204268</v>
      </c>
      <c r="G28" s="308">
        <v>115346.29711996141</v>
      </c>
      <c r="H28" s="308">
        <v>140366.06663005354</v>
      </c>
      <c r="I28" s="308">
        <v>177039.54957473255</v>
      </c>
      <c r="J28" s="308">
        <v>737716.69263769581</v>
      </c>
    </row>
    <row r="33" spans="1:18">
      <c r="A33" s="310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168</v>
      </c>
    </row>
    <row r="34" spans="1:18">
      <c r="A34" s="311">
        <v>2019</v>
      </c>
      <c r="B34" s="308">
        <v>98115</v>
      </c>
      <c r="C34" s="308">
        <v>15149</v>
      </c>
      <c r="D34" s="308">
        <v>21547</v>
      </c>
      <c r="E34" s="308">
        <v>134811</v>
      </c>
      <c r="F34" s="308">
        <v>17014</v>
      </c>
      <c r="G34" s="308">
        <v>151825</v>
      </c>
      <c r="H34" s="308">
        <v>8918</v>
      </c>
      <c r="I34" s="308">
        <v>659</v>
      </c>
      <c r="J34" s="308">
        <v>455</v>
      </c>
      <c r="K34" s="308">
        <v>161857</v>
      </c>
    </row>
    <row r="35" spans="1:18">
      <c r="A35" s="311">
        <v>2020</v>
      </c>
      <c r="B35" s="308">
        <v>104062</v>
      </c>
      <c r="C35" s="308">
        <v>19772</v>
      </c>
      <c r="D35" s="308">
        <v>23090</v>
      </c>
      <c r="E35" s="308">
        <v>146924</v>
      </c>
      <c r="F35" s="308">
        <v>21711</v>
      </c>
      <c r="G35" s="308">
        <v>168635</v>
      </c>
      <c r="H35" s="308">
        <v>13059</v>
      </c>
      <c r="I35" s="308">
        <v>657</v>
      </c>
      <c r="J35" s="308">
        <v>176</v>
      </c>
      <c r="K35" s="308">
        <v>182527</v>
      </c>
    </row>
    <row r="36" spans="1:18">
      <c r="A36" s="311">
        <v>2021</v>
      </c>
      <c r="B36" s="308">
        <v>148951</v>
      </c>
      <c r="C36" s="308">
        <v>28845</v>
      </c>
      <c r="D36" s="308">
        <v>31701</v>
      </c>
      <c r="E36" s="308">
        <v>209497</v>
      </c>
      <c r="F36" s="308">
        <v>28032</v>
      </c>
      <c r="G36" s="308">
        <v>237529</v>
      </c>
      <c r="H36" s="308">
        <v>19206</v>
      </c>
      <c r="I36" s="308">
        <v>753</v>
      </c>
      <c r="J36" s="308">
        <v>149</v>
      </c>
      <c r="K36" s="308">
        <v>257637</v>
      </c>
    </row>
    <row r="37" spans="1:18">
      <c r="A37" s="311">
        <v>2022</v>
      </c>
      <c r="B37" s="308">
        <v>183082.79175101101</v>
      </c>
      <c r="C37" s="308">
        <v>32754.386901851929</v>
      </c>
      <c r="D37" s="308">
        <v>39933.109812470298</v>
      </c>
      <c r="E37" s="308">
        <v>255770.28846533326</v>
      </c>
      <c r="F37" s="308">
        <v>34736.063827160411</v>
      </c>
      <c r="G37" s="308">
        <v>290506.35229249363</v>
      </c>
      <c r="H37" s="308">
        <v>20994.958496310421</v>
      </c>
      <c r="I37" s="308">
        <v>1105.4897439102122</v>
      </c>
      <c r="J37" s="308">
        <v>454.32446728571301</v>
      </c>
      <c r="K37" s="308">
        <v>313061.125</v>
      </c>
    </row>
    <row r="38" spans="1:18">
      <c r="A38" s="311">
        <v>2023</v>
      </c>
      <c r="B38" s="308">
        <v>221637.79606354653</v>
      </c>
      <c r="C38" s="308">
        <v>41551.708928777007</v>
      </c>
      <c r="D38" s="308">
        <v>48226.669831535452</v>
      </c>
      <c r="E38" s="308">
        <v>311416.17482385901</v>
      </c>
      <c r="F38" s="308">
        <v>43316.226792870242</v>
      </c>
      <c r="G38" s="308">
        <v>354732.40161672927</v>
      </c>
      <c r="H38" s="308">
        <v>27259.838858961655</v>
      </c>
      <c r="I38" s="308">
        <v>1285.6999114179346</v>
      </c>
      <c r="J38" s="308">
        <v>382.8687350090907</v>
      </c>
      <c r="K38" s="308">
        <v>383660.80912211793</v>
      </c>
    </row>
    <row r="39" spans="1:18">
      <c r="A39" s="311">
        <v>2024</v>
      </c>
      <c r="B39" s="308">
        <v>275033.29505918868</v>
      </c>
      <c r="C39" s="308">
        <v>51334.487723690712</v>
      </c>
      <c r="D39" s="308">
        <v>59458.242450845974</v>
      </c>
      <c r="E39" s="308">
        <v>385826.02523372538</v>
      </c>
      <c r="F39" s="308">
        <v>52562.757435734951</v>
      </c>
      <c r="G39" s="308">
        <v>438388.78266946034</v>
      </c>
      <c r="H39" s="308">
        <v>33601.913570930228</v>
      </c>
      <c r="I39" s="308">
        <v>1549.2625718123898</v>
      </c>
      <c r="J39" s="308">
        <v>478.36365265124203</v>
      </c>
      <c r="K39" s="308">
        <v>474018.32246485417</v>
      </c>
    </row>
    <row r="40" spans="1:18">
      <c r="A40" s="311">
        <v>2025</v>
      </c>
      <c r="B40" s="308">
        <v>342965.93661145162</v>
      </c>
      <c r="C40" s="308">
        <v>63216.867359837648</v>
      </c>
      <c r="D40" s="308">
        <v>74526.28159632835</v>
      </c>
      <c r="E40" s="308">
        <v>480709.08556761773</v>
      </c>
      <c r="F40" s="308">
        <v>65877.655850644689</v>
      </c>
      <c r="G40" s="308">
        <v>546586.74141826236</v>
      </c>
      <c r="H40" s="308">
        <v>41131.495322628762</v>
      </c>
      <c r="I40" s="308">
        <v>1997.6504971380502</v>
      </c>
      <c r="J40" s="308">
        <v>680.59626532552716</v>
      </c>
      <c r="K40" s="308">
        <v>590396.48350335471</v>
      </c>
    </row>
    <row r="41" spans="1:18">
      <c r="A41" s="311">
        <v>2026</v>
      </c>
      <c r="B41" s="308">
        <v>426211.22385980107</v>
      </c>
      <c r="C41" s="308">
        <v>79337.811292848142</v>
      </c>
      <c r="D41" s="308">
        <v>92498.506234288507</v>
      </c>
      <c r="E41" s="308">
        <v>598047.54138693784</v>
      </c>
      <c r="F41" s="308">
        <v>82204.961489774345</v>
      </c>
      <c r="G41" s="308">
        <v>680252.50287671213</v>
      </c>
      <c r="H41" s="308">
        <v>51868.169661339969</v>
      </c>
      <c r="I41" s="308">
        <v>2451.9099511271056</v>
      </c>
      <c r="J41" s="308">
        <v>774.53641669671413</v>
      </c>
      <c r="K41" s="308">
        <v>735347.11890587595</v>
      </c>
    </row>
    <row r="42" spans="1:18">
      <c r="A42" s="311" t="s">
        <v>157</v>
      </c>
      <c r="B42" s="308">
        <v>1800059.0433449992</v>
      </c>
      <c r="C42" s="308">
        <v>331961.26220700546</v>
      </c>
      <c r="D42" s="308">
        <v>390980.80992546858</v>
      </c>
      <c r="E42" s="308">
        <v>2523001.1154774735</v>
      </c>
      <c r="F42" s="308">
        <v>345454.66539618466</v>
      </c>
      <c r="G42" s="308">
        <v>2868455.7808736577</v>
      </c>
      <c r="H42" s="308">
        <v>216039.37591017102</v>
      </c>
      <c r="I42" s="308">
        <v>10459.012675405693</v>
      </c>
      <c r="J42" s="308">
        <v>3550.6895369682875</v>
      </c>
      <c r="K42" s="308">
        <v>3098504.8589962027</v>
      </c>
    </row>
    <row r="46" spans="1:18">
      <c r="B46" t="str">
        <f>"Contribution of "&amp;$D$48&amp;" to Revenue and Net Income "</f>
        <v xml:space="preserve">Contribution of Sum of Google Cloud to Revenue and Net Income </v>
      </c>
      <c r="H46" s="334"/>
      <c r="I46" t="str">
        <f>"Revenue Breakdown for "&amp;$H$49&amp;" by sector "</f>
        <v xml:space="preserve">Revenue Breakdown for 2026 by sector </v>
      </c>
    </row>
    <row r="47" spans="1:18">
      <c r="H47" s="333"/>
      <c r="I47" s="333"/>
    </row>
    <row r="48" spans="1:18">
      <c r="A48" s="309" t="s">
        <v>158</v>
      </c>
      <c r="B48" s="309" t="s">
        <v>168</v>
      </c>
      <c r="C48" s="309" t="s">
        <v>176</v>
      </c>
      <c r="D48" t="str">
        <f>Dashboard!R12</f>
        <v>Sum of Google Cloud</v>
      </c>
      <c r="H48" s="309" t="s">
        <v>158</v>
      </c>
      <c r="I48" s="309" t="s">
        <v>159</v>
      </c>
      <c r="J48" s="309" t="s">
        <v>160</v>
      </c>
      <c r="K48" s="309" t="s">
        <v>161</v>
      </c>
      <c r="L48" s="309" t="s">
        <v>162</v>
      </c>
      <c r="M48" s="309" t="s">
        <v>163</v>
      </c>
      <c r="N48" s="309" t="s">
        <v>164</v>
      </c>
      <c r="O48" s="309" t="s">
        <v>165</v>
      </c>
      <c r="P48" s="309" t="s">
        <v>166</v>
      </c>
      <c r="Q48" s="309" t="s">
        <v>167</v>
      </c>
      <c r="R48" s="309" t="s">
        <v>168</v>
      </c>
    </row>
    <row r="49" spans="1:18">
      <c r="A49" s="311">
        <v>2019</v>
      </c>
      <c r="B49" s="308">
        <v>161857</v>
      </c>
      <c r="C49" s="308">
        <v>34343</v>
      </c>
      <c r="D49">
        <f>INDEX($B$34:$J$41,MATCH($A48,$A$33:$A$42,0),MATCH($D$48,$B$33:$J$33,0))</f>
        <v>8918</v>
      </c>
      <c r="H49" s="311">
        <f>Dashboard!R16</f>
        <v>2026</v>
      </c>
      <c r="I49" s="308">
        <f>VLOOKUP($H$49,$A$33:$K$42,2,0)</f>
        <v>426211.22385980107</v>
      </c>
      <c r="J49" s="308">
        <f>VLOOKUP($H$49,$A$33:$K$42,3,0)</f>
        <v>79337.811292848142</v>
      </c>
      <c r="K49" s="308">
        <f>VLOOKUP($H$49,$A$33:$K$42,4,0)</f>
        <v>92498.506234288507</v>
      </c>
      <c r="L49" s="308">
        <f>VLOOKUP($H$49,$A$33:$K$42,5,0)</f>
        <v>598047.54138693784</v>
      </c>
      <c r="M49" s="308">
        <f>VLOOKUP($H$49,$A$33:$K$42,6,0)</f>
        <v>82204.961489774345</v>
      </c>
      <c r="N49" s="308">
        <f>VLOOKUP($H$49,$A$33:$K$42,7,0)</f>
        <v>680252.50287671213</v>
      </c>
      <c r="O49" s="308">
        <f>VLOOKUP($H$49,$A$33:$K$42,8,0)</f>
        <v>51868.169661339969</v>
      </c>
      <c r="P49" s="308">
        <f>VLOOKUP($H$49,$A$33:$K$42,9,0)</f>
        <v>2451.9099511271056</v>
      </c>
      <c r="Q49" s="308">
        <f>VLOOKUP($H$49,$A$33:$K$42,10,0)</f>
        <v>774.53641669671413</v>
      </c>
      <c r="R49" s="308">
        <f>VLOOKUP($H$49,$A$33:$K$42,11,0)</f>
        <v>735347.11890587595</v>
      </c>
    </row>
    <row r="50" spans="1:18">
      <c r="A50" s="311">
        <v>2020</v>
      </c>
      <c r="B50" s="308">
        <v>182527</v>
      </c>
      <c r="C50" s="308">
        <v>40269</v>
      </c>
      <c r="D50">
        <f>INDEX($B$34:$J$41,MATCH($A49,$A$33:$A$42,0),MATCH($D$48,$B$33:$J$33,0))</f>
        <v>13059</v>
      </c>
      <c r="H50" s="311"/>
      <c r="I50" s="308"/>
      <c r="J50" s="308"/>
      <c r="K50" s="308"/>
      <c r="L50" s="308"/>
      <c r="M50" s="308"/>
      <c r="N50" s="308"/>
      <c r="O50" s="308"/>
      <c r="P50" s="308"/>
      <c r="Q50" s="308"/>
      <c r="R50" s="183"/>
    </row>
    <row r="51" spans="1:18">
      <c r="A51" s="311">
        <v>2021</v>
      </c>
      <c r="B51" s="308">
        <v>257637</v>
      </c>
      <c r="C51" s="308">
        <v>76033</v>
      </c>
      <c r="D51">
        <f>INDEX($B$34:$J$41,MATCH($A50,$A$33:$A$42,0),MATCH($D$48,$B$33:$J$33,0))</f>
        <v>19206</v>
      </c>
      <c r="H51" s="311"/>
      <c r="I51" s="308"/>
      <c r="J51" s="308"/>
      <c r="K51" s="308"/>
      <c r="L51" s="308"/>
      <c r="M51" s="308"/>
      <c r="N51" s="308"/>
      <c r="O51" s="308"/>
      <c r="P51" s="308"/>
      <c r="Q51" s="308"/>
      <c r="R51" s="183"/>
    </row>
    <row r="52" spans="1:18">
      <c r="A52" s="311">
        <v>2022</v>
      </c>
      <c r="B52" s="308">
        <v>313061.125</v>
      </c>
      <c r="C52" s="308">
        <v>56413.997988307041</v>
      </c>
      <c r="D52">
        <f>INDEX($B$34:$J$41,MATCH($A51,$A$33:$A$42,0),MATCH($D$48,$B$33:$J$33,0))</f>
        <v>20994.958496310421</v>
      </c>
      <c r="H52" s="311"/>
      <c r="I52" s="308"/>
      <c r="J52" s="308"/>
      <c r="K52" s="308"/>
      <c r="L52" s="308"/>
      <c r="M52" s="308"/>
      <c r="N52" s="308"/>
      <c r="O52" s="308"/>
      <c r="P52" s="308"/>
      <c r="Q52" s="308"/>
      <c r="R52" s="183"/>
    </row>
    <row r="53" spans="1:18">
      <c r="A53" s="311">
        <v>2023</v>
      </c>
      <c r="B53" s="308">
        <v>383660.80912211793</v>
      </c>
      <c r="C53" s="308">
        <v>75861.382235391691</v>
      </c>
      <c r="D53">
        <f>INDEX($B$34:$J$41,MATCH($A52,$A$33:$A$42,0),MATCH($D$48,$B$33:$J$33,0))</f>
        <v>27259.838858961655</v>
      </c>
      <c r="H53" s="311"/>
      <c r="I53" s="308"/>
      <c r="J53" s="308"/>
      <c r="K53" s="308"/>
      <c r="L53" s="308"/>
      <c r="M53" s="308"/>
      <c r="N53" s="308"/>
      <c r="O53" s="308"/>
      <c r="P53" s="308"/>
      <c r="Q53" s="308"/>
      <c r="R53" s="183"/>
    </row>
    <row r="54" spans="1:18">
      <c r="A54" s="311">
        <v>2024</v>
      </c>
      <c r="B54" s="308">
        <v>474018.32246485417</v>
      </c>
      <c r="C54" s="308">
        <v>103454.96321077083</v>
      </c>
      <c r="D54">
        <f>INDEX($B$34:$J$41,MATCH($A53,$A$33:$A$42,0),MATCH($D$48,$B$33:$J$33,0))</f>
        <v>33601.913570930228</v>
      </c>
      <c r="H54" s="311"/>
      <c r="I54" s="308"/>
      <c r="J54" s="308"/>
      <c r="K54" s="308"/>
      <c r="L54" s="308"/>
      <c r="M54" s="308"/>
      <c r="N54" s="308"/>
      <c r="O54" s="308"/>
      <c r="P54" s="308"/>
      <c r="Q54" s="308"/>
      <c r="R54" s="183"/>
    </row>
    <row r="55" spans="1:18">
      <c r="A55" s="311">
        <v>2025</v>
      </c>
      <c r="B55" s="308">
        <v>590396.48350335471</v>
      </c>
      <c r="C55" s="308">
        <v>137271.51988589799</v>
      </c>
      <c r="D55">
        <f>INDEX($B$34:$J$41,MATCH($A54,$A$33:$A$42,0),MATCH($D$48,$B$33:$J$33,0))</f>
        <v>41131.495322628762</v>
      </c>
      <c r="H55" s="311"/>
      <c r="I55" s="308"/>
      <c r="J55" s="308"/>
      <c r="K55" s="308"/>
      <c r="L55" s="308" t="str">
        <f>"COGS as a Percent of Revenue in  "&amp;$L$58&amp;" "</f>
        <v xml:space="preserve">COGS as a Percent of Revenue in  2025 </v>
      </c>
      <c r="M55" s="308"/>
      <c r="N55" s="308"/>
      <c r="O55" s="308"/>
      <c r="P55" s="308"/>
      <c r="Q55" s="308"/>
      <c r="R55" s="183"/>
    </row>
    <row r="56" spans="1:18">
      <c r="A56" s="311">
        <v>2026</v>
      </c>
      <c r="B56" s="308">
        <v>735347.11890587595</v>
      </c>
      <c r="C56" s="308">
        <v>171328.24925698197</v>
      </c>
      <c r="D56">
        <f>INDEX($B$34:$J$41,MATCH($A55,$A$33:$A$42,0),MATCH($D$48,$B$33:$J$33,0))</f>
        <v>51868.169661339969</v>
      </c>
      <c r="H56" s="311"/>
      <c r="I56" s="308"/>
      <c r="J56" s="308"/>
      <c r="K56" s="308"/>
      <c r="L56" s="308"/>
      <c r="M56" s="308"/>
      <c r="N56" s="308"/>
      <c r="O56" s="308"/>
      <c r="P56" s="308"/>
      <c r="Q56" s="308"/>
      <c r="R56" s="183"/>
    </row>
    <row r="57" spans="1:18">
      <c r="A57" s="330" t="s">
        <v>157</v>
      </c>
      <c r="B57" s="331">
        <v>3098504.8589962027</v>
      </c>
      <c r="C57" s="331">
        <v>694975.11257734953</v>
      </c>
      <c r="D57">
        <f>INDEX($B$34:$J$42,MATCH($A56,$A$33:$A$42,0),MATCH($D$48,$B$33:$J$33,0))</f>
        <v>216039.37591017102</v>
      </c>
      <c r="G57" s="309" t="s">
        <v>158</v>
      </c>
      <c r="H57" s="309" t="s">
        <v>171</v>
      </c>
      <c r="I57" s="309" t="s">
        <v>170</v>
      </c>
      <c r="J57" s="335" t="s">
        <v>192</v>
      </c>
      <c r="L57" s="309" t="s">
        <v>158</v>
      </c>
      <c r="M57" s="309" t="s">
        <v>171</v>
      </c>
      <c r="N57" s="309" t="s">
        <v>170</v>
      </c>
      <c r="O57" s="335" t="s">
        <v>192</v>
      </c>
    </row>
    <row r="58" spans="1:18">
      <c r="G58" s="291">
        <v>2019</v>
      </c>
      <c r="H58" s="308">
        <v>71896</v>
      </c>
      <c r="I58" s="308">
        <v>161857</v>
      </c>
      <c r="J58" s="296">
        <f>H58/I58</f>
        <v>0.44419456680897335</v>
      </c>
      <c r="L58" s="291">
        <f>Dashboard!R19</f>
        <v>2025</v>
      </c>
      <c r="M58" s="308">
        <f>VLOOKUP($L$58,$G57:$J$65,2,0)</f>
        <v>235821.06200056101</v>
      </c>
      <c r="N58" s="308">
        <f>VLOOKUP($L$58,$G57:$J$65,3,0)</f>
        <v>590396.48350335471</v>
      </c>
      <c r="O58" s="8">
        <f>VLOOKUP($L$58,$G57:$J$65,4,0)</f>
        <v>0.39942829706779759</v>
      </c>
    </row>
    <row r="59" spans="1:18">
      <c r="G59" s="291">
        <v>2020</v>
      </c>
      <c r="H59" s="308">
        <v>84732</v>
      </c>
      <c r="I59" s="308">
        <v>182527</v>
      </c>
      <c r="J59" s="296">
        <f t="shared" ref="J59:J65" si="0">H59/I59</f>
        <v>0.46421625293792151</v>
      </c>
    </row>
    <row r="60" spans="1:18">
      <c r="G60" s="291">
        <v>2021</v>
      </c>
      <c r="H60" s="308">
        <v>110939</v>
      </c>
      <c r="I60" s="308">
        <v>257637</v>
      </c>
      <c r="J60" s="296">
        <f t="shared" si="0"/>
        <v>0.43060197099019165</v>
      </c>
    </row>
    <row r="61" spans="1:18">
      <c r="G61" s="291">
        <v>2022</v>
      </c>
      <c r="H61" s="308">
        <v>134437.30578687892</v>
      </c>
      <c r="I61" s="308">
        <v>313061.125</v>
      </c>
      <c r="J61" s="296">
        <f t="shared" si="0"/>
        <v>0.42942829706779762</v>
      </c>
    </row>
    <row r="62" spans="1:18">
      <c r="G62" s="291">
        <v>2023</v>
      </c>
      <c r="H62" s="308">
        <v>160918.19982174327</v>
      </c>
      <c r="I62" s="308">
        <v>383660.80912211793</v>
      </c>
      <c r="J62" s="296">
        <f t="shared" si="0"/>
        <v>0.41942829706779761</v>
      </c>
    </row>
    <row r="63" spans="1:18">
      <c r="G63" s="291">
        <v>2024</v>
      </c>
      <c r="H63" s="308">
        <v>194076.5145457194</v>
      </c>
      <c r="I63" s="308">
        <v>474018.32246485417</v>
      </c>
      <c r="J63" s="296">
        <f t="shared" si="0"/>
        <v>0.40942829706779765</v>
      </c>
    </row>
    <row r="64" spans="1:18">
      <c r="G64" s="291">
        <v>2025</v>
      </c>
      <c r="H64" s="308">
        <v>235821.06200056101</v>
      </c>
      <c r="I64" s="308">
        <v>590396.48350335471</v>
      </c>
      <c r="J64" s="296">
        <f t="shared" si="0"/>
        <v>0.39942829706779759</v>
      </c>
    </row>
    <row r="65" spans="1:18">
      <c r="G65" s="291">
        <v>2026</v>
      </c>
      <c r="H65" s="308">
        <v>293718.44745828531</v>
      </c>
      <c r="I65" s="308">
        <v>735347.11890587595</v>
      </c>
      <c r="J65" s="296">
        <f t="shared" si="0"/>
        <v>0.39942829706779759</v>
      </c>
    </row>
    <row r="66" spans="1:18">
      <c r="G66" s="338" t="s">
        <v>157</v>
      </c>
      <c r="H66" s="331">
        <v>1286538.529613188</v>
      </c>
      <c r="I66" s="331">
        <v>3098504.8589962027</v>
      </c>
    </row>
    <row r="69" spans="1:18">
      <c r="A69" s="310" t="s">
        <v>158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 t="s">
        <v>175</v>
      </c>
      <c r="H69" t="s">
        <v>176</v>
      </c>
      <c r="I69" t="s">
        <v>177</v>
      </c>
      <c r="J69" t="s">
        <v>178</v>
      </c>
      <c r="K69" t="s">
        <v>179</v>
      </c>
      <c r="L69" t="s">
        <v>180</v>
      </c>
      <c r="M69" t="s">
        <v>181</v>
      </c>
      <c r="N69" t="s">
        <v>182</v>
      </c>
      <c r="O69" t="s">
        <v>183</v>
      </c>
      <c r="P69" t="s">
        <v>184</v>
      </c>
      <c r="Q69" t="s">
        <v>185</v>
      </c>
      <c r="R69" t="s">
        <v>186</v>
      </c>
    </row>
    <row r="70" spans="1:18">
      <c r="A70" s="291">
        <v>2019</v>
      </c>
      <c r="B70" s="308">
        <v>161857</v>
      </c>
      <c r="C70" s="308">
        <v>71896</v>
      </c>
      <c r="D70" s="308">
        <v>89961</v>
      </c>
      <c r="E70" s="308">
        <v>54033</v>
      </c>
      <c r="F70" s="308">
        <v>46012</v>
      </c>
      <c r="G70" s="308">
        <v>34231</v>
      </c>
      <c r="H70" s="308">
        <v>34343</v>
      </c>
      <c r="I70" s="308">
        <v>18521</v>
      </c>
      <c r="J70" s="308">
        <v>30972</v>
      </c>
      <c r="K70" s="308">
        <v>0.5558054331910266</v>
      </c>
      <c r="L70" s="308">
        <v>0.24481486744471972</v>
      </c>
      <c r="M70" s="308">
        <v>0.33383171565023445</v>
      </c>
      <c r="N70" s="308">
        <v>0.17176879594950756</v>
      </c>
      <c r="O70" s="308">
        <v>3.3519603723933571</v>
      </c>
      <c r="P70" s="308">
        <v>0.58663182426089766</v>
      </c>
      <c r="Q70" s="308">
        <v>0.21218112284300339</v>
      </c>
      <c r="R70" s="308">
        <v>0.17048579740074066</v>
      </c>
    </row>
    <row r="71" spans="1:18">
      <c r="A71" s="291">
        <v>2020</v>
      </c>
      <c r="B71" s="308">
        <v>182527</v>
      </c>
      <c r="C71" s="308">
        <v>84732</v>
      </c>
      <c r="D71" s="308">
        <v>97795</v>
      </c>
      <c r="E71" s="308">
        <v>56571</v>
      </c>
      <c r="F71" s="308">
        <v>54921</v>
      </c>
      <c r="G71" s="308">
        <v>41224</v>
      </c>
      <c r="H71" s="308">
        <v>40269</v>
      </c>
      <c r="I71" s="308">
        <v>26464</v>
      </c>
      <c r="J71" s="308">
        <v>42843</v>
      </c>
      <c r="K71" s="308">
        <v>0.53578374706207854</v>
      </c>
      <c r="L71" s="308">
        <v>0.26342404137470071</v>
      </c>
      <c r="M71" s="308">
        <v>0.30993222920444646</v>
      </c>
      <c r="N71" s="308">
        <v>0.18297295857402715</v>
      </c>
      <c r="O71" s="308">
        <v>3.0539465812717741</v>
      </c>
      <c r="P71" s="308">
        <v>0.61299525628646989</v>
      </c>
      <c r="Q71" s="308">
        <v>0.22061941520980458</v>
      </c>
      <c r="R71" s="308">
        <v>0.18094848659141563</v>
      </c>
    </row>
    <row r="72" spans="1:18">
      <c r="A72" s="291">
        <v>2021</v>
      </c>
      <c r="B72" s="308">
        <v>257637</v>
      </c>
      <c r="C72" s="308">
        <v>110939</v>
      </c>
      <c r="D72" s="308">
        <v>146698</v>
      </c>
      <c r="E72" s="308">
        <v>67984</v>
      </c>
      <c r="F72" s="308">
        <v>91155</v>
      </c>
      <c r="G72" s="308">
        <v>78714</v>
      </c>
      <c r="H72" s="308">
        <v>76033</v>
      </c>
      <c r="I72" s="308">
        <v>21231</v>
      </c>
      <c r="J72" s="308">
        <v>67012</v>
      </c>
      <c r="K72" s="308">
        <v>0.5693980290098084</v>
      </c>
      <c r="L72" s="308">
        <v>0.35217767634307184</v>
      </c>
      <c r="M72" s="308">
        <v>0.26387514215737645</v>
      </c>
      <c r="N72" s="308">
        <v>0.30755828536950791</v>
      </c>
      <c r="O72" s="308">
        <v>2.9099044417468174</v>
      </c>
      <c r="P72" s="308">
        <v>0.75900153781794832</v>
      </c>
      <c r="Q72" s="308">
        <v>0.29511677282377918</v>
      </c>
      <c r="R72" s="308">
        <v>0.30215590041131002</v>
      </c>
    </row>
    <row r="73" spans="1:18">
      <c r="A73" s="291">
        <v>2022</v>
      </c>
      <c r="B73" s="308">
        <v>313061.125</v>
      </c>
      <c r="C73" s="308">
        <v>134437.30578687892</v>
      </c>
      <c r="D73" s="308">
        <v>178623.81921312108</v>
      </c>
      <c r="E73" s="308">
        <v>91584.893307989201</v>
      </c>
      <c r="F73" s="308">
        <v>69896.92590513188</v>
      </c>
      <c r="G73" s="308">
        <v>49431.463110523851</v>
      </c>
      <c r="H73" s="308">
        <v>56413.997988307041</v>
      </c>
      <c r="I73" s="308">
        <v>24825.966424632636</v>
      </c>
      <c r="J73" s="308">
        <v>71605.211270905682</v>
      </c>
      <c r="K73" s="308">
        <v>0.57057170293220238</v>
      </c>
      <c r="L73" s="308">
        <v>0.21265324179271333</v>
      </c>
      <c r="M73" s="308">
        <v>0.29254636233735248</v>
      </c>
      <c r="N73" s="308">
        <v>0.20932381984424661</v>
      </c>
      <c r="O73" s="308">
        <v>2.2035745995967169</v>
      </c>
      <c r="P73" s="308">
        <v>0.81887046563249433</v>
      </c>
      <c r="Q73" s="308">
        <v>0.18020122424432941</v>
      </c>
      <c r="R73" s="308">
        <v>0.20374114493131049</v>
      </c>
    </row>
    <row r="74" spans="1:18">
      <c r="A74" s="291">
        <v>2023</v>
      </c>
      <c r="B74" s="308">
        <v>383660.80912211793</v>
      </c>
      <c r="C74" s="308">
        <v>160918.19982174327</v>
      </c>
      <c r="D74" s="308">
        <v>222742.60930037466</v>
      </c>
      <c r="E74" s="308">
        <v>108401.96598885975</v>
      </c>
      <c r="F74" s="308">
        <v>103987.14331151491</v>
      </c>
      <c r="G74" s="308">
        <v>79854.632465666713</v>
      </c>
      <c r="H74" s="308">
        <v>75861.382235391691</v>
      </c>
      <c r="I74" s="308">
        <v>29262.185100577488</v>
      </c>
      <c r="J74" s="308">
        <v>92532.56804204268</v>
      </c>
      <c r="K74" s="308">
        <v>0.58057170293220239</v>
      </c>
      <c r="L74" s="308">
        <v>0.23512469952841539</v>
      </c>
      <c r="M74" s="308">
        <v>0.28254636233735247</v>
      </c>
      <c r="N74" s="308">
        <v>0.2514608913515613</v>
      </c>
      <c r="O74" s="308">
        <v>1.9786381053031852</v>
      </c>
      <c r="P74" s="308">
        <v>0.8810406583512731</v>
      </c>
      <c r="Q74" s="308">
        <v>0.19773034000781994</v>
      </c>
      <c r="R74" s="308">
        <v>0.23921761165181665</v>
      </c>
    </row>
    <row r="75" spans="1:18">
      <c r="A75" s="291">
        <v>2024</v>
      </c>
      <c r="B75" s="308">
        <v>474018.32246485417</v>
      </c>
      <c r="C75" s="308">
        <v>194076.5145457194</v>
      </c>
      <c r="D75" s="308">
        <v>279941.80791913474</v>
      </c>
      <c r="E75" s="308">
        <v>129191.96946905012</v>
      </c>
      <c r="F75" s="308">
        <v>139156.46345008462</v>
      </c>
      <c r="G75" s="308">
        <v>111258.65049768724</v>
      </c>
      <c r="H75" s="308">
        <v>103454.96321077083</v>
      </c>
      <c r="I75" s="308">
        <v>29694.271131524518</v>
      </c>
      <c r="J75" s="308">
        <v>115346.29711996141</v>
      </c>
      <c r="K75" s="308">
        <v>0.59057170293220229</v>
      </c>
      <c r="L75" s="308">
        <v>0.25917147012138131</v>
      </c>
      <c r="M75" s="308">
        <v>0.27254636233735247</v>
      </c>
      <c r="N75" s="308">
        <v>0.30512489297017098</v>
      </c>
      <c r="O75" s="308">
        <v>1.7848860600872238</v>
      </c>
      <c r="P75" s="308">
        <v>0.95261776657608321</v>
      </c>
      <c r="Q75" s="308">
        <v>0.21825097956723274</v>
      </c>
      <c r="R75" s="308">
        <v>0.28586625611904165</v>
      </c>
    </row>
    <row r="76" spans="1:18">
      <c r="A76" s="291">
        <v>2025</v>
      </c>
      <c r="B76" s="308">
        <v>590396.48350335471</v>
      </c>
      <c r="C76" s="308">
        <v>235821.06200056101</v>
      </c>
      <c r="D76" s="308">
        <v>354575.42150279367</v>
      </c>
      <c r="E76" s="308">
        <v>155006.44908057048</v>
      </c>
      <c r="F76" s="308">
        <v>186791.75367222319</v>
      </c>
      <c r="G76" s="308">
        <v>149965.45610027562</v>
      </c>
      <c r="H76" s="308">
        <v>137271.51988589799</v>
      </c>
      <c r="I76" s="308">
        <v>34409.114129838628</v>
      </c>
      <c r="J76" s="308">
        <v>140366.06663005354</v>
      </c>
      <c r="K76" s="308">
        <v>0.60057170293220241</v>
      </c>
      <c r="L76" s="308">
        <v>0.27564980381417009</v>
      </c>
      <c r="M76" s="308">
        <v>0.26254636233735246</v>
      </c>
      <c r="N76" s="308">
        <v>0.35362959300416058</v>
      </c>
      <c r="O76" s="308">
        <v>1.5442131696817323</v>
      </c>
      <c r="P76" s="308">
        <v>1.0254602361145833</v>
      </c>
      <c r="Q76" s="308">
        <v>0.23250734670935416</v>
      </c>
      <c r="R76" s="308">
        <v>0.32604055729163495</v>
      </c>
    </row>
    <row r="77" spans="1:18">
      <c r="A77" s="291">
        <v>2026</v>
      </c>
      <c r="B77" s="308">
        <v>735347.11890587595</v>
      </c>
      <c r="C77" s="308">
        <v>293718.44745828531</v>
      </c>
      <c r="D77" s="308">
        <v>441628.67144759063</v>
      </c>
      <c r="E77" s="308">
        <v>193062.7111239903</v>
      </c>
      <c r="F77" s="308">
        <v>235599.43688610033</v>
      </c>
      <c r="G77" s="308">
        <v>190466.27004058685</v>
      </c>
      <c r="H77" s="308">
        <v>171328.24925698197</v>
      </c>
      <c r="I77" s="308">
        <v>34409.114129838628</v>
      </c>
      <c r="J77" s="308">
        <v>177039.54957473255</v>
      </c>
      <c r="K77" s="308">
        <v>0.60057170293220241</v>
      </c>
      <c r="L77" s="308">
        <v>0.27664865782132225</v>
      </c>
      <c r="M77" s="308">
        <v>0.26254636233735246</v>
      </c>
      <c r="N77" s="308">
        <v>0.3820692427131212</v>
      </c>
      <c r="O77" s="308">
        <v>1.3905908157401872</v>
      </c>
      <c r="P77" s="308">
        <v>1.0854651832431732</v>
      </c>
      <c r="Q77" s="308">
        <v>0.23298962469847101</v>
      </c>
      <c r="R77" s="308">
        <v>0.34663274981996706</v>
      </c>
    </row>
    <row r="78" spans="1:18">
      <c r="A78" s="291" t="s">
        <v>157</v>
      </c>
      <c r="B78" s="308">
        <v>3098504.8589962027</v>
      </c>
      <c r="C78" s="308">
        <v>1286538.529613188</v>
      </c>
      <c r="D78" s="308">
        <v>1811966.3293830149</v>
      </c>
      <c r="E78" s="308">
        <v>855835.9889704599</v>
      </c>
      <c r="F78" s="308">
        <v>927519.72322505491</v>
      </c>
      <c r="G78" s="308">
        <v>735145.47221474024</v>
      </c>
      <c r="H78" s="308">
        <v>694975.11257734953</v>
      </c>
      <c r="I78" s="308">
        <v>218816.65091641189</v>
      </c>
      <c r="J78" s="308">
        <v>737716.69263769581</v>
      </c>
      <c r="K78" s="308">
        <v>4.6038457239239259</v>
      </c>
      <c r="L78" s="308">
        <v>2.1196644582404947</v>
      </c>
      <c r="M78" s="308">
        <v>2.2803708986988198</v>
      </c>
      <c r="N78" s="308">
        <v>2.1639084797763033</v>
      </c>
      <c r="O78" s="308">
        <v>18.217714145820992</v>
      </c>
      <c r="P78" s="308">
        <v>6.7220829282829229</v>
      </c>
      <c r="Q78" s="308">
        <v>1.7895968261037942</v>
      </c>
      <c r="R78" s="308">
        <v>2.0550885042172373</v>
      </c>
    </row>
    <row r="84" spans="1:17">
      <c r="B84" t="str">
        <f>"Contribution of "&amp;$D$48&amp;" to Revenue and Net Income "</f>
        <v xml:space="preserve">Contribution of Sum of Google Cloud to Revenue and Net Income </v>
      </c>
    </row>
    <row r="85" spans="1:17">
      <c r="G85" s="340" t="s">
        <v>51</v>
      </c>
      <c r="H85" s="341" t="s">
        <v>139</v>
      </c>
      <c r="I85" s="341" t="s">
        <v>54</v>
      </c>
      <c r="J85" s="341" t="s">
        <v>135</v>
      </c>
      <c r="K85" s="319" t="s">
        <v>134</v>
      </c>
      <c r="L85" s="319" t="s">
        <v>52</v>
      </c>
      <c r="M85" s="319" t="s">
        <v>136</v>
      </c>
      <c r="N85" s="319" t="s">
        <v>53</v>
      </c>
      <c r="O85" s="319" t="s">
        <v>56</v>
      </c>
      <c r="Q85" s="342" t="str">
        <f>Dashboard!R24</f>
        <v>Asset Turnover</v>
      </c>
    </row>
    <row r="86" spans="1:17">
      <c r="A86" s="309" t="s">
        <v>158</v>
      </c>
      <c r="B86" s="309" t="s">
        <v>168</v>
      </c>
      <c r="C86" s="309" t="s">
        <v>176</v>
      </c>
      <c r="D86" t="str">
        <f>Dashboard!R12</f>
        <v>Sum of Google Cloud</v>
      </c>
      <c r="G86" s="343">
        <v>2019</v>
      </c>
      <c r="H86" s="345">
        <f>'Key Metrics'!C10</f>
        <v>0.17048579740074066</v>
      </c>
      <c r="I86" s="345">
        <f>'Key Metrics'!C7</f>
        <v>0.17176879594950756</v>
      </c>
      <c r="J86" s="344">
        <f>'Key Metrics'!C6</f>
        <v>0.33383171565023445</v>
      </c>
      <c r="K86" s="352">
        <f>'Key Metrics'!C4</f>
        <v>0.5558054331910266</v>
      </c>
      <c r="L86" s="345">
        <f>'Key Metrics'!C5</f>
        <v>0.24481486744471972</v>
      </c>
      <c r="M86" s="323">
        <f>'Key Metrics'!C8</f>
        <v>3.3519603723933571</v>
      </c>
      <c r="N86" s="323">
        <f>'Key Metrics'!C9</f>
        <v>0.58663182426089766</v>
      </c>
      <c r="O86" s="345">
        <f>'Key Metrics'!C11</f>
        <v>0.21218112284300339</v>
      </c>
      <c r="P86" s="343">
        <v>2019</v>
      </c>
      <c r="Q86" s="353">
        <f>INDEX($G$85:$O$94,MATCH($P86,$G$85:$G$94,0),MATCH($Q$85,$G$85:$O$85,0))</f>
        <v>0.58663182426089766</v>
      </c>
    </row>
    <row r="87" spans="1:17">
      <c r="A87" s="311">
        <v>2019</v>
      </c>
      <c r="B87" s="308">
        <v>161857</v>
      </c>
      <c r="C87" s="308">
        <v>34343</v>
      </c>
      <c r="D87">
        <f>INDEX($B$34:$J$41,MATCH($A86,$A$33:$A$42,0),MATCH($D$48,$B$33:$J$33,0))</f>
        <v>8918</v>
      </c>
      <c r="G87" s="343">
        <v>2020</v>
      </c>
      <c r="H87" s="345">
        <f>'Key Metrics'!D10</f>
        <v>0.18094848659141563</v>
      </c>
      <c r="I87" s="346">
        <f>'Key Metrics'!D7</f>
        <v>0.18297295857402715</v>
      </c>
      <c r="J87" s="344">
        <f>'Key Metrics'!D6</f>
        <v>0.30993222920444646</v>
      </c>
      <c r="K87" s="352">
        <f>'Key Metrics'!D4</f>
        <v>0.53578374706207854</v>
      </c>
      <c r="L87" s="345">
        <f>'Key Metrics'!D5</f>
        <v>0.26342404137470071</v>
      </c>
      <c r="M87" s="323">
        <f>'Key Metrics'!D8</f>
        <v>3.0539465812717741</v>
      </c>
      <c r="N87" s="323">
        <f>'Key Metrics'!D9</f>
        <v>0.61299525628646989</v>
      </c>
      <c r="O87" s="345">
        <f>'Key Metrics'!D11</f>
        <v>0.22061941520980458</v>
      </c>
      <c r="P87" s="343">
        <v>2020</v>
      </c>
      <c r="Q87" s="353">
        <f>INDEX($G$86:$O$94,MATCH($P86,$G$85:$G$94,0),MATCH($Q$85,$G$85:$O$85,0))</f>
        <v>0.61299525628646989</v>
      </c>
    </row>
    <row r="88" spans="1:17">
      <c r="A88" s="311">
        <v>2020</v>
      </c>
      <c r="B88" s="308">
        <v>182527</v>
      </c>
      <c r="C88" s="308">
        <v>40269</v>
      </c>
      <c r="D88">
        <f>INDEX($B$34:$J$41,MATCH($A87,$A$33:$A$42,0),MATCH($D$48,$B$33:$J$33,0))</f>
        <v>13059</v>
      </c>
      <c r="G88" s="343">
        <v>2021</v>
      </c>
      <c r="H88" s="345">
        <f>'Key Metrics'!E10</f>
        <v>0.30215590041131002</v>
      </c>
      <c r="I88" s="347">
        <f>'Key Metrics'!E7</f>
        <v>0.30755828536950791</v>
      </c>
      <c r="J88" s="344">
        <f>'Key Metrics'!E6</f>
        <v>0.26387514215737645</v>
      </c>
      <c r="K88" s="352">
        <f>'Key Metrics'!E4</f>
        <v>0.5693980290098084</v>
      </c>
      <c r="L88" s="345">
        <f>'Key Metrics'!E5</f>
        <v>0.35217767634307184</v>
      </c>
      <c r="M88" s="323">
        <f>'Key Metrics'!E8</f>
        <v>2.9099044417468174</v>
      </c>
      <c r="N88" s="323">
        <f>'Key Metrics'!E9</f>
        <v>0.75900153781794832</v>
      </c>
      <c r="O88" s="345">
        <f>'Key Metrics'!E11</f>
        <v>0.29511677282377918</v>
      </c>
      <c r="P88" s="343">
        <v>2021</v>
      </c>
      <c r="Q88" s="353">
        <f>INDEX($G$86:$O$94,MATCH($P87,$G$85:$G$94,0),MATCH($Q$85,$G$85:$O$85,0))</f>
        <v>0.75900153781794832</v>
      </c>
    </row>
    <row r="89" spans="1:17">
      <c r="A89" s="311">
        <v>2021</v>
      </c>
      <c r="B89" s="308">
        <v>257637</v>
      </c>
      <c r="C89" s="308">
        <v>76033</v>
      </c>
      <c r="D89">
        <f>INDEX($B$34:$J$41,MATCH($A88,$A$33:$A$42,0),MATCH($D$48,$B$33:$J$33,0))</f>
        <v>19206</v>
      </c>
      <c r="G89" s="343">
        <v>2022</v>
      </c>
      <c r="H89" s="345">
        <f>'Key Metrics'!F10</f>
        <v>0.21473814274982972</v>
      </c>
      <c r="I89" s="347">
        <f>'Key Metrics'!F7</f>
        <v>0.22041411925596821</v>
      </c>
      <c r="J89" s="344">
        <f>'Key Metrics'!F6</f>
        <v>0.26110804180546487</v>
      </c>
      <c r="K89" s="352">
        <f>'Key Metrics'!E4</f>
        <v>0.5693980290098084</v>
      </c>
      <c r="L89" s="345">
        <f>'Key Metrics'!F5</f>
        <v>0.22718226248003637</v>
      </c>
      <c r="M89" s="323">
        <f>'Key Metrics'!F8</f>
        <v>2.2275906721972927</v>
      </c>
      <c r="N89" s="323">
        <f>'Key Metrics'!F9</f>
        <v>0.80566844587079756</v>
      </c>
      <c r="O89" s="345">
        <f>'Key Metrics'!F11</f>
        <v>0.19251303897546279</v>
      </c>
      <c r="P89" s="343">
        <v>2022</v>
      </c>
      <c r="Q89" s="353">
        <f>INDEX($G$86:$O$94,MATCH($P88,$G$85:$G$94,0),MATCH($Q$85,$G$85:$O$85,0))</f>
        <v>0.80566844587079756</v>
      </c>
    </row>
    <row r="90" spans="1:17">
      <c r="A90" s="311">
        <v>2022</v>
      </c>
      <c r="B90" s="308">
        <v>313061.125</v>
      </c>
      <c r="C90" s="308">
        <v>56413.997988307041</v>
      </c>
      <c r="D90">
        <f>INDEX($B$34:$J$41,MATCH($A89,$A$33:$A$42,0),MATCH($D$48,$B$33:$J$33,0))</f>
        <v>20994.958496310421</v>
      </c>
      <c r="G90" s="343">
        <v>2023</v>
      </c>
      <c r="H90" s="345">
        <f>'Key Metrics'!G10</f>
        <v>0.21785031653073678</v>
      </c>
      <c r="I90" s="347">
        <f>'Key Metrics'!G7</f>
        <v>0.22857512395169491</v>
      </c>
      <c r="J90" s="344">
        <f>'Key Metrics'!G6</f>
        <v>0.27110804180546488</v>
      </c>
      <c r="K90" s="352">
        <f>'Key Metrics'!F4</f>
        <v>0.55366240308763781</v>
      </c>
      <c r="L90" s="345">
        <f>'Key Metrics'!G5</f>
        <v>0.2196537202157384</v>
      </c>
      <c r="M90" s="323">
        <f>'Key Metrics'!G8</f>
        <v>2.0226505952189826</v>
      </c>
      <c r="N90" s="323">
        <f>'Key Metrics'!G9</f>
        <v>0.85729946287796521</v>
      </c>
      <c r="O90" s="345">
        <f>'Key Metrics'!G11</f>
        <v>0.1847198736217486</v>
      </c>
      <c r="P90" s="343">
        <v>2023</v>
      </c>
      <c r="Q90" s="353">
        <f>INDEX($G$86:$O$94,MATCH($P89,$G$85:$G$94,0),MATCH($Q$85,$G$85:$O$85,0))</f>
        <v>0.85729946287796521</v>
      </c>
    </row>
    <row r="91" spans="1:17">
      <c r="A91" s="311">
        <v>2023</v>
      </c>
      <c r="B91" s="308">
        <v>383660.80912211793</v>
      </c>
      <c r="C91" s="308">
        <v>75861.382235391691</v>
      </c>
      <c r="D91">
        <f>INDEX($B$34:$J$41,MATCH($A90,$A$33:$A$42,0),MATCH($D$48,$B$33:$J$33,0))</f>
        <v>27259.838858961655</v>
      </c>
      <c r="G91" s="343">
        <v>2024</v>
      </c>
      <c r="H91" s="345">
        <f>'Key Metrics'!H10</f>
        <v>0.22746119040298754</v>
      </c>
      <c r="I91" s="347">
        <f>'Key Metrics'!H7</f>
        <v>0.24213461806156072</v>
      </c>
      <c r="J91" s="344">
        <f>'Key Metrics'!H6</f>
        <v>0.28110804180546489</v>
      </c>
      <c r="K91" s="352">
        <f>'Key Metrics'!G4</f>
        <v>0.55366240308763781</v>
      </c>
      <c r="L91" s="345">
        <f>'Key Metrics'!H5</f>
        <v>0.2137004908087044</v>
      </c>
      <c r="M91" s="323">
        <f>'Key Metrics'!H8</f>
        <v>1.8423068428690903</v>
      </c>
      <c r="N91" s="323">
        <f>'Key Metrics'!H9</f>
        <v>0.91827955173786269</v>
      </c>
      <c r="O91" s="345">
        <f>'Key Metrics'!H11</f>
        <v>0.17995939688560028</v>
      </c>
      <c r="P91" s="343">
        <v>2024</v>
      </c>
      <c r="Q91" s="353">
        <f>INDEX($G$86:$O$94,MATCH($P90,$G$85:$G$94,0),MATCH($Q$85,$G$85:$O$85,0))</f>
        <v>0.91827955173786269</v>
      </c>
    </row>
    <row r="92" spans="1:17">
      <c r="A92" s="311">
        <v>2024</v>
      </c>
      <c r="B92" s="308">
        <v>474018.32246485417</v>
      </c>
      <c r="C92" s="308">
        <v>103454.96321077083</v>
      </c>
      <c r="D92">
        <f>INDEX($B$34:$J$41,MATCH($A91,$A$33:$A$42,0),MATCH($D$48,$B$33:$J$33,0))</f>
        <v>33601.913570930228</v>
      </c>
      <c r="G92" s="343">
        <v>2025</v>
      </c>
      <c r="H92" s="345">
        <f>'Key Metrics'!I10</f>
        <v>0.22691287123250886</v>
      </c>
      <c r="I92" s="347">
        <f>'Key Metrics'!I7</f>
        <v>0.24527076788439783</v>
      </c>
      <c r="J92" s="344">
        <f>'Key Metrics'!I6</f>
        <v>0.2911080418054649</v>
      </c>
      <c r="K92" s="352">
        <f>'Key Metrics'!I4</f>
        <v>0.55366240308763781</v>
      </c>
      <c r="L92" s="345">
        <f>'Key Metrics'!I5</f>
        <v>0.20017882450149302</v>
      </c>
      <c r="M92" s="323">
        <f>'Key Metrics'!I8</f>
        <v>1.6033276070394515</v>
      </c>
      <c r="N92" s="323">
        <f>'Key Metrics'!I9</f>
        <v>0.98166401691408911</v>
      </c>
      <c r="O92" s="345">
        <f>'Key Metrics'!I11</f>
        <v>0.16884846899298611</v>
      </c>
      <c r="P92" s="343">
        <v>2025</v>
      </c>
      <c r="Q92" s="353">
        <f>INDEX($G$86:$O$94,MATCH($P91,$G$85:$G$94,0),MATCH($Q$85,$G$85:$O$85,0))</f>
        <v>0.98166401691408911</v>
      </c>
    </row>
    <row r="93" spans="1:17">
      <c r="A93" s="311">
        <v>2025</v>
      </c>
      <c r="B93" s="308">
        <v>590396.48350335471</v>
      </c>
      <c r="C93" s="308">
        <v>137271.51988589799</v>
      </c>
      <c r="D93">
        <f>INDEX($B$34:$J$41,MATCH($A92,$A$33:$A$42,0),MATCH($D$48,$B$33:$J$33,0))</f>
        <v>41131.495322628762</v>
      </c>
      <c r="G93" s="343">
        <v>2026</v>
      </c>
      <c r="H93" s="345">
        <f>'Key Metrics'!J10</f>
        <v>0.24003968878046536</v>
      </c>
      <c r="I93" s="347">
        <f>'Key Metrics'!J7</f>
        <v>0.26354056326745928</v>
      </c>
      <c r="J93" s="344">
        <f>'Key Metrics'!J6</f>
        <v>0.2911080418054649</v>
      </c>
      <c r="K93" s="352">
        <f>'Key Metrics'!J4</f>
        <v>0.55366240308763781</v>
      </c>
      <c r="L93" s="345">
        <f>'Key Metrics'!J5</f>
        <v>0.20117767850864529</v>
      </c>
      <c r="M93" s="323">
        <f>'Key Metrics'!J8</f>
        <v>1.4539807652555758</v>
      </c>
      <c r="N93" s="323">
        <f>'Key Metrics'!J9</f>
        <v>1.0338575917609705</v>
      </c>
      <c r="O93" s="345">
        <f>'Key Metrics'!J11</f>
        <v>0.16942902301630583</v>
      </c>
      <c r="P93" s="343">
        <v>2026</v>
      </c>
      <c r="Q93" s="353">
        <f>INDEX($G$86:$O$94,MATCH($P92,$G$85:$G$94,0),MATCH($Q$85,$G$85:$O$85,0))</f>
        <v>1.0338575917609705</v>
      </c>
    </row>
    <row r="94" spans="1:17">
      <c r="A94" s="311">
        <v>2026</v>
      </c>
      <c r="B94" s="308">
        <v>735347.11890587595</v>
      </c>
      <c r="C94" s="308">
        <v>171328.24925698197</v>
      </c>
      <c r="D94">
        <f>INDEX($B$34:$J$41,MATCH($A93,$A$33:$A$42,0),MATCH($D$48,$B$33:$J$33,0))</f>
        <v>51868.169661339969</v>
      </c>
      <c r="Q94" s="353"/>
    </row>
    <row r="95" spans="1:17">
      <c r="A95" s="330" t="s">
        <v>157</v>
      </c>
      <c r="B95" s="331">
        <v>3098504.8589962027</v>
      </c>
      <c r="C95" s="331">
        <v>694975.11257734953</v>
      </c>
      <c r="D95">
        <f>INDEX($B$34:$J$42,MATCH($A94,$A$33:$A$42,0),MATCH($D$48,$B$33:$J$33,0))</f>
        <v>216039.37591017102</v>
      </c>
    </row>
    <row r="103" spans="1:11">
      <c r="A103" s="336"/>
      <c r="B103" s="185"/>
      <c r="C103" s="185"/>
      <c r="D103" s="185"/>
      <c r="E103" s="185"/>
      <c r="F103" s="185"/>
      <c r="G103" s="185"/>
      <c r="H103" s="185"/>
      <c r="I103" s="185"/>
      <c r="J103" s="183"/>
      <c r="K103" s="183"/>
    </row>
    <row r="104" spans="1:11">
      <c r="A104" s="336"/>
      <c r="B104" s="337"/>
      <c r="C104" s="337"/>
      <c r="D104" s="337"/>
      <c r="E104" s="337"/>
      <c r="F104" s="337"/>
      <c r="G104" s="337"/>
      <c r="H104" s="337"/>
      <c r="I104" s="337"/>
      <c r="J104" s="183"/>
      <c r="K104" s="183"/>
    </row>
    <row r="105" spans="1:11">
      <c r="A105" s="336"/>
      <c r="B105" s="337"/>
      <c r="C105" s="337"/>
      <c r="D105" s="337"/>
      <c r="E105" s="337"/>
      <c r="F105" s="337"/>
      <c r="G105" s="337"/>
      <c r="H105" s="337"/>
      <c r="I105" s="337"/>
      <c r="J105" s="183"/>
      <c r="K105" s="183"/>
    </row>
    <row r="106" spans="1:11">
      <c r="A106" s="336"/>
      <c r="B106" s="337"/>
      <c r="C106" s="337"/>
      <c r="D106" s="337"/>
      <c r="E106" s="337"/>
      <c r="F106" s="337"/>
      <c r="G106" s="337"/>
      <c r="H106" s="337"/>
      <c r="I106" s="337"/>
      <c r="J106" s="183"/>
      <c r="K106" s="183"/>
    </row>
    <row r="107" spans="1:11">
      <c r="A107" s="336"/>
      <c r="B107" s="337"/>
      <c r="C107" s="337"/>
      <c r="D107" s="337"/>
      <c r="E107" s="337"/>
      <c r="F107" s="337"/>
      <c r="G107" s="337"/>
      <c r="H107" s="337"/>
      <c r="I107" s="337"/>
      <c r="J107" s="183"/>
      <c r="K107" s="183"/>
    </row>
    <row r="108" spans="1:11">
      <c r="A108" s="336"/>
      <c r="B108" s="337"/>
      <c r="C108" s="337"/>
      <c r="D108" s="337"/>
      <c r="E108" s="337"/>
      <c r="F108" s="337"/>
      <c r="G108" s="337"/>
      <c r="H108" s="337"/>
      <c r="I108" s="337"/>
      <c r="J108" s="183"/>
      <c r="K108" s="183"/>
    </row>
    <row r="109" spans="1:11">
      <c r="A109" s="336"/>
      <c r="B109" s="337"/>
      <c r="C109" s="337"/>
      <c r="D109" s="337"/>
      <c r="E109" s="337"/>
      <c r="F109" s="337"/>
      <c r="G109" s="337"/>
      <c r="H109" s="337"/>
      <c r="I109" s="337"/>
      <c r="J109" s="183"/>
      <c r="K109" s="183"/>
    </row>
    <row r="110" spans="1:11">
      <c r="A110" s="336"/>
      <c r="B110" s="337"/>
      <c r="C110" s="337"/>
      <c r="D110" s="337"/>
      <c r="E110" s="337"/>
      <c r="F110" s="337"/>
      <c r="G110" s="337"/>
      <c r="H110" s="337"/>
      <c r="I110" s="337"/>
      <c r="J110" s="183"/>
      <c r="K110" s="183"/>
    </row>
    <row r="111" spans="1:11">
      <c r="A111" s="336"/>
      <c r="B111" s="337"/>
      <c r="C111" s="337"/>
      <c r="D111" s="337"/>
      <c r="E111" s="337"/>
      <c r="F111" s="337"/>
      <c r="G111" s="337"/>
      <c r="H111" s="337"/>
      <c r="I111" s="337"/>
      <c r="J111" s="183"/>
      <c r="K111" s="183"/>
    </row>
    <row r="112" spans="1:11">
      <c r="A112" s="336"/>
      <c r="B112" s="337"/>
      <c r="C112" s="337"/>
      <c r="D112" s="337"/>
      <c r="E112" s="337"/>
      <c r="F112" s="337"/>
      <c r="G112" s="337"/>
      <c r="H112" s="337"/>
      <c r="I112" s="337"/>
      <c r="J112" s="183"/>
      <c r="K112" s="183"/>
    </row>
    <row r="113" spans="1:11">
      <c r="A113" s="183"/>
      <c r="B113" s="183"/>
      <c r="C113" s="183"/>
      <c r="D113" s="183"/>
      <c r="E113" s="183"/>
      <c r="F113" s="183"/>
      <c r="G113" s="183"/>
      <c r="H113" s="183"/>
      <c r="I113" s="183"/>
      <c r="J113" s="183"/>
      <c r="K113" s="183"/>
    </row>
    <row r="114" spans="1:11">
      <c r="A114" s="183"/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</row>
    <row r="115" spans="1:11">
      <c r="A115" s="183"/>
      <c r="B115" s="183"/>
      <c r="C115" s="183"/>
      <c r="D115" s="183"/>
      <c r="E115" s="183"/>
      <c r="F115" s="183"/>
      <c r="G115" s="183"/>
      <c r="H115" s="183"/>
      <c r="I115" s="183"/>
      <c r="J115" s="183"/>
      <c r="K115" s="183"/>
    </row>
    <row r="116" spans="1:11">
      <c r="A116" s="183"/>
      <c r="B116" s="183"/>
      <c r="C116" s="183"/>
      <c r="D116" s="183"/>
      <c r="E116" s="183"/>
      <c r="F116" s="183"/>
      <c r="G116" s="183"/>
      <c r="H116" s="183"/>
      <c r="I116" s="183"/>
      <c r="J116" s="183"/>
      <c r="K116" s="183"/>
    </row>
    <row r="117" spans="1:11">
      <c r="A117" s="183"/>
      <c r="B117" s="183"/>
      <c r="C117" s="183"/>
      <c r="D117" s="183"/>
      <c r="E117" s="183"/>
      <c r="F117" s="183"/>
      <c r="G117" s="183"/>
      <c r="H117" s="183"/>
      <c r="I117" s="183"/>
      <c r="J117" s="183"/>
      <c r="K117" s="183"/>
    </row>
    <row r="118" spans="1:11">
      <c r="A118" s="183"/>
      <c r="B118" s="183"/>
      <c r="C118" s="183"/>
      <c r="D118" s="183"/>
      <c r="E118" s="183"/>
      <c r="F118" s="183"/>
      <c r="G118" s="183"/>
      <c r="H118" s="183"/>
      <c r="I118" s="183"/>
      <c r="J118" s="183"/>
      <c r="K118" s="183"/>
    </row>
    <row r="119" spans="1:11">
      <c r="A119" s="183"/>
      <c r="B119" s="183"/>
      <c r="C119" s="183"/>
      <c r="D119" s="183"/>
      <c r="E119" s="183"/>
      <c r="F119" s="183"/>
      <c r="G119" s="183"/>
      <c r="H119" s="183"/>
      <c r="I119" s="183"/>
      <c r="J119" s="183"/>
      <c r="K119" s="183"/>
    </row>
    <row r="120" spans="1:11">
      <c r="A120" s="183"/>
      <c r="B120" s="183"/>
      <c r="C120" s="183"/>
      <c r="D120" s="183"/>
      <c r="E120" s="183"/>
      <c r="F120" s="183"/>
      <c r="G120" s="183"/>
      <c r="H120" s="183"/>
      <c r="I120" s="183"/>
      <c r="J120" s="183"/>
      <c r="K120" s="183"/>
    </row>
    <row r="121" spans="1:11">
      <c r="A121" s="183"/>
      <c r="B121" s="183"/>
      <c r="C121" s="183"/>
      <c r="D121" s="183"/>
      <c r="E121" s="183"/>
      <c r="F121" s="183"/>
      <c r="G121" s="183"/>
      <c r="H121" s="183"/>
      <c r="I121" s="183"/>
      <c r="J121" s="183"/>
      <c r="K121" s="183"/>
    </row>
    <row r="122" spans="1:11">
      <c r="A122" s="183"/>
      <c r="B122" s="183"/>
      <c r="C122" s="183"/>
      <c r="D122" s="183"/>
      <c r="E122" s="183"/>
      <c r="F122" s="183"/>
      <c r="G122" s="183"/>
      <c r="H122" s="183"/>
      <c r="I122" s="183"/>
      <c r="J122" s="183"/>
      <c r="K122" s="183"/>
    </row>
    <row r="123" spans="1:11">
      <c r="A123" s="183"/>
      <c r="B123" s="183"/>
      <c r="C123" s="183"/>
      <c r="D123" s="183"/>
      <c r="E123" s="183"/>
      <c r="F123" s="183"/>
      <c r="G123" s="183"/>
      <c r="H123" s="183"/>
      <c r="I123" s="183"/>
      <c r="J123" s="183"/>
      <c r="K123" s="183"/>
    </row>
    <row r="124" spans="1:11">
      <c r="A124" s="183"/>
      <c r="B124" s="183"/>
      <c r="C124" s="183"/>
      <c r="D124" s="183"/>
      <c r="E124" s="183"/>
      <c r="F124" s="183"/>
      <c r="G124" s="183"/>
      <c r="H124" s="183"/>
      <c r="I124" s="183"/>
      <c r="J124" s="183"/>
      <c r="K124" s="183"/>
    </row>
    <row r="125" spans="1:11">
      <c r="A125" s="183"/>
      <c r="B125" s="183"/>
      <c r="C125" s="183"/>
      <c r="D125" s="183"/>
      <c r="E125" s="183"/>
      <c r="F125" s="183"/>
      <c r="G125" s="183"/>
      <c r="H125" s="183"/>
      <c r="I125" s="183"/>
      <c r="J125" s="183"/>
      <c r="K125" s="183"/>
    </row>
    <row r="126" spans="1:11">
      <c r="A126" s="183"/>
      <c r="B126" s="183"/>
      <c r="C126" s="183"/>
      <c r="D126" s="183"/>
      <c r="E126" s="183"/>
      <c r="F126" s="183"/>
      <c r="G126" s="183"/>
      <c r="H126" s="183"/>
      <c r="I126" s="183"/>
      <c r="J126" s="183"/>
      <c r="K126" s="183"/>
    </row>
    <row r="127" spans="1:11">
      <c r="A127" s="183"/>
      <c r="B127" s="183"/>
      <c r="C127" s="183"/>
      <c r="D127" s="183"/>
      <c r="E127" s="183"/>
      <c r="F127" s="183"/>
      <c r="G127" s="183"/>
      <c r="H127" s="183"/>
      <c r="I127" s="183"/>
      <c r="J127" s="183"/>
      <c r="K127" s="183"/>
    </row>
    <row r="128" spans="1:11">
      <c r="A128" s="183"/>
      <c r="B128" s="336"/>
      <c r="C128" s="336"/>
      <c r="D128" s="336"/>
      <c r="E128" s="336"/>
      <c r="F128" s="336"/>
      <c r="G128" s="336"/>
      <c r="H128" s="336"/>
      <c r="I128" s="336"/>
      <c r="J128" s="336"/>
      <c r="K128" s="336"/>
    </row>
    <row r="129" spans="1:11">
      <c r="A129" s="183"/>
      <c r="B129" s="185"/>
      <c r="C129" s="337"/>
      <c r="D129" s="337"/>
      <c r="E129" s="337"/>
      <c r="F129" s="337"/>
      <c r="G129" s="337"/>
      <c r="H129" s="337"/>
      <c r="I129" s="337"/>
      <c r="J129" s="337"/>
      <c r="K129" s="337"/>
    </row>
    <row r="130" spans="1:11">
      <c r="A130" s="183"/>
      <c r="B130" s="185"/>
      <c r="C130" s="337"/>
      <c r="D130" s="337"/>
      <c r="E130" s="337"/>
      <c r="F130" s="337"/>
      <c r="G130" s="337"/>
      <c r="H130" s="337"/>
      <c r="I130" s="337"/>
      <c r="J130" s="337"/>
      <c r="K130" s="3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7E27-528D-3441-906D-F930863A6CE6}">
  <dimension ref="B2:AE10"/>
  <sheetViews>
    <sheetView showGridLines="0" topLeftCell="B1" workbookViewId="0">
      <selection activeCell="B14" sqref="B14"/>
    </sheetView>
  </sheetViews>
  <sheetFormatPr baseColWidth="10" defaultRowHeight="15"/>
  <cols>
    <col min="1" max="1" width="3.33203125" customWidth="1"/>
    <col min="2" max="19" width="12.83203125" customWidth="1"/>
    <col min="20" max="31" width="15.83203125" customWidth="1"/>
  </cols>
  <sheetData>
    <row r="2" spans="2:31">
      <c r="B2" s="95" t="s">
        <v>51</v>
      </c>
      <c r="C2" s="54" t="s">
        <v>2</v>
      </c>
      <c r="D2" s="95" t="s">
        <v>3</v>
      </c>
      <c r="E2" s="95" t="s">
        <v>4</v>
      </c>
      <c r="F2" s="95" t="s">
        <v>144</v>
      </c>
      <c r="G2" s="54" t="s">
        <v>7</v>
      </c>
      <c r="H2" s="54" t="s">
        <v>93</v>
      </c>
      <c r="I2" s="54" t="s">
        <v>9</v>
      </c>
      <c r="J2" s="54" t="s">
        <v>119</v>
      </c>
      <c r="K2" s="54" t="s">
        <v>92</v>
      </c>
      <c r="L2" s="280" t="s">
        <v>134</v>
      </c>
      <c r="M2" s="280" t="s">
        <v>52</v>
      </c>
      <c r="N2" s="280" t="s">
        <v>135</v>
      </c>
      <c r="O2" s="280" t="s">
        <v>54</v>
      </c>
      <c r="P2" s="280" t="s">
        <v>136</v>
      </c>
      <c r="Q2" s="280" t="s">
        <v>53</v>
      </c>
      <c r="R2" s="280" t="s">
        <v>56</v>
      </c>
      <c r="S2" s="280" t="s">
        <v>139</v>
      </c>
      <c r="T2" s="291"/>
      <c r="U2" s="54" t="s">
        <v>51</v>
      </c>
      <c r="V2" s="54" t="s">
        <v>145</v>
      </c>
      <c r="W2" s="54" t="s">
        <v>146</v>
      </c>
      <c r="X2" s="54" t="s">
        <v>147</v>
      </c>
      <c r="Y2" s="54" t="s">
        <v>148</v>
      </c>
      <c r="Z2" s="54" t="s">
        <v>149</v>
      </c>
      <c r="AA2" s="54" t="s">
        <v>150</v>
      </c>
      <c r="AB2" s="54" t="s">
        <v>151</v>
      </c>
      <c r="AC2" s="54" t="s">
        <v>152</v>
      </c>
      <c r="AD2" s="54" t="s">
        <v>153</v>
      </c>
      <c r="AE2" s="54" t="s">
        <v>155</v>
      </c>
    </row>
    <row r="3" spans="2:31">
      <c r="B3" s="95">
        <v>2019</v>
      </c>
      <c r="C3" s="10">
        <f>'P&amp;L Model'!C$5</f>
        <v>161857</v>
      </c>
      <c r="D3" s="71">
        <f>-'P&amp;L Model'!C$6</f>
        <v>71896</v>
      </c>
      <c r="E3" s="39">
        <f>'P&amp;L Model'!C$7</f>
        <v>89961</v>
      </c>
      <c r="F3" s="71">
        <f>-'P&amp;L Model'!$C$8</f>
        <v>54033</v>
      </c>
      <c r="G3" s="10">
        <f>'P&amp;L Model'!C$11</f>
        <v>46012</v>
      </c>
      <c r="H3" s="54">
        <f>'P&amp;L Model'!C$12</f>
        <v>34231</v>
      </c>
      <c r="I3" s="10">
        <f>'P&amp;L Model'!C$16</f>
        <v>34343</v>
      </c>
      <c r="J3" s="10">
        <f>'Balance Sheet Model'!C$11</f>
        <v>18521</v>
      </c>
      <c r="K3" s="54">
        <f>'Cash Flow Model'!C10</f>
        <v>30972</v>
      </c>
      <c r="L3" s="281">
        <v>0.5558054331910266</v>
      </c>
      <c r="M3" s="281">
        <v>0.24481486744471972</v>
      </c>
      <c r="N3" s="281">
        <v>0.33383171565023445</v>
      </c>
      <c r="O3" s="281">
        <v>0.17176879594950756</v>
      </c>
      <c r="P3" s="281">
        <v>3.3519603723933571</v>
      </c>
      <c r="Q3" s="281">
        <v>0.58663182426089766</v>
      </c>
      <c r="R3" s="281">
        <v>0.21218112284300339</v>
      </c>
      <c r="S3" s="281">
        <v>0.17048579740074066</v>
      </c>
      <c r="T3" s="292"/>
      <c r="U3" s="306">
        <v>2019</v>
      </c>
      <c r="V3" s="293">
        <v>98115</v>
      </c>
      <c r="W3" s="293">
        <v>15149</v>
      </c>
      <c r="X3" s="293">
        <v>21547</v>
      </c>
      <c r="Y3" s="293">
        <v>134811</v>
      </c>
      <c r="Z3" s="293">
        <v>17014</v>
      </c>
      <c r="AA3" s="293">
        <v>151825</v>
      </c>
      <c r="AB3" s="293">
        <v>8918</v>
      </c>
      <c r="AC3" s="293">
        <v>659</v>
      </c>
      <c r="AD3" s="238">
        <v>455</v>
      </c>
      <c r="AE3" s="238">
        <v>161857</v>
      </c>
    </row>
    <row r="4" spans="2:31">
      <c r="B4" s="95">
        <v>2020</v>
      </c>
      <c r="C4" s="10">
        <f>'P&amp;L Model'!D$5</f>
        <v>182527</v>
      </c>
      <c r="D4" s="71">
        <f>-'P&amp;L Model'!D$6</f>
        <v>84732</v>
      </c>
      <c r="E4" s="39">
        <f>'P&amp;L Model'!D$7</f>
        <v>97795</v>
      </c>
      <c r="F4" s="71">
        <f>-'P&amp;L Model'!$D$8</f>
        <v>56571</v>
      </c>
      <c r="G4" s="10">
        <f>'P&amp;L Model'!D$11</f>
        <v>54921</v>
      </c>
      <c r="H4" s="54">
        <f>'P&amp;L Model'!D$12</f>
        <v>41224</v>
      </c>
      <c r="I4" s="10">
        <f>'P&amp;L Model'!D$16</f>
        <v>40269</v>
      </c>
      <c r="J4" s="10">
        <f>'Balance Sheet Model'!D$11</f>
        <v>26464</v>
      </c>
      <c r="K4" s="54">
        <f>'Cash Flow Model'!D10</f>
        <v>42843</v>
      </c>
      <c r="L4" s="281">
        <v>0.53578374706207854</v>
      </c>
      <c r="M4" s="281">
        <v>0.26342404137470071</v>
      </c>
      <c r="N4" s="281">
        <v>0.30993222920444646</v>
      </c>
      <c r="O4" s="281">
        <v>0.18297295857402715</v>
      </c>
      <c r="P4" s="281">
        <v>3.0539465812717741</v>
      </c>
      <c r="Q4" s="281">
        <v>0.61299525628646989</v>
      </c>
      <c r="R4" s="281">
        <v>0.22061941520980458</v>
      </c>
      <c r="S4" s="281">
        <v>0.18094848659141563</v>
      </c>
      <c r="T4" s="292"/>
      <c r="U4" s="306">
        <v>2020</v>
      </c>
      <c r="V4" s="293">
        <v>104062</v>
      </c>
      <c r="W4" s="293">
        <v>19772</v>
      </c>
      <c r="X4" s="293">
        <v>23090</v>
      </c>
      <c r="Y4" s="293">
        <v>146924</v>
      </c>
      <c r="Z4" s="293">
        <v>21711</v>
      </c>
      <c r="AA4" s="293">
        <v>168635</v>
      </c>
      <c r="AB4" s="293">
        <v>13059</v>
      </c>
      <c r="AC4" s="293">
        <v>657</v>
      </c>
      <c r="AD4" s="238">
        <v>176</v>
      </c>
      <c r="AE4" s="307">
        <v>182527</v>
      </c>
    </row>
    <row r="5" spans="2:31">
      <c r="B5" s="95">
        <v>2021</v>
      </c>
      <c r="C5" s="10">
        <f>'P&amp;L Model'!E$5</f>
        <v>257637</v>
      </c>
      <c r="D5" s="71">
        <f>-'P&amp;L Model'!E$6</f>
        <v>110939</v>
      </c>
      <c r="E5" s="39">
        <f>'P&amp;L Model'!E$7</f>
        <v>146698</v>
      </c>
      <c r="F5" s="71">
        <f>-'P&amp;L Model'!$E$8</f>
        <v>67984</v>
      </c>
      <c r="G5" s="10">
        <f>'P&amp;L Model'!E$11</f>
        <v>91155</v>
      </c>
      <c r="H5" s="54">
        <f>'P&amp;L Model'!E$12</f>
        <v>78714</v>
      </c>
      <c r="I5" s="10">
        <f>'P&amp;L Model'!E$16</f>
        <v>76033</v>
      </c>
      <c r="J5" s="10">
        <f>'Balance Sheet Model'!E$11</f>
        <v>21231</v>
      </c>
      <c r="K5" s="54">
        <f>'Cash Flow Model'!E10</f>
        <v>67012</v>
      </c>
      <c r="L5" s="281">
        <v>0.5693980290098084</v>
      </c>
      <c r="M5" s="281">
        <v>0.35217767634307184</v>
      </c>
      <c r="N5" s="281">
        <v>0.26387514215737645</v>
      </c>
      <c r="O5" s="281">
        <v>0.30755828536950791</v>
      </c>
      <c r="P5" s="281">
        <v>2.9099044417468174</v>
      </c>
      <c r="Q5" s="281">
        <v>0.75900153781794832</v>
      </c>
      <c r="R5" s="281">
        <v>0.29511677282377918</v>
      </c>
      <c r="S5" s="281">
        <v>0.30215590041131002</v>
      </c>
      <c r="T5" s="292"/>
      <c r="U5" s="306">
        <v>2021</v>
      </c>
      <c r="V5" s="293">
        <v>148951</v>
      </c>
      <c r="W5" s="293">
        <v>28845</v>
      </c>
      <c r="X5" s="293">
        <v>31701</v>
      </c>
      <c r="Y5" s="293">
        <v>209497</v>
      </c>
      <c r="Z5" s="293">
        <v>28032</v>
      </c>
      <c r="AA5" s="293">
        <v>237529</v>
      </c>
      <c r="AB5" s="293">
        <v>19206</v>
      </c>
      <c r="AC5" s="293">
        <v>753</v>
      </c>
      <c r="AD5" s="238">
        <v>149</v>
      </c>
      <c r="AE5" s="307">
        <v>257637</v>
      </c>
    </row>
    <row r="6" spans="2:31">
      <c r="B6" s="95">
        <v>2022</v>
      </c>
      <c r="C6" s="10">
        <f>'P&amp;L Model'!F$5</f>
        <v>306620.2</v>
      </c>
      <c r="D6" s="71">
        <f>-'P&amp;L Model'!F$6</f>
        <v>136856.12323278788</v>
      </c>
      <c r="E6" s="39">
        <f>'P&amp;L Model'!F$7</f>
        <v>169764.07676721213</v>
      </c>
      <c r="F6" s="71">
        <f>-'P&amp;L Model'!$F$8</f>
        <v>80061</v>
      </c>
      <c r="G6" s="10">
        <f>'P&amp;L Model'!F$11</f>
        <v>79255.076767212129</v>
      </c>
      <c r="H6" s="238">
        <f>'P&amp;L Model'!F$12</f>
        <v>59210.670758081251</v>
      </c>
      <c r="I6" s="10">
        <f>'P&amp;L Model'!F$16</f>
        <v>59028.386513264202</v>
      </c>
      <c r="J6" s="10">
        <f>'Balance Sheet Model'!F$11</f>
        <v>24752.003523238927</v>
      </c>
      <c r="K6" s="238">
        <f>'Cash Flow Model'!F10</f>
        <v>70132.004415838455</v>
      </c>
      <c r="L6" s="281">
        <v>0.57057170293220238</v>
      </c>
      <c r="M6" s="281">
        <v>0.21265324179271333</v>
      </c>
      <c r="N6" s="281">
        <v>0.29254636233735248</v>
      </c>
      <c r="O6" s="281">
        <v>0.20932381984424661</v>
      </c>
      <c r="P6" s="281">
        <v>2.2035745995967169</v>
      </c>
      <c r="Q6" s="281">
        <v>0.81887046563249433</v>
      </c>
      <c r="R6" s="281">
        <v>0.18020122424432941</v>
      </c>
      <c r="S6" s="281">
        <v>0.20374114493131049</v>
      </c>
      <c r="T6" s="281"/>
      <c r="U6" s="307">
        <v>2022</v>
      </c>
      <c r="V6" s="238">
        <v>183082.79175101101</v>
      </c>
      <c r="W6" s="238">
        <v>32754.386901851929</v>
      </c>
      <c r="X6" s="238">
        <v>39933.109812470298</v>
      </c>
      <c r="Y6" s="238">
        <v>255770.28846533326</v>
      </c>
      <c r="Z6" s="238">
        <v>34736.063827160411</v>
      </c>
      <c r="AA6" s="238">
        <v>290506.35229249363</v>
      </c>
      <c r="AB6" s="238">
        <v>20994.958496310421</v>
      </c>
      <c r="AC6" s="238">
        <v>1105.4897439102122</v>
      </c>
      <c r="AD6" s="238">
        <v>454.32446728571301</v>
      </c>
      <c r="AE6" s="238">
        <v>313061.125</v>
      </c>
    </row>
    <row r="7" spans="2:31">
      <c r="B7" s="95">
        <v>2023</v>
      </c>
      <c r="C7" s="10">
        <f>'P&amp;L Model'!G$5</f>
        <v>368101.86</v>
      </c>
      <c r="D7" s="71">
        <f>-'P&amp;L Model'!G$6</f>
        <v>164297.69961137077</v>
      </c>
      <c r="E7" s="39">
        <f>'P&amp;L Model'!G$7</f>
        <v>203804.16038862921</v>
      </c>
      <c r="F7" s="71">
        <f>-'P&amp;L Model'!$G$8</f>
        <v>99795.374449549374</v>
      </c>
      <c r="G7" s="10">
        <f>'P&amp;L Model'!G$11</f>
        <v>95328.78593907984</v>
      </c>
      <c r="H7" s="238">
        <f>'P&amp;L Model'!G$12</f>
        <v>72174.9429673329</v>
      </c>
      <c r="I7" s="10">
        <f>'P&amp;L Model'!G$16</f>
        <v>67995.729059130594</v>
      </c>
      <c r="J7" s="10">
        <f>'Balance Sheet Model'!G$11</f>
        <v>29008.316149275903</v>
      </c>
      <c r="K7" s="238">
        <f>'Cash Flow Model'!G10</f>
        <v>88780.009834183613</v>
      </c>
      <c r="L7" s="281">
        <v>0.58057170293220239</v>
      </c>
      <c r="M7" s="281">
        <v>0.23512469952841539</v>
      </c>
      <c r="N7" s="281">
        <v>0.28254636233735247</v>
      </c>
      <c r="O7" s="281">
        <v>0.2514608913515613</v>
      </c>
      <c r="P7" s="281">
        <v>1.9786381053031852</v>
      </c>
      <c r="Q7" s="281">
        <v>0.8810406583512731</v>
      </c>
      <c r="R7" s="281">
        <v>0.19773034000781994</v>
      </c>
      <c r="S7" s="281">
        <v>0.23921761165181665</v>
      </c>
      <c r="T7" s="281"/>
      <c r="U7" s="307">
        <v>2023</v>
      </c>
      <c r="V7" s="238">
        <v>221637.79606354653</v>
      </c>
      <c r="W7" s="238">
        <v>41551.708928777007</v>
      </c>
      <c r="X7" s="238">
        <v>48226.669831535452</v>
      </c>
      <c r="Y7" s="238">
        <v>311416.17482385901</v>
      </c>
      <c r="Z7" s="238">
        <v>43316.226792870242</v>
      </c>
      <c r="AA7" s="238">
        <v>354732.40161672927</v>
      </c>
      <c r="AB7" s="238">
        <v>27259.838858961655</v>
      </c>
      <c r="AC7" s="238">
        <v>1285.6999114179346</v>
      </c>
      <c r="AD7" s="238">
        <v>382.8687350090907</v>
      </c>
      <c r="AE7" s="238">
        <v>383660.80912211793</v>
      </c>
    </row>
    <row r="8" spans="2:31">
      <c r="B8" s="95">
        <v>2024</v>
      </c>
      <c r="C8" s="10">
        <f>'P&amp;L Model'!H$5</f>
        <v>445592.47562553053</v>
      </c>
      <c r="D8" s="71">
        <f>-'P&amp;L Model'!H$6</f>
        <v>198884.6747729296</v>
      </c>
      <c r="E8" s="39">
        <f>'P&amp;L Model'!H$7</f>
        <v>246707.80085260092</v>
      </c>
      <c r="F8" s="71">
        <f>-'P&amp;L Model'!$H$8</f>
        <v>125259.62826634223</v>
      </c>
      <c r="G8" s="10">
        <f>'P&amp;L Model'!H$11</f>
        <v>111946.67258625869</v>
      </c>
      <c r="H8" s="238">
        <f>'P&amp;L Model'!H$12</f>
        <v>85721.830741841521</v>
      </c>
      <c r="I8" s="10">
        <f>'P&amp;L Model'!H$16</f>
        <v>80188.553170332016</v>
      </c>
      <c r="J8" s="10">
        <f>'Balance Sheet Model'!H$11</f>
        <v>29414.490921617464</v>
      </c>
      <c r="K8" s="238">
        <f>'Cash Flow Model'!H10</f>
        <v>108429.23079567761</v>
      </c>
      <c r="L8" s="281">
        <v>0.59057170293220229</v>
      </c>
      <c r="M8" s="281">
        <v>0.25917147012138131</v>
      </c>
      <c r="N8" s="281">
        <v>0.27254636233735247</v>
      </c>
      <c r="O8" s="281">
        <v>0.30512489297017098</v>
      </c>
      <c r="P8" s="281">
        <v>1.7848860600872238</v>
      </c>
      <c r="Q8" s="281">
        <v>0.95261776657608321</v>
      </c>
      <c r="R8" s="281">
        <v>0.21825097956723274</v>
      </c>
      <c r="S8" s="281">
        <v>0.28586625611904165</v>
      </c>
      <c r="T8" s="281"/>
      <c r="U8" s="307">
        <v>2024</v>
      </c>
      <c r="V8" s="238">
        <v>275033.29505918868</v>
      </c>
      <c r="W8" s="238">
        <v>51334.487723690712</v>
      </c>
      <c r="X8" s="238">
        <v>59458.242450845974</v>
      </c>
      <c r="Y8" s="238">
        <v>385826.02523372538</v>
      </c>
      <c r="Z8" s="238">
        <v>52562.757435734951</v>
      </c>
      <c r="AA8" s="238">
        <v>438388.78266946034</v>
      </c>
      <c r="AB8" s="238">
        <v>33601.913570930228</v>
      </c>
      <c r="AC8" s="238">
        <v>1549.2625718123898</v>
      </c>
      <c r="AD8" s="238">
        <v>478.36365265124203</v>
      </c>
      <c r="AE8" s="238">
        <v>474018.32246485417</v>
      </c>
    </row>
    <row r="9" spans="2:31">
      <c r="B9" s="95">
        <v>2025</v>
      </c>
      <c r="C9" s="10">
        <f>'P&amp;L Model'!I$5</f>
        <v>543851.87981632759</v>
      </c>
      <c r="D9" s="71">
        <f>-'P&amp;L Model'!I$6</f>
        <v>242741.54111349047</v>
      </c>
      <c r="E9" s="39">
        <f>'P&amp;L Model'!I$7</f>
        <v>301110.33870283712</v>
      </c>
      <c r="F9" s="71">
        <f>-'P&amp;L Model'!$I$8</f>
        <v>158319.65576555216</v>
      </c>
      <c r="G9" s="10">
        <f>'P&amp;L Model'!I$11</f>
        <v>132628.30793728496</v>
      </c>
      <c r="H9" s="238">
        <f>'P&amp;L Model'!I$12</f>
        <v>98705.255004559716</v>
      </c>
      <c r="I9" s="10">
        <f>'P&amp;L Model'!I$16</f>
        <v>91828.557265944401</v>
      </c>
      <c r="J9" s="10">
        <f>'Balance Sheet Model'!I$11</f>
        <v>33757.633706710629</v>
      </c>
      <c r="K9" s="238">
        <f>'Cash Flow Model'!I10</f>
        <v>129300.14207773434</v>
      </c>
      <c r="L9" s="281">
        <v>0.60057170293220241</v>
      </c>
      <c r="M9" s="281">
        <v>0.27564980381417009</v>
      </c>
      <c r="N9" s="281">
        <v>0.26254636233735246</v>
      </c>
      <c r="O9" s="281">
        <v>0.35362959300416058</v>
      </c>
      <c r="P9" s="281">
        <v>1.5442131696817323</v>
      </c>
      <c r="Q9" s="281">
        <v>1.0254602361145833</v>
      </c>
      <c r="R9" s="281">
        <v>0.23250734670935416</v>
      </c>
      <c r="S9" s="281">
        <v>0.32604055729163495</v>
      </c>
      <c r="T9" s="281"/>
      <c r="U9" s="307">
        <v>2025</v>
      </c>
      <c r="V9" s="238">
        <v>342965.93661145162</v>
      </c>
      <c r="W9" s="238">
        <v>63216.867359837648</v>
      </c>
      <c r="X9" s="238">
        <v>74526.28159632835</v>
      </c>
      <c r="Y9" s="238">
        <v>480709.08556761773</v>
      </c>
      <c r="Z9" s="238">
        <v>65877.655850644689</v>
      </c>
      <c r="AA9" s="238">
        <v>546586.74141826236</v>
      </c>
      <c r="AB9" s="238">
        <v>41131.495322628762</v>
      </c>
      <c r="AC9" s="238">
        <v>1997.6504971380502</v>
      </c>
      <c r="AD9" s="238">
        <v>680.59626532552716</v>
      </c>
      <c r="AE9" s="238">
        <v>590396.48350335471</v>
      </c>
    </row>
    <row r="10" spans="2:31">
      <c r="B10" s="95">
        <v>2026</v>
      </c>
      <c r="C10" s="10">
        <f>'P&amp;L Model'!J$5</f>
        <v>663778.86378027208</v>
      </c>
      <c r="D10" s="71">
        <f>-'P&amp;L Model'!J$6</f>
        <v>296269.46294090484</v>
      </c>
      <c r="E10" s="39">
        <f>'P&amp;L Model'!J$7</f>
        <v>367509.40083936724</v>
      </c>
      <c r="F10" s="71">
        <f>-'P&amp;L Model'!$J$8</f>
        <v>193231.36522693143</v>
      </c>
      <c r="G10" s="10">
        <f>'P&amp;L Model'!J$11</f>
        <v>164580.06686243584</v>
      </c>
      <c r="H10" s="238">
        <f>'P&amp;L Model'!J$12</f>
        <v>123839.52210842143</v>
      </c>
      <c r="I10" s="10">
        <f>'P&amp;L Model'!J$16</f>
        <v>112463.40438916505</v>
      </c>
      <c r="J10" s="10">
        <f>'Balance Sheet Model'!I$11</f>
        <v>33757.633706710629</v>
      </c>
      <c r="K10" s="238">
        <f>'Cash Flow Model'!J10</f>
        <v>159809.03173420741</v>
      </c>
      <c r="L10" s="281">
        <v>0.60057170293220241</v>
      </c>
      <c r="M10" s="281">
        <v>0.27664865782132225</v>
      </c>
      <c r="N10" s="281">
        <v>0.26254636233735246</v>
      </c>
      <c r="O10" s="281">
        <v>0.3820692427131212</v>
      </c>
      <c r="P10" s="281">
        <v>1.3905908157401872</v>
      </c>
      <c r="Q10" s="281">
        <v>1.0854651832431732</v>
      </c>
      <c r="R10" s="281">
        <v>0.23298962469847101</v>
      </c>
      <c r="S10" s="281">
        <v>0.34663274981996706</v>
      </c>
      <c r="T10" s="281"/>
      <c r="U10" s="307">
        <v>2026</v>
      </c>
      <c r="V10" s="238">
        <v>426211.22385980107</v>
      </c>
      <c r="W10" s="238">
        <v>79337.811292848142</v>
      </c>
      <c r="X10" s="238">
        <v>92498.506234288507</v>
      </c>
      <c r="Y10" s="238">
        <v>598047.54138693784</v>
      </c>
      <c r="Z10" s="238">
        <v>82204.961489774345</v>
      </c>
      <c r="AA10" s="238">
        <v>680252.50287671213</v>
      </c>
      <c r="AB10" s="238">
        <v>51868.169661339969</v>
      </c>
      <c r="AC10" s="238">
        <v>2451.9099511271056</v>
      </c>
      <c r="AD10" s="238">
        <v>774.53641669671413</v>
      </c>
      <c r="AE10" s="238">
        <v>735347.11890587595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P&amp;L Model</vt:lpstr>
      <vt:lpstr>Balance Sheet Model</vt:lpstr>
      <vt:lpstr>Cash Flow Model</vt:lpstr>
      <vt:lpstr>DCF</vt:lpstr>
      <vt:lpstr>Dashboard</vt:lpstr>
      <vt:lpstr>Key Metrics</vt:lpstr>
      <vt:lpstr>Pivot Tables</vt:lpstr>
      <vt:lpstr>Tableau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Anirudh Srinivas</dc:creator>
  <cp:lastModifiedBy>(pg) Anirudh Srinivas</cp:lastModifiedBy>
  <dcterms:created xsi:type="dcterms:W3CDTF">2022-04-30T05:18:08Z</dcterms:created>
  <dcterms:modified xsi:type="dcterms:W3CDTF">2022-05-06T00:34:33Z</dcterms:modified>
</cp:coreProperties>
</file>