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ut\Documents\School\Grad School\Classes\CS 450 - Computer Networks\Excel\"/>
    </mc:Choice>
  </mc:AlternateContent>
  <xr:revisionPtr revIDLastSave="0" documentId="13_ncr:1_{79CA8C42-A058-4800-B5EA-131782917BCE}" xr6:coauthVersionLast="47" xr6:coauthVersionMax="47" xr10:uidLastSave="{00000000-0000-0000-0000-000000000000}"/>
  <bookViews>
    <workbookView xWindow="-110" yWindow="-110" windowWidth="19420" windowHeight="10420" activeTab="2" xr2:uid="{624ACCBE-F53D-4C17-AC4D-342622306D6F}"/>
  </bookViews>
  <sheets>
    <sheet name="Demo" sheetId="1" r:id="rId1"/>
    <sheet name="Two Links" sheetId="3" r:id="rId2"/>
    <sheet name="Homework Assignment" sheetId="4" r:id="rId3"/>
    <sheet name="Constan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F118" i="4"/>
  <c r="G118" i="4"/>
  <c r="E118" i="4"/>
  <c r="E107" i="4"/>
  <c r="F95" i="4"/>
  <c r="H101" i="4" s="1"/>
  <c r="E72" i="4"/>
  <c r="E65" i="4"/>
  <c r="E53" i="4"/>
  <c r="F46" i="4"/>
  <c r="F84" i="4" s="1"/>
  <c r="G84" i="4" s="1"/>
  <c r="E46" i="4"/>
  <c r="E84" i="4"/>
  <c r="F72" i="4"/>
  <c r="F53" i="4"/>
  <c r="F34" i="4"/>
  <c r="B34" i="4" s="1"/>
  <c r="E21" i="4"/>
  <c r="B21" i="4" s="1"/>
  <c r="E6" i="4"/>
  <c r="F6" i="4"/>
  <c r="B6" i="4" s="1"/>
  <c r="C4" i="1"/>
  <c r="F69" i="3"/>
  <c r="E39" i="3"/>
  <c r="E58" i="3"/>
  <c r="E46" i="3"/>
  <c r="F46" i="3"/>
  <c r="E27" i="3"/>
  <c r="F27" i="3"/>
  <c r="E20" i="3"/>
  <c r="F20" i="3"/>
  <c r="G20" i="3" s="1"/>
  <c r="F8" i="3"/>
  <c r="B8" i="3" s="1"/>
  <c r="B9" i="3" s="1"/>
  <c r="B10" i="3" s="1"/>
  <c r="G26" i="1"/>
  <c r="C26" i="1"/>
  <c r="G18" i="1"/>
  <c r="G19" i="1" s="1"/>
  <c r="G20" i="1" s="1"/>
  <c r="E18" i="1"/>
  <c r="C18" i="1"/>
  <c r="D18" i="1"/>
  <c r="J12" i="1"/>
  <c r="J11" i="1"/>
  <c r="J10" i="1"/>
  <c r="E10" i="1"/>
  <c r="G10" i="1" s="1"/>
  <c r="G11" i="1" s="1"/>
  <c r="G12" i="1" s="1"/>
  <c r="D10" i="1"/>
  <c r="E4" i="1"/>
  <c r="B4" i="2"/>
  <c r="B3" i="2"/>
  <c r="B2" i="2"/>
  <c r="B118" i="4" l="1"/>
  <c r="B84" i="4"/>
  <c r="B85" i="4" s="1"/>
  <c r="B86" i="4" s="1"/>
  <c r="B53" i="4"/>
  <c r="E59" i="4" s="1"/>
  <c r="B59" i="4" s="1"/>
  <c r="F65" i="4"/>
  <c r="G65" i="4" s="1"/>
  <c r="B65" i="4" s="1"/>
  <c r="B66" i="4" s="1"/>
  <c r="B67" i="4" s="1"/>
  <c r="B72" i="4"/>
  <c r="E78" i="4" s="1"/>
  <c r="B78" i="4" s="1"/>
  <c r="E40" i="4"/>
  <c r="B40" i="4" s="1"/>
  <c r="B35" i="4"/>
  <c r="B36" i="4" s="1"/>
  <c r="G46" i="4"/>
  <c r="B46" i="4" s="1"/>
  <c r="B47" i="4" s="1"/>
  <c r="B48" i="4" s="1"/>
  <c r="E91" i="4"/>
  <c r="B91" i="4" s="1"/>
  <c r="E95" i="4" s="1"/>
  <c r="B95" i="4" s="1"/>
  <c r="F101" i="4"/>
  <c r="B7" i="4"/>
  <c r="B11" i="4"/>
  <c r="G4" i="1"/>
  <c r="E65" i="3"/>
  <c r="B65" i="3" s="1"/>
  <c r="E69" i="3" s="1"/>
  <c r="B69" i="3" s="1"/>
  <c r="F58" i="3"/>
  <c r="F75" i="3"/>
  <c r="H75" i="3"/>
  <c r="B46" i="3"/>
  <c r="B47" i="3" s="1"/>
  <c r="B48" i="3" s="1"/>
  <c r="F39" i="3"/>
  <c r="B27" i="3"/>
  <c r="B20" i="3"/>
  <c r="B21" i="3" s="1"/>
  <c r="B22" i="3" s="1"/>
  <c r="E14" i="3"/>
  <c r="B14" i="3" s="1"/>
  <c r="B54" i="4" l="1"/>
  <c r="B55" i="4" s="1"/>
  <c r="J107" i="4"/>
  <c r="B73" i="4"/>
  <c r="B74" i="4" s="1"/>
  <c r="H107" i="4"/>
  <c r="F107" i="4"/>
  <c r="B41" i="4"/>
  <c r="B42" i="4" s="1"/>
  <c r="E101" i="4"/>
  <c r="I101" i="4"/>
  <c r="B79" i="4"/>
  <c r="B80" i="4" s="1"/>
  <c r="I107" i="4"/>
  <c r="G107" i="4"/>
  <c r="B96" i="4"/>
  <c r="B97" i="4" s="1"/>
  <c r="G101" i="4"/>
  <c r="B60" i="4"/>
  <c r="B61" i="4" s="1"/>
  <c r="B8" i="4"/>
  <c r="B13" i="4" s="1"/>
  <c r="B12" i="4"/>
  <c r="B28" i="3"/>
  <c r="B29" i="3" s="1"/>
  <c r="B70" i="3"/>
  <c r="B71" i="3" s="1"/>
  <c r="I81" i="3"/>
  <c r="G81" i="3"/>
  <c r="F81" i="3"/>
  <c r="B15" i="3"/>
  <c r="B16" i="3" s="1"/>
  <c r="E75" i="3"/>
  <c r="E33" i="3"/>
  <c r="B33" i="3" s="1"/>
  <c r="G39" i="3"/>
  <c r="B39" i="3" s="1"/>
  <c r="B40" i="3" s="1"/>
  <c r="B41" i="3" s="1"/>
  <c r="G58" i="3"/>
  <c r="B58" i="3" s="1"/>
  <c r="E52" i="3"/>
  <c r="B52" i="3" s="1"/>
  <c r="B101" i="4" l="1"/>
  <c r="H81" i="3"/>
  <c r="B59" i="3"/>
  <c r="B60" i="3" s="1"/>
  <c r="J81" i="3"/>
  <c r="B34" i="3"/>
  <c r="B35" i="3" s="1"/>
  <c r="G75" i="3"/>
  <c r="B53" i="3"/>
  <c r="B54" i="3" s="1"/>
  <c r="I75" i="3"/>
  <c r="B75" i="3" s="1"/>
  <c r="B102" i="4" l="1"/>
  <c r="B103" i="4" s="1"/>
  <c r="B107" i="4"/>
  <c r="B108" i="4" s="1"/>
  <c r="B109" i="4" s="1"/>
  <c r="E81" i="3"/>
  <c r="B81" i="3" s="1"/>
  <c r="B82" i="3" s="1"/>
  <c r="B83" i="3" s="1"/>
  <c r="B76" i="3"/>
  <c r="B77" i="3" s="1"/>
</calcChain>
</file>

<file path=xl/sharedStrings.xml><?xml version="1.0" encoding="utf-8"?>
<sst xmlns="http://schemas.openxmlformats.org/spreadsheetml/2006/main" count="235" uniqueCount="52">
  <si>
    <t>Vaccum</t>
  </si>
  <si>
    <t>Copper</t>
  </si>
  <si>
    <t>Optical</t>
  </si>
  <si>
    <t>Speed of Light (m/s)</t>
  </si>
  <si>
    <t>Link Length (Meter)</t>
  </si>
  <si>
    <t>Delay x Bandwidth (round trip)</t>
  </si>
  <si>
    <t>Bandwidth (bps)</t>
  </si>
  <si>
    <t>Propagation Delay</t>
  </si>
  <si>
    <t>Seconds</t>
  </si>
  <si>
    <t>Milliseconds</t>
  </si>
  <si>
    <t>Microseconds</t>
  </si>
  <si>
    <t>RTT</t>
  </si>
  <si>
    <t>Transmit Time</t>
  </si>
  <si>
    <t>File Size (bytes)</t>
  </si>
  <si>
    <t>File Size (bits)</t>
  </si>
  <si>
    <t>Number of Packets</t>
  </si>
  <si>
    <t>MTU (bytes)</t>
  </si>
  <si>
    <t>Link 1 Transmit Time + Link 1 Prop Delay</t>
  </si>
  <si>
    <t>Switch Delay</t>
  </si>
  <si>
    <t>Link 2 Transmit Time + Link 2 Prop Delay</t>
  </si>
  <si>
    <t>Link 3 Transmit Time + Link 3 Prop Delay</t>
  </si>
  <si>
    <t>Distance</t>
  </si>
  <si>
    <t>Speed of Light</t>
  </si>
  <si>
    <t>File Size (Bytes)</t>
  </si>
  <si>
    <t>2500km Fiber</t>
  </si>
  <si>
    <t>60m Copper</t>
  </si>
  <si>
    <t>80m Copper</t>
  </si>
  <si>
    <t>Common</t>
  </si>
  <si>
    <t># Packets</t>
  </si>
  <si>
    <t>MSS</t>
  </si>
  <si>
    <t xml:space="preserve">RTT for Circuit with 3 </t>
  </si>
  <si>
    <t>Link 2 RTT</t>
  </si>
  <si>
    <t>Link 3 RTT</t>
  </si>
  <si>
    <t>Link 1 RTT</t>
  </si>
  <si>
    <t>Total Transfer Time</t>
  </si>
  <si>
    <t>Total Switch Delay</t>
  </si>
  <si>
    <t>2 * Circuit RTT Handshake</t>
  </si>
  <si>
    <t>Calculate the propagation delay and RTT for a 100m copper link</t>
  </si>
  <si>
    <t>How many IP packets will it take to transfer 150 GB file</t>
  </si>
  <si>
    <t>What is the total time required to send a 100 GB file over the below network?</t>
  </si>
  <si>
    <t xml:space="preserve">What is the maximum number of bits that could be in a 100 Mbps satellite link? </t>
  </si>
  <si>
    <t>&gt; The satellite is 36,210 km above the Earth's surface</t>
  </si>
  <si>
    <t>&gt; The 60 m copper link has a 10 Gbps bandwidth</t>
  </si>
  <si>
    <t>&gt; The 1,800 km fiber link has a 40 Gbps bandwidth</t>
  </si>
  <si>
    <t>&gt; The 90 m copper link has a 1 Gbps bandwidth</t>
  </si>
  <si>
    <t>&gt; Each switch is a store-and-forward switch that introduces a 40 microsecond delay between packets</t>
  </si>
  <si>
    <t>&gt; A 3 RTT handshake is needed before data can be transmitted</t>
  </si>
  <si>
    <t>Packets</t>
  </si>
  <si>
    <t>1800km Fiber</t>
  </si>
  <si>
    <t>90m Copper</t>
  </si>
  <si>
    <t>3 * Circuit RTT Handshake</t>
  </si>
  <si>
    <t>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</si>
</sst>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00"/>
    <numFmt numFmtId="165" formatCode="#,##0.00000"/>
    <numFmt numFmtId="166" formatCode="#,##0.0"/>
    <numFmt numFmtId="167" formatCode="#,##0.000"/>
    <numFmt numFmtId="168" formatCode="#,##0.000000"/>
    <numFmt numFmtId="169" formatCode="#,##0.0000000"/>
    <numFmt numFmtId="170" formatCode="#,##0.00000000"/>
    <numFmt numFmtId="171" formatCode="#,##0.000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" fontId="0" fillId="0" borderId="0" xfId="0" applyNumberFormat="1"/>
    <xf numFmtId="3" fontId="0" fillId="0" borderId="0" xfId="0" applyNumberFormat="1"/>
    <xf numFmtId="3" fontId="0" fillId="2" borderId="1" xfId="0" applyNumberFormat="1" applyFill="1" applyBorder="1"/>
    <xf numFmtId="165" fontId="0" fillId="2" borderId="1" xfId="0" applyNumberFormat="1" applyFill="1" applyBorder="1"/>
    <xf numFmtId="3" fontId="0" fillId="3" borderId="1" xfId="0" applyNumberFormat="1" applyFill="1" applyBorder="1"/>
    <xf numFmtId="4" fontId="0" fillId="2" borderId="1" xfId="0" applyNumberFormat="1" applyFill="1" applyBorder="1"/>
    <xf numFmtId="4" fontId="0" fillId="2" borderId="2" xfId="0" applyNumberFormat="1" applyFill="1" applyBorder="1"/>
    <xf numFmtId="166" fontId="0" fillId="2" borderId="1" xfId="0" applyNumberFormat="1" applyFill="1" applyBorder="1"/>
    <xf numFmtId="164" fontId="0" fillId="2" borderId="1" xfId="0" applyNumberFormat="1" applyFill="1" applyBorder="1"/>
    <xf numFmtId="4" fontId="0" fillId="3" borderId="1" xfId="0" applyNumberFormat="1" applyFill="1" applyBorder="1"/>
    <xf numFmtId="4" fontId="0" fillId="0" borderId="0" xfId="0" applyNumberFormat="1" applyAlignment="1">
      <alignment wrapText="1"/>
    </xf>
    <xf numFmtId="4" fontId="0" fillId="3" borderId="3" xfId="0" applyNumberFormat="1" applyFill="1" applyBorder="1"/>
    <xf numFmtId="169" fontId="0" fillId="2" borderId="1" xfId="0" applyNumberFormat="1" applyFill="1" applyBorder="1"/>
    <xf numFmtId="167" fontId="0" fillId="2" borderId="1" xfId="0" applyNumberFormat="1" applyFill="1" applyBorder="1"/>
    <xf numFmtId="168" fontId="0" fillId="2" borderId="1" xfId="0" applyNumberFormat="1" applyFill="1" applyBorder="1"/>
    <xf numFmtId="170" fontId="0" fillId="2" borderId="1" xfId="0" applyNumberFormat="1" applyFill="1" applyBorder="1"/>
    <xf numFmtId="168" fontId="0" fillId="3" borderId="1" xfId="0" applyNumberFormat="1" applyFill="1" applyBorder="1"/>
    <xf numFmtId="171" fontId="0" fillId="2" borderId="1" xfId="0" applyNumberFormat="1" applyFill="1" applyBorder="1"/>
    <xf numFmtId="4" fontId="0" fillId="2" borderId="1" xfId="0" applyNumberFormat="1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4" borderId="0" xfId="0" applyFill="1"/>
    <xf numFmtId="0" fontId="0" fillId="2" borderId="1" xfId="0" applyFill="1" applyBorder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22BB-90E9-453A-8540-87A1FB25ED67}">
  <dimension ref="A2:K26"/>
  <sheetViews>
    <sheetView workbookViewId="0">
      <selection activeCell="D5" sqref="D5"/>
    </sheetView>
  </sheetViews>
  <sheetFormatPr defaultRowHeight="14.5" x14ac:dyDescent="0.35"/>
  <cols>
    <col min="1" max="2" width="8.7265625" style="2"/>
    <col min="3" max="4" width="17.1796875" style="2" bestFit="1" customWidth="1"/>
    <col min="5" max="5" width="14.81640625" style="2" bestFit="1" customWidth="1"/>
    <col min="6" max="6" width="10.7265625" style="2" customWidth="1"/>
    <col min="7" max="7" width="26.90625" style="1" customWidth="1"/>
    <col min="8" max="8" width="12.36328125" style="1" bestFit="1" customWidth="1"/>
    <col min="9" max="9" width="8.7265625" style="1"/>
    <col min="10" max="10" width="6.90625" style="1" bestFit="1" customWidth="1"/>
    <col min="11" max="11" width="12.36328125" style="1" bestFit="1" customWidth="1"/>
    <col min="12" max="13" width="8.7265625" customWidth="1"/>
  </cols>
  <sheetData>
    <row r="2" spans="3:11" x14ac:dyDescent="0.35">
      <c r="F2"/>
    </row>
    <row r="3" spans="3:11" x14ac:dyDescent="0.35">
      <c r="C3" s="5" t="s">
        <v>4</v>
      </c>
      <c r="D3" s="5" t="s">
        <v>6</v>
      </c>
      <c r="E3" s="5" t="s">
        <v>0</v>
      </c>
      <c r="F3"/>
      <c r="G3" s="6" t="s">
        <v>5</v>
      </c>
    </row>
    <row r="4" spans="3:11" x14ac:dyDescent="0.35">
      <c r="C4" s="5">
        <f>36210*10^3</f>
        <v>36210000</v>
      </c>
      <c r="D4" s="5">
        <f>100*10^6</f>
        <v>100000000</v>
      </c>
      <c r="E4" s="5">
        <f>VLOOKUP(E3, Constants!$A$2:$B$4, 2, FALSE)</f>
        <v>300000000</v>
      </c>
      <c r="F4"/>
      <c r="G4" s="3">
        <f>2*(C4/E4)*D4</f>
        <v>24140000</v>
      </c>
    </row>
    <row r="9" spans="3:11" x14ac:dyDescent="0.35">
      <c r="D9" s="5" t="s">
        <v>4</v>
      </c>
      <c r="E9" s="5" t="s">
        <v>2</v>
      </c>
      <c r="G9" s="6" t="s">
        <v>7</v>
      </c>
      <c r="J9" s="6" t="s">
        <v>11</v>
      </c>
    </row>
    <row r="10" spans="3:11" x14ac:dyDescent="0.35">
      <c r="D10" s="5">
        <f>50*10^3</f>
        <v>50000</v>
      </c>
      <c r="E10" s="5">
        <f>VLOOKUP(E9, Constants!$A$2:$B$4, 2, FALSE)</f>
        <v>200000000</v>
      </c>
      <c r="G10" s="4">
        <f>D10/E10</f>
        <v>2.5000000000000001E-4</v>
      </c>
      <c r="H10" s="6" t="s">
        <v>8</v>
      </c>
      <c r="J10" s="9">
        <f>G10*2</f>
        <v>5.0000000000000001E-4</v>
      </c>
      <c r="K10" s="6" t="s">
        <v>8</v>
      </c>
    </row>
    <row r="11" spans="3:11" x14ac:dyDescent="0.35">
      <c r="G11" s="6">
        <f>G10*10^3</f>
        <v>0.25</v>
      </c>
      <c r="H11" s="6" t="s">
        <v>9</v>
      </c>
      <c r="J11" s="8">
        <f>G11*2</f>
        <v>0.5</v>
      </c>
      <c r="K11" s="6" t="s">
        <v>9</v>
      </c>
    </row>
    <row r="12" spans="3:11" x14ac:dyDescent="0.35">
      <c r="G12" s="6">
        <f>G11*10^3</f>
        <v>250</v>
      </c>
      <c r="H12" s="6" t="s">
        <v>10</v>
      </c>
      <c r="J12" s="3">
        <f>G12*2</f>
        <v>500</v>
      </c>
      <c r="K12" s="6" t="s">
        <v>10</v>
      </c>
    </row>
    <row r="17" spans="3:8" x14ac:dyDescent="0.35">
      <c r="C17" s="5" t="s">
        <v>13</v>
      </c>
      <c r="D17" s="5" t="s">
        <v>6</v>
      </c>
      <c r="E17" s="3" t="s">
        <v>14</v>
      </c>
      <c r="G17" s="7" t="s">
        <v>12</v>
      </c>
    </row>
    <row r="18" spans="3:8" x14ac:dyDescent="0.35">
      <c r="C18" s="5">
        <f>1*1024*1024*1024</f>
        <v>1073741824</v>
      </c>
      <c r="D18" s="5">
        <f>100*10^6</f>
        <v>100000000</v>
      </c>
      <c r="E18" s="3">
        <f>C18*8</f>
        <v>8589934592</v>
      </c>
      <c r="G18" s="9">
        <f>E18/D18</f>
        <v>85.899345920000002</v>
      </c>
      <c r="H18" s="6" t="s">
        <v>8</v>
      </c>
    </row>
    <row r="19" spans="3:8" x14ac:dyDescent="0.35">
      <c r="G19" s="9">
        <f>G18*10^3</f>
        <v>85899.345920000007</v>
      </c>
      <c r="H19" s="6" t="s">
        <v>9</v>
      </c>
    </row>
    <row r="20" spans="3:8" x14ac:dyDescent="0.35">
      <c r="G20" s="6">
        <f>G19*10^3</f>
        <v>85899345.920000002</v>
      </c>
      <c r="H20" s="6" t="s">
        <v>10</v>
      </c>
    </row>
    <row r="25" spans="3:8" x14ac:dyDescent="0.35">
      <c r="C25" s="5" t="s">
        <v>13</v>
      </c>
      <c r="D25" t="s">
        <v>16</v>
      </c>
      <c r="G25" s="1" t="s">
        <v>15</v>
      </c>
    </row>
    <row r="26" spans="3:8" x14ac:dyDescent="0.35">
      <c r="C26" s="5">
        <f>1*1024*1024*1024</f>
        <v>1073741824</v>
      </c>
      <c r="D26" s="5">
        <v>1460</v>
      </c>
      <c r="G26" s="2">
        <f>_xlfn.CEILING.MATH(C26/D26)</f>
        <v>735440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80CA1A-B407-46F7-B778-52AB255E4C75}">
          <x14:formula1>
            <xm:f>Constants!$A$2:$A$4</xm:f>
          </x14:formula1>
          <xm:sqref>K6 E9:F9 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2CC60-1290-495C-B4FF-B61AAE570DF7}">
  <dimension ref="A6:J83"/>
  <sheetViews>
    <sheetView topLeftCell="A66" workbookViewId="0">
      <selection activeCell="B66" sqref="B1:B1048576"/>
    </sheetView>
  </sheetViews>
  <sheetFormatPr defaultRowHeight="14.5" x14ac:dyDescent="0.35"/>
  <cols>
    <col min="1" max="1" width="11.453125" style="1" bestFit="1" customWidth="1"/>
    <col min="2" max="2" width="18.7265625" style="1" customWidth="1"/>
    <col min="3" max="3" width="12.36328125" style="1" bestFit="1" customWidth="1"/>
    <col min="4" max="4" width="8.7265625" style="1"/>
    <col min="5" max="5" width="16.08984375" style="1" bestFit="1" customWidth="1"/>
    <col min="6" max="6" width="18.08984375" style="1" bestFit="1" customWidth="1"/>
    <col min="7" max="7" width="13.26953125" style="1" bestFit="1" customWidth="1"/>
    <col min="8" max="8" width="18.08984375" style="1" bestFit="1" customWidth="1"/>
    <col min="9" max="9" width="11.36328125" style="1" bestFit="1" customWidth="1"/>
    <col min="10" max="10" width="18.08984375" style="1" bestFit="1" customWidth="1"/>
    <col min="11" max="11" width="8.7265625" style="1"/>
    <col min="12" max="12" width="8.7265625" style="1" customWidth="1"/>
    <col min="13" max="13" width="8.7265625" style="1"/>
    <col min="14" max="14" width="8.7265625" style="1" customWidth="1"/>
    <col min="15" max="15" width="8.7265625" style="1"/>
    <col min="16" max="16" width="8.7265625" style="1" customWidth="1"/>
    <col min="17" max="16384" width="8.7265625" style="1"/>
  </cols>
  <sheetData>
    <row r="6" spans="1:7" x14ac:dyDescent="0.35">
      <c r="A6" s="1" t="s">
        <v>25</v>
      </c>
    </row>
    <row r="7" spans="1:7" x14ac:dyDescent="0.35">
      <c r="B7" s="6" t="s">
        <v>7</v>
      </c>
      <c r="E7" s="10" t="s">
        <v>21</v>
      </c>
      <c r="F7" s="10" t="s">
        <v>22</v>
      </c>
    </row>
    <row r="8" spans="1:7" x14ac:dyDescent="0.35">
      <c r="B8" s="13">
        <f>E8/F8</f>
        <v>2.6086956521739131E-7</v>
      </c>
      <c r="C8" s="6" t="s">
        <v>8</v>
      </c>
      <c r="E8" s="10">
        <v>60</v>
      </c>
      <c r="F8" s="10">
        <f>VLOOKUP(G8, Constants!$A$2:$B$4, 2, FALSE)</f>
        <v>229999999.99999997</v>
      </c>
      <c r="G8" s="12" t="s">
        <v>1</v>
      </c>
    </row>
    <row r="9" spans="1:7" x14ac:dyDescent="0.35">
      <c r="B9" s="13">
        <f>B8*10^3</f>
        <v>2.6086956521739134E-4</v>
      </c>
      <c r="C9" s="6" t="s">
        <v>9</v>
      </c>
    </row>
    <row r="10" spans="1:7" x14ac:dyDescent="0.35">
      <c r="B10" s="13">
        <f>B9*10^3</f>
        <v>0.26086956521739135</v>
      </c>
      <c r="C10" s="6" t="s">
        <v>10</v>
      </c>
    </row>
    <row r="13" spans="1:7" x14ac:dyDescent="0.35">
      <c r="B13" s="6" t="s">
        <v>11</v>
      </c>
      <c r="E13" s="6" t="s">
        <v>7</v>
      </c>
    </row>
    <row r="14" spans="1:7" x14ac:dyDescent="0.35">
      <c r="B14" s="13">
        <f>2*E14</f>
        <v>5.2173913043478263E-7</v>
      </c>
      <c r="C14" s="6" t="s">
        <v>8</v>
      </c>
      <c r="E14" s="13">
        <f>B8</f>
        <v>2.6086956521739131E-7</v>
      </c>
    </row>
    <row r="15" spans="1:7" x14ac:dyDescent="0.35">
      <c r="B15" s="13">
        <f>B14*10^3</f>
        <v>5.2173913043478267E-4</v>
      </c>
      <c r="C15" s="6" t="s">
        <v>9</v>
      </c>
    </row>
    <row r="16" spans="1:7" x14ac:dyDescent="0.35">
      <c r="B16" s="13">
        <f>B15*10^3</f>
        <v>0.52173913043478271</v>
      </c>
      <c r="C16" s="6" t="s">
        <v>10</v>
      </c>
    </row>
    <row r="19" spans="1:7" x14ac:dyDescent="0.35">
      <c r="B19" s="6" t="s">
        <v>12</v>
      </c>
      <c r="E19" s="10" t="s">
        <v>6</v>
      </c>
      <c r="F19" s="10" t="s">
        <v>23</v>
      </c>
      <c r="G19" s="6" t="s">
        <v>14</v>
      </c>
    </row>
    <row r="20" spans="1:7" x14ac:dyDescent="0.35">
      <c r="B20" s="15">
        <f>G20/E20</f>
        <v>858.99345919999996</v>
      </c>
      <c r="C20" s="6" t="s">
        <v>8</v>
      </c>
      <c r="E20" s="5">
        <f>100*10^6</f>
        <v>100000000</v>
      </c>
      <c r="F20" s="5">
        <f>10*1024*1024*1024</f>
        <v>10737418240</v>
      </c>
      <c r="G20" s="3">
        <f>F20*8</f>
        <v>85899345920</v>
      </c>
    </row>
    <row r="21" spans="1:7" x14ac:dyDescent="0.35">
      <c r="B21" s="14">
        <f>B20*10^3</f>
        <v>858993.45919999992</v>
      </c>
      <c r="C21" s="6" t="s">
        <v>9</v>
      </c>
    </row>
    <row r="22" spans="1:7" x14ac:dyDescent="0.35">
      <c r="B22" s="3">
        <f>B21*10^3</f>
        <v>858993459.19999993</v>
      </c>
      <c r="C22" s="6" t="s">
        <v>10</v>
      </c>
    </row>
    <row r="25" spans="1:7" x14ac:dyDescent="0.35">
      <c r="A25" s="1" t="s">
        <v>24</v>
      </c>
    </row>
    <row r="26" spans="1:7" x14ac:dyDescent="0.35">
      <c r="B26" s="6" t="s">
        <v>7</v>
      </c>
      <c r="E26" s="10" t="s">
        <v>21</v>
      </c>
      <c r="F26" s="10" t="s">
        <v>22</v>
      </c>
    </row>
    <row r="27" spans="1:7" x14ac:dyDescent="0.35">
      <c r="B27" s="9">
        <f>E27/F27</f>
        <v>1.2500000000000001E-2</v>
      </c>
      <c r="C27" s="6" t="s">
        <v>8</v>
      </c>
      <c r="E27" s="10">
        <f>2500*10^3</f>
        <v>2500000</v>
      </c>
      <c r="F27" s="10">
        <f>VLOOKUP(G27, Constants!$A$2:$B$4, 2, FALSE)</f>
        <v>200000000</v>
      </c>
      <c r="G27" s="12" t="s">
        <v>2</v>
      </c>
    </row>
    <row r="28" spans="1:7" x14ac:dyDescent="0.35">
      <c r="B28" s="14">
        <f>B27*10^3</f>
        <v>12.5</v>
      </c>
      <c r="C28" s="6" t="s">
        <v>9</v>
      </c>
    </row>
    <row r="29" spans="1:7" x14ac:dyDescent="0.35">
      <c r="B29" s="3">
        <f>B28*10^3</f>
        <v>12500</v>
      </c>
      <c r="C29" s="6" t="s">
        <v>10</v>
      </c>
    </row>
    <row r="32" spans="1:7" x14ac:dyDescent="0.35">
      <c r="B32" s="6" t="s">
        <v>11</v>
      </c>
      <c r="E32" s="6" t="s">
        <v>7</v>
      </c>
    </row>
    <row r="33" spans="1:7" x14ac:dyDescent="0.35">
      <c r="B33" s="13">
        <f>2*E33</f>
        <v>2.5000000000000001E-2</v>
      </c>
      <c r="C33" s="6" t="s">
        <v>8</v>
      </c>
      <c r="E33" s="13">
        <f>B27</f>
        <v>1.2500000000000001E-2</v>
      </c>
    </row>
    <row r="34" spans="1:7" x14ac:dyDescent="0.35">
      <c r="B34" s="13">
        <f>B33*10^3</f>
        <v>25</v>
      </c>
      <c r="C34" s="6" t="s">
        <v>9</v>
      </c>
    </row>
    <row r="35" spans="1:7" x14ac:dyDescent="0.35">
      <c r="B35" s="13">
        <f>B34*10^3</f>
        <v>25000</v>
      </c>
      <c r="C35" s="6" t="s">
        <v>10</v>
      </c>
    </row>
    <row r="38" spans="1:7" x14ac:dyDescent="0.35">
      <c r="B38" s="6" t="s">
        <v>12</v>
      </c>
      <c r="E38" s="10" t="s">
        <v>6</v>
      </c>
      <c r="F38" s="6" t="s">
        <v>23</v>
      </c>
      <c r="G38" s="6" t="s">
        <v>14</v>
      </c>
    </row>
    <row r="39" spans="1:7" x14ac:dyDescent="0.35">
      <c r="B39" s="16">
        <f>G39/E39</f>
        <v>3.4359738368000001</v>
      </c>
      <c r="C39" s="6" t="s">
        <v>8</v>
      </c>
      <c r="E39" s="5">
        <f>25*10^9</f>
        <v>25000000000</v>
      </c>
      <c r="F39" s="3">
        <f>F20</f>
        <v>10737418240</v>
      </c>
      <c r="G39" s="3">
        <f>F39*8</f>
        <v>85899345920</v>
      </c>
    </row>
    <row r="40" spans="1:7" x14ac:dyDescent="0.35">
      <c r="B40" s="9">
        <f>B39*10^3</f>
        <v>3435.9738368000003</v>
      </c>
      <c r="C40" s="6" t="s">
        <v>9</v>
      </c>
    </row>
    <row r="41" spans="1:7" x14ac:dyDescent="0.35">
      <c r="B41" s="8">
        <f>B40*10^3</f>
        <v>3435973.8368000002</v>
      </c>
      <c r="C41" s="6" t="s">
        <v>10</v>
      </c>
    </row>
    <row r="44" spans="1:7" x14ac:dyDescent="0.35">
      <c r="A44" s="1" t="s">
        <v>26</v>
      </c>
    </row>
    <row r="45" spans="1:7" x14ac:dyDescent="0.35">
      <c r="B45" s="6" t="s">
        <v>7</v>
      </c>
      <c r="E45" s="10" t="s">
        <v>21</v>
      </c>
      <c r="F45" s="10" t="s">
        <v>22</v>
      </c>
    </row>
    <row r="46" spans="1:7" x14ac:dyDescent="0.35">
      <c r="B46" s="13">
        <f>E46/F46</f>
        <v>3.478260869565218E-7</v>
      </c>
      <c r="C46" s="6" t="s">
        <v>8</v>
      </c>
      <c r="E46" s="5">
        <f>80</f>
        <v>80</v>
      </c>
      <c r="F46" s="10">
        <f>VLOOKUP(G46, Constants!$A$2:$B$4, 2, FALSE)</f>
        <v>229999999.99999997</v>
      </c>
      <c r="G46" s="12" t="s">
        <v>1</v>
      </c>
    </row>
    <row r="47" spans="1:7" x14ac:dyDescent="0.35">
      <c r="B47" s="13">
        <f>B46*10^3</f>
        <v>3.4782608695652182E-4</v>
      </c>
      <c r="C47" s="6" t="s">
        <v>9</v>
      </c>
    </row>
    <row r="48" spans="1:7" x14ac:dyDescent="0.35">
      <c r="B48" s="13">
        <f>B47*10^3</f>
        <v>0.34782608695652184</v>
      </c>
      <c r="C48" s="6" t="s">
        <v>10</v>
      </c>
    </row>
    <row r="51" spans="1:7" x14ac:dyDescent="0.35">
      <c r="B51" s="6" t="s">
        <v>11</v>
      </c>
      <c r="E51" s="6" t="s">
        <v>7</v>
      </c>
    </row>
    <row r="52" spans="1:7" x14ac:dyDescent="0.35">
      <c r="B52" s="13">
        <f>2*E52</f>
        <v>6.9565217391304361E-7</v>
      </c>
      <c r="C52" s="6" t="s">
        <v>8</v>
      </c>
      <c r="E52" s="13">
        <f>B46</f>
        <v>3.478260869565218E-7</v>
      </c>
    </row>
    <row r="53" spans="1:7" x14ac:dyDescent="0.35">
      <c r="B53" s="13">
        <f>B52*10^3</f>
        <v>6.9565217391304363E-4</v>
      </c>
      <c r="C53" s="6" t="s">
        <v>9</v>
      </c>
    </row>
    <row r="54" spans="1:7" x14ac:dyDescent="0.35">
      <c r="B54" s="13">
        <f>B53*10^3</f>
        <v>0.69565217391304368</v>
      </c>
      <c r="C54" s="6" t="s">
        <v>10</v>
      </c>
    </row>
    <row r="57" spans="1:7" x14ac:dyDescent="0.35">
      <c r="B57" s="6" t="s">
        <v>12</v>
      </c>
      <c r="E57" s="10" t="s">
        <v>6</v>
      </c>
      <c r="F57" s="6" t="s">
        <v>23</v>
      </c>
      <c r="G57" s="6" t="s">
        <v>14</v>
      </c>
    </row>
    <row r="58" spans="1:7" x14ac:dyDescent="0.35">
      <c r="B58" s="15">
        <f>G58/E58</f>
        <v>85.899345920000002</v>
      </c>
      <c r="C58" s="6" t="s">
        <v>8</v>
      </c>
      <c r="E58" s="5">
        <f>1*10^9</f>
        <v>1000000000</v>
      </c>
      <c r="F58" s="3">
        <f>F20</f>
        <v>10737418240</v>
      </c>
      <c r="G58" s="3">
        <f>F58*8</f>
        <v>85899345920</v>
      </c>
    </row>
    <row r="59" spans="1:7" x14ac:dyDescent="0.35">
      <c r="B59" s="14">
        <f>B58*10^3</f>
        <v>85899.345920000007</v>
      </c>
      <c r="C59" s="6" t="s">
        <v>9</v>
      </c>
    </row>
    <row r="60" spans="1:7" x14ac:dyDescent="0.35">
      <c r="B60" s="3">
        <f>B59*10^3</f>
        <v>85899345.920000002</v>
      </c>
      <c r="C60" s="6" t="s">
        <v>10</v>
      </c>
    </row>
    <row r="63" spans="1:7" x14ac:dyDescent="0.35">
      <c r="A63" s="1" t="s">
        <v>27</v>
      </c>
    </row>
    <row r="64" spans="1:7" x14ac:dyDescent="0.35">
      <c r="B64" s="6" t="s">
        <v>28</v>
      </c>
      <c r="E64" s="6" t="s">
        <v>23</v>
      </c>
      <c r="F64" s="10" t="s">
        <v>29</v>
      </c>
    </row>
    <row r="65" spans="2:10" x14ac:dyDescent="0.35">
      <c r="B65" s="3">
        <f>_xlfn.CEILING.MATH(E65/F65)</f>
        <v>7354397</v>
      </c>
      <c r="E65" s="3">
        <f>F20</f>
        <v>10737418240</v>
      </c>
      <c r="F65" s="10">
        <v>1460</v>
      </c>
    </row>
    <row r="68" spans="2:10" x14ac:dyDescent="0.35">
      <c r="B68" s="6" t="s">
        <v>35</v>
      </c>
      <c r="E68" s="6" t="s">
        <v>28</v>
      </c>
      <c r="F68" s="10" t="s">
        <v>18</v>
      </c>
    </row>
    <row r="69" spans="2:10" x14ac:dyDescent="0.35">
      <c r="B69" s="6">
        <f>E69*F69</f>
        <v>367.71984999999995</v>
      </c>
      <c r="C69" s="6" t="s">
        <v>8</v>
      </c>
      <c r="E69" s="3">
        <f>B65</f>
        <v>7354397</v>
      </c>
      <c r="F69" s="17">
        <f>50*10^-6</f>
        <v>4.9999999999999996E-5</v>
      </c>
    </row>
    <row r="70" spans="2:10" x14ac:dyDescent="0.35">
      <c r="B70" s="6">
        <f>B69*10^3</f>
        <v>367719.85</v>
      </c>
      <c r="C70" s="6" t="s">
        <v>9</v>
      </c>
    </row>
    <row r="71" spans="2:10" x14ac:dyDescent="0.35">
      <c r="B71" s="6">
        <f>B70*10^3</f>
        <v>367719850</v>
      </c>
      <c r="C71" s="6" t="s">
        <v>10</v>
      </c>
    </row>
    <row r="74" spans="2:10" x14ac:dyDescent="0.35">
      <c r="B74" s="6" t="s">
        <v>30</v>
      </c>
      <c r="E74" s="6" t="s">
        <v>33</v>
      </c>
      <c r="F74" s="6" t="s">
        <v>18</v>
      </c>
      <c r="G74" s="6" t="s">
        <v>31</v>
      </c>
      <c r="H74" s="6" t="s">
        <v>18</v>
      </c>
      <c r="I74" s="6" t="s">
        <v>32</v>
      </c>
    </row>
    <row r="75" spans="2:10" x14ac:dyDescent="0.35">
      <c r="B75" s="13">
        <f>E75+(2*F75)+G75+(2*H75)+I75</f>
        <v>2.5201217391304348E-2</v>
      </c>
      <c r="C75" s="6" t="s">
        <v>8</v>
      </c>
      <c r="E75" s="18">
        <f>B14</f>
        <v>5.2173913043478263E-7</v>
      </c>
      <c r="F75" s="15">
        <f>F69</f>
        <v>4.9999999999999996E-5</v>
      </c>
      <c r="G75" s="14">
        <f>B33</f>
        <v>2.5000000000000001E-2</v>
      </c>
      <c r="H75" s="15">
        <f>F69</f>
        <v>4.9999999999999996E-5</v>
      </c>
      <c r="I75" s="18">
        <f>B52</f>
        <v>6.9565217391304361E-7</v>
      </c>
    </row>
    <row r="76" spans="2:10" x14ac:dyDescent="0.35">
      <c r="B76" s="15">
        <f>B75*10^3</f>
        <v>25.201217391304347</v>
      </c>
      <c r="C76" s="6" t="s">
        <v>9</v>
      </c>
    </row>
    <row r="77" spans="2:10" x14ac:dyDescent="0.35">
      <c r="B77" s="6">
        <f>B76*10^3</f>
        <v>25201.217391304348</v>
      </c>
      <c r="C77" s="6" t="s">
        <v>10</v>
      </c>
    </row>
    <row r="80" spans="2:10" s="11" customFormat="1" ht="40" customHeight="1" x14ac:dyDescent="0.35">
      <c r="B80" s="19" t="s">
        <v>34</v>
      </c>
      <c r="E80" s="19" t="s">
        <v>36</v>
      </c>
      <c r="F80" s="19" t="s">
        <v>17</v>
      </c>
      <c r="G80" s="19" t="s">
        <v>35</v>
      </c>
      <c r="H80" s="19" t="s">
        <v>19</v>
      </c>
      <c r="I80" s="19" t="s">
        <v>35</v>
      </c>
      <c r="J80" s="19" t="s">
        <v>20</v>
      </c>
    </row>
    <row r="81" spans="2:10" x14ac:dyDescent="0.35">
      <c r="B81" s="15">
        <f>E81+F81+G81+H81+I81+J81</f>
        <v>1683.8313820002784</v>
      </c>
      <c r="C81" s="6" t="s">
        <v>8</v>
      </c>
      <c r="E81" s="15">
        <f>2*B75</f>
        <v>5.0402434782608696E-2</v>
      </c>
      <c r="F81" s="15">
        <f>B8+B20</f>
        <v>858.99345946086953</v>
      </c>
      <c r="G81" s="15">
        <f>B69</f>
        <v>367.71984999999995</v>
      </c>
      <c r="H81" s="15">
        <f>B27+B39</f>
        <v>3.4484738368000003</v>
      </c>
      <c r="I81" s="15">
        <f>B69</f>
        <v>367.71984999999995</v>
      </c>
      <c r="J81" s="15">
        <f>B46+B58</f>
        <v>85.89934626782609</v>
      </c>
    </row>
    <row r="82" spans="2:10" x14ac:dyDescent="0.35">
      <c r="B82" s="14">
        <f>B81*10^3</f>
        <v>1683831.3820002784</v>
      </c>
      <c r="C82" s="6" t="s">
        <v>9</v>
      </c>
    </row>
    <row r="83" spans="2:10" x14ac:dyDescent="0.35">
      <c r="B83" s="3">
        <f>B82*10^3</f>
        <v>1683831382.0002785</v>
      </c>
      <c r="C83" s="6" t="s">
        <v>10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2EB1F7-57D0-4696-9011-B1B41A465F14}">
          <x14:formula1>
            <xm:f>Constants!$A$2:$A$4</xm:f>
          </x14:formula1>
          <xm:sqref>G8 G27 G46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2EB6-2547-473E-ABA6-153D06EFEFD0}">
  <dimension ref="A2:J118"/>
  <sheetViews>
    <sheetView tabSelected="1" topLeftCell="A56" workbookViewId="0">
      <selection activeCell="D71" sqref="D71"/>
    </sheetView>
  </sheetViews>
  <sheetFormatPr defaultRowHeight="14.5" x14ac:dyDescent="0.35"/>
  <cols>
    <col min="1" max="1" width="12" bestFit="1" customWidth="1"/>
    <col min="2" max="2" width="26.90625" customWidth="1"/>
    <col min="3" max="3" width="12.36328125" bestFit="1" customWidth="1"/>
    <col min="4" max="4" width="8.7265625" customWidth="1"/>
    <col min="5" max="5" width="17.08984375" bestFit="1" customWidth="1"/>
    <col min="6" max="6" width="18.08984375" bestFit="1" customWidth="1"/>
    <col min="7" max="7" width="14.26953125" bestFit="1" customWidth="1"/>
    <col min="8" max="8" width="18.08984375" bestFit="1" customWidth="1"/>
    <col min="9" max="9" width="11.81640625" bestFit="1" customWidth="1"/>
    <col min="10" max="10" width="18.08984375" bestFit="1" customWidth="1"/>
  </cols>
  <sheetData>
    <row r="2" spans="2:6" ht="14.5" customHeight="1" x14ac:dyDescent="0.35">
      <c r="B2" s="23" t="s">
        <v>37</v>
      </c>
      <c r="C2" s="23"/>
    </row>
    <row r="3" spans="2:6" ht="14.5" customHeight="1" x14ac:dyDescent="0.35">
      <c r="B3" s="23"/>
      <c r="C3" s="23"/>
    </row>
    <row r="4" spans="2:6" ht="14.5" customHeight="1" x14ac:dyDescent="0.35">
      <c r="B4" s="20"/>
      <c r="C4" s="20"/>
    </row>
    <row r="5" spans="2:6" x14ac:dyDescent="0.35">
      <c r="B5" s="6" t="s">
        <v>7</v>
      </c>
      <c r="C5" s="1"/>
      <c r="D5" s="1"/>
      <c r="E5" s="5" t="s">
        <v>4</v>
      </c>
      <c r="F5" s="5" t="s">
        <v>1</v>
      </c>
    </row>
    <row r="6" spans="2:6" x14ac:dyDescent="0.35">
      <c r="B6" s="4">
        <f>E6/F6</f>
        <v>4.3478260869565224E-7</v>
      </c>
      <c r="C6" s="6" t="s">
        <v>8</v>
      </c>
      <c r="D6" s="1"/>
      <c r="E6" s="5">
        <f>100</f>
        <v>100</v>
      </c>
      <c r="F6" s="5">
        <f>VLOOKUP(F5, Constants!$A$2:$B$4, 2, FALSE)</f>
        <v>229999999.99999997</v>
      </c>
    </row>
    <row r="7" spans="2:6" x14ac:dyDescent="0.35">
      <c r="B7" s="6">
        <f>B6*10^3</f>
        <v>4.3478260869565224E-4</v>
      </c>
      <c r="C7" s="6" t="s">
        <v>9</v>
      </c>
      <c r="D7" s="1"/>
    </row>
    <row r="8" spans="2:6" x14ac:dyDescent="0.35">
      <c r="B8" s="6">
        <f>B7*10^3</f>
        <v>0.43478260869565222</v>
      </c>
      <c r="C8" s="6" t="s">
        <v>10</v>
      </c>
      <c r="D8" s="1"/>
    </row>
    <row r="10" spans="2:6" x14ac:dyDescent="0.35">
      <c r="B10" s="6" t="s">
        <v>11</v>
      </c>
      <c r="C10" s="1"/>
    </row>
    <row r="11" spans="2:6" x14ac:dyDescent="0.35">
      <c r="B11" s="16">
        <f>B6*2</f>
        <v>8.6956521739130448E-7</v>
      </c>
      <c r="C11" s="6" t="s">
        <v>8</v>
      </c>
    </row>
    <row r="12" spans="2:6" x14ac:dyDescent="0.35">
      <c r="B12" s="8">
        <f>B7*2</f>
        <v>8.6956521739130449E-4</v>
      </c>
      <c r="C12" s="6" t="s">
        <v>9</v>
      </c>
    </row>
    <row r="13" spans="2:6" x14ac:dyDescent="0.35">
      <c r="B13" s="3">
        <f>B8*2</f>
        <v>0.86956521739130443</v>
      </c>
      <c r="C13" s="6" t="s">
        <v>10</v>
      </c>
    </row>
    <row r="15" spans="2:6" s="21" customFormat="1" x14ac:dyDescent="0.35"/>
    <row r="17" spans="1:10" x14ac:dyDescent="0.35">
      <c r="B17" s="23" t="s">
        <v>38</v>
      </c>
      <c r="C17" s="23"/>
    </row>
    <row r="18" spans="1:10" x14ac:dyDescent="0.35">
      <c r="B18" s="23"/>
      <c r="C18" s="23"/>
    </row>
    <row r="19" spans="1:10" x14ac:dyDescent="0.35">
      <c r="B19" s="20"/>
      <c r="C19" s="20"/>
    </row>
    <row r="20" spans="1:10" x14ac:dyDescent="0.35">
      <c r="B20" s="6" t="s">
        <v>28</v>
      </c>
      <c r="E20" s="10" t="s">
        <v>23</v>
      </c>
      <c r="F20" s="10" t="s">
        <v>29</v>
      </c>
    </row>
    <row r="21" spans="1:10" x14ac:dyDescent="0.35">
      <c r="B21" s="3">
        <f>_xlfn.CEILING.MATH(E21/F21)</f>
        <v>110315941</v>
      </c>
      <c r="C21" s="22" t="s">
        <v>47</v>
      </c>
      <c r="E21" s="5">
        <f>150*(1024*1024*1024)</f>
        <v>161061273600</v>
      </c>
      <c r="F21" s="10">
        <v>1460</v>
      </c>
    </row>
    <row r="23" spans="1:10" s="21" customFormat="1" x14ac:dyDescent="0.35"/>
    <row r="25" spans="1:10" x14ac:dyDescent="0.35">
      <c r="B25" s="23" t="s">
        <v>39</v>
      </c>
      <c r="C25" s="23"/>
    </row>
    <row r="26" spans="1:10" x14ac:dyDescent="0.35">
      <c r="B26" s="23"/>
      <c r="C26" s="23"/>
    </row>
    <row r="27" spans="1:10" x14ac:dyDescent="0.35">
      <c r="B27" t="s">
        <v>42</v>
      </c>
    </row>
    <row r="28" spans="1:10" x14ac:dyDescent="0.35">
      <c r="B28" t="s">
        <v>43</v>
      </c>
    </row>
    <row r="29" spans="1:10" x14ac:dyDescent="0.35">
      <c r="B29" t="s">
        <v>44</v>
      </c>
    </row>
    <row r="30" spans="1:10" x14ac:dyDescent="0.35">
      <c r="B30" t="s">
        <v>45</v>
      </c>
    </row>
    <row r="31" spans="1:10" x14ac:dyDescent="0.35">
      <c r="B31" t="s">
        <v>46</v>
      </c>
    </row>
    <row r="32" spans="1:10" x14ac:dyDescent="0.35">
      <c r="A32" s="1" t="s">
        <v>25</v>
      </c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5">
      <c r="A33" s="1"/>
      <c r="B33" s="6" t="s">
        <v>7</v>
      </c>
      <c r="C33" s="1"/>
      <c r="D33" s="1"/>
      <c r="E33" s="10" t="s">
        <v>21</v>
      </c>
      <c r="F33" s="10" t="s">
        <v>22</v>
      </c>
      <c r="G33" s="1"/>
      <c r="H33" s="1"/>
      <c r="I33" s="1"/>
      <c r="J33" s="1"/>
    </row>
    <row r="34" spans="1:10" x14ac:dyDescent="0.35">
      <c r="A34" s="1"/>
      <c r="B34" s="13">
        <f>E34/F34</f>
        <v>2.6086956521739131E-7</v>
      </c>
      <c r="C34" s="6" t="s">
        <v>8</v>
      </c>
      <c r="D34" s="1"/>
      <c r="E34" s="10">
        <v>60</v>
      </c>
      <c r="F34" s="10">
        <f>VLOOKUP(G34, Constants!$A$2:$B$4, 2, FALSE)</f>
        <v>229999999.99999997</v>
      </c>
      <c r="G34" s="12" t="s">
        <v>1</v>
      </c>
      <c r="H34" s="1"/>
      <c r="I34" s="1"/>
      <c r="J34" s="1"/>
    </row>
    <row r="35" spans="1:10" x14ac:dyDescent="0.35">
      <c r="A35" s="1"/>
      <c r="B35" s="13">
        <f>B34*10^3</f>
        <v>2.6086956521739134E-4</v>
      </c>
      <c r="C35" s="6" t="s">
        <v>9</v>
      </c>
      <c r="D35" s="1"/>
      <c r="E35" s="1"/>
      <c r="F35" s="1"/>
      <c r="G35" s="1"/>
      <c r="H35" s="1"/>
      <c r="I35" s="1"/>
      <c r="J35" s="1"/>
    </row>
    <row r="36" spans="1:10" x14ac:dyDescent="0.35">
      <c r="A36" s="1"/>
      <c r="B36" s="13">
        <f>B35*10^3</f>
        <v>0.26086956521739135</v>
      </c>
      <c r="C36" s="6" t="s">
        <v>10</v>
      </c>
      <c r="D36" s="1"/>
      <c r="E36" s="1"/>
      <c r="F36" s="1"/>
      <c r="G36" s="1"/>
      <c r="H36" s="1"/>
      <c r="I36" s="1"/>
      <c r="J36" s="1"/>
    </row>
    <row r="37" spans="1:10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35">
      <c r="A39" s="1"/>
      <c r="B39" s="6" t="s">
        <v>11</v>
      </c>
      <c r="C39" s="1"/>
      <c r="D39" s="1"/>
      <c r="E39" s="6" t="s">
        <v>7</v>
      </c>
      <c r="F39" s="1"/>
      <c r="G39" s="1"/>
      <c r="H39" s="1"/>
      <c r="I39" s="1"/>
      <c r="J39" s="1"/>
    </row>
    <row r="40" spans="1:10" x14ac:dyDescent="0.35">
      <c r="A40" s="1"/>
      <c r="B40" s="13">
        <f>2*E40</f>
        <v>5.2173913043478263E-7</v>
      </c>
      <c r="C40" s="6" t="s">
        <v>8</v>
      </c>
      <c r="D40" s="1"/>
      <c r="E40" s="13">
        <f>B34</f>
        <v>2.6086956521739131E-7</v>
      </c>
      <c r="F40" s="1"/>
      <c r="G40" s="1"/>
      <c r="H40" s="1"/>
      <c r="I40" s="1"/>
      <c r="J40" s="1"/>
    </row>
    <row r="41" spans="1:10" x14ac:dyDescent="0.35">
      <c r="A41" s="1"/>
      <c r="B41" s="13">
        <f>B40*10^3</f>
        <v>5.2173913043478267E-4</v>
      </c>
      <c r="C41" s="6" t="s">
        <v>9</v>
      </c>
      <c r="D41" s="1"/>
      <c r="E41" s="1"/>
      <c r="F41" s="1"/>
      <c r="G41" s="1"/>
      <c r="H41" s="1"/>
      <c r="I41" s="1"/>
      <c r="J41" s="1"/>
    </row>
    <row r="42" spans="1:10" x14ac:dyDescent="0.35">
      <c r="A42" s="1"/>
      <c r="B42" s="13">
        <f>B41*10^3</f>
        <v>0.52173913043478271</v>
      </c>
      <c r="C42" s="6" t="s">
        <v>10</v>
      </c>
      <c r="D42" s="1"/>
      <c r="E42" s="1"/>
      <c r="F42" s="1"/>
      <c r="G42" s="1"/>
      <c r="H42" s="1"/>
      <c r="I42" s="1"/>
      <c r="J42" s="1"/>
    </row>
    <row r="43" spans="1:10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35">
      <c r="A45" s="1"/>
      <c r="B45" s="6" t="s">
        <v>12</v>
      </c>
      <c r="C45" s="1"/>
      <c r="D45" s="1"/>
      <c r="E45" s="10" t="s">
        <v>6</v>
      </c>
      <c r="F45" s="10" t="s">
        <v>23</v>
      </c>
      <c r="G45" s="6" t="s">
        <v>14</v>
      </c>
      <c r="H45" s="1"/>
      <c r="I45" s="1"/>
      <c r="J45" s="1"/>
    </row>
    <row r="46" spans="1:10" x14ac:dyDescent="0.35">
      <c r="A46" s="1"/>
      <c r="B46" s="15">
        <f>G46/E46</f>
        <v>85.899345920000002</v>
      </c>
      <c r="C46" s="6" t="s">
        <v>8</v>
      </c>
      <c r="D46" s="1"/>
      <c r="E46" s="5">
        <f>10*10^9</f>
        <v>10000000000</v>
      </c>
      <c r="F46" s="5">
        <f>100*1024*1024*1024</f>
        <v>107374182400</v>
      </c>
      <c r="G46" s="3">
        <f>F46*8</f>
        <v>858993459200</v>
      </c>
      <c r="H46" s="1"/>
      <c r="I46" s="1"/>
      <c r="J46" s="1"/>
    </row>
    <row r="47" spans="1:10" x14ac:dyDescent="0.35">
      <c r="A47" s="1"/>
      <c r="B47" s="14">
        <f>B46*10^3</f>
        <v>85899.345920000007</v>
      </c>
      <c r="C47" s="6" t="s">
        <v>9</v>
      </c>
      <c r="D47" s="1"/>
      <c r="E47" s="1"/>
      <c r="F47" s="1"/>
      <c r="G47" s="1"/>
      <c r="H47" s="1"/>
      <c r="I47" s="1"/>
      <c r="J47" s="1"/>
    </row>
    <row r="48" spans="1:10" x14ac:dyDescent="0.35">
      <c r="A48" s="1"/>
      <c r="B48" s="3">
        <f>B47*10^3</f>
        <v>85899345.920000002</v>
      </c>
      <c r="C48" s="6" t="s">
        <v>10</v>
      </c>
      <c r="D48" s="1"/>
      <c r="E48" s="1"/>
      <c r="F48" s="1"/>
      <c r="G48" s="1"/>
      <c r="H48" s="1"/>
      <c r="I48" s="1"/>
      <c r="J48" s="1"/>
    </row>
    <row r="49" spans="1:10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35">
      <c r="A51" s="1" t="s">
        <v>48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35">
      <c r="A52" s="1"/>
      <c r="B52" s="6" t="s">
        <v>7</v>
      </c>
      <c r="C52" s="1"/>
      <c r="D52" s="1"/>
      <c r="E52" s="10" t="s">
        <v>21</v>
      </c>
      <c r="F52" s="10" t="s">
        <v>22</v>
      </c>
      <c r="G52" s="1"/>
      <c r="H52" s="1"/>
      <c r="I52" s="1"/>
      <c r="J52" s="1"/>
    </row>
    <row r="53" spans="1:10" x14ac:dyDescent="0.35">
      <c r="A53" s="1"/>
      <c r="B53" s="9">
        <f>E53/F53</f>
        <v>8.9999999999999993E-3</v>
      </c>
      <c r="C53" s="6" t="s">
        <v>8</v>
      </c>
      <c r="D53" s="1"/>
      <c r="E53" s="10">
        <f>1800*10^3</f>
        <v>1800000</v>
      </c>
      <c r="F53" s="10">
        <f>VLOOKUP(G53, Constants!$A$2:$B$4, 2, FALSE)</f>
        <v>200000000</v>
      </c>
      <c r="G53" s="12" t="s">
        <v>2</v>
      </c>
      <c r="H53" s="1"/>
      <c r="I53" s="1"/>
      <c r="J53" s="1"/>
    </row>
    <row r="54" spans="1:10" x14ac:dyDescent="0.35">
      <c r="A54" s="1"/>
      <c r="B54" s="14">
        <f>B53*10^3</f>
        <v>9</v>
      </c>
      <c r="C54" s="6" t="s">
        <v>9</v>
      </c>
      <c r="D54" s="1"/>
      <c r="E54" s="1"/>
      <c r="F54" s="1"/>
      <c r="G54" s="1"/>
      <c r="H54" s="1"/>
      <c r="I54" s="1"/>
      <c r="J54" s="1"/>
    </row>
    <row r="55" spans="1:10" x14ac:dyDescent="0.35">
      <c r="A55" s="1"/>
      <c r="B55" s="3">
        <f>B54*10^3</f>
        <v>9000</v>
      </c>
      <c r="C55" s="6" t="s">
        <v>10</v>
      </c>
      <c r="D55" s="1"/>
      <c r="E55" s="1"/>
      <c r="F55" s="1"/>
      <c r="G55" s="1"/>
      <c r="H55" s="1"/>
      <c r="I55" s="1"/>
      <c r="J55" s="1"/>
    </row>
    <row r="56" spans="1:10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35">
      <c r="A58" s="1"/>
      <c r="B58" s="6" t="s">
        <v>11</v>
      </c>
      <c r="C58" s="1"/>
      <c r="D58" s="1"/>
      <c r="E58" s="6" t="s">
        <v>7</v>
      </c>
      <c r="F58" s="1"/>
      <c r="G58" s="1"/>
      <c r="H58" s="1"/>
      <c r="I58" s="1"/>
      <c r="J58" s="1"/>
    </row>
    <row r="59" spans="1:10" x14ac:dyDescent="0.35">
      <c r="A59" s="1"/>
      <c r="B59" s="13">
        <f>2*E59</f>
        <v>1.7999999999999999E-2</v>
      </c>
      <c r="C59" s="6" t="s">
        <v>8</v>
      </c>
      <c r="D59" s="1"/>
      <c r="E59" s="13">
        <f>B53</f>
        <v>8.9999999999999993E-3</v>
      </c>
      <c r="F59" s="1"/>
      <c r="G59" s="1"/>
      <c r="H59" s="1"/>
      <c r="I59" s="1"/>
      <c r="J59" s="1"/>
    </row>
    <row r="60" spans="1:10" x14ac:dyDescent="0.35">
      <c r="A60" s="1"/>
      <c r="B60" s="13">
        <f>B59*10^3</f>
        <v>18</v>
      </c>
      <c r="C60" s="6" t="s">
        <v>9</v>
      </c>
      <c r="D60" s="1"/>
      <c r="E60" s="1"/>
      <c r="F60" s="1"/>
      <c r="G60" s="1"/>
      <c r="H60" s="1"/>
      <c r="I60" s="1"/>
      <c r="J60" s="1"/>
    </row>
    <row r="61" spans="1:10" x14ac:dyDescent="0.35">
      <c r="A61" s="1"/>
      <c r="B61" s="13">
        <f>B60*10^3</f>
        <v>18000</v>
      </c>
      <c r="C61" s="6" t="s">
        <v>10</v>
      </c>
      <c r="D61" s="1"/>
      <c r="E61" s="1"/>
      <c r="F61" s="1"/>
      <c r="G61" s="1"/>
      <c r="H61" s="1"/>
      <c r="I61" s="1"/>
      <c r="J61" s="1"/>
    </row>
    <row r="62" spans="1:10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35">
      <c r="A64" s="1"/>
      <c r="B64" s="6" t="s">
        <v>12</v>
      </c>
      <c r="C64" s="1"/>
      <c r="D64" s="1"/>
      <c r="E64" s="10" t="s">
        <v>6</v>
      </c>
      <c r="F64" s="6" t="s">
        <v>23</v>
      </c>
      <c r="G64" s="6" t="s">
        <v>14</v>
      </c>
      <c r="H64" s="1"/>
      <c r="I64" s="1"/>
      <c r="J64" s="1"/>
    </row>
    <row r="65" spans="1:10" x14ac:dyDescent="0.35">
      <c r="A65" s="1"/>
      <c r="B65" s="16">
        <f>G65/E65</f>
        <v>21.47483648</v>
      </c>
      <c r="C65" s="6" t="s">
        <v>8</v>
      </c>
      <c r="D65" s="1"/>
      <c r="E65" s="5">
        <f>40*10^9</f>
        <v>40000000000</v>
      </c>
      <c r="F65" s="3">
        <f>F46</f>
        <v>107374182400</v>
      </c>
      <c r="G65" s="3">
        <f>F65*8</f>
        <v>858993459200</v>
      </c>
      <c r="H65" s="1"/>
      <c r="I65" s="1"/>
      <c r="J65" s="1"/>
    </row>
    <row r="66" spans="1:10" x14ac:dyDescent="0.35">
      <c r="A66" s="1"/>
      <c r="B66" s="9">
        <f>B65*10^3</f>
        <v>21474.836480000002</v>
      </c>
      <c r="C66" s="6" t="s">
        <v>9</v>
      </c>
      <c r="D66" s="1"/>
      <c r="E66" s="1"/>
      <c r="F66" s="1"/>
      <c r="G66" s="1"/>
      <c r="H66" s="1"/>
      <c r="I66" s="1"/>
      <c r="J66" s="1"/>
    </row>
    <row r="67" spans="1:10" x14ac:dyDescent="0.35">
      <c r="A67" s="1"/>
      <c r="B67" s="8">
        <f>B66*10^3</f>
        <v>21474836.48</v>
      </c>
      <c r="C67" s="6" t="s">
        <v>10</v>
      </c>
      <c r="D67" s="1"/>
      <c r="E67" s="1"/>
      <c r="F67" s="1"/>
      <c r="G67" s="1"/>
      <c r="H67" s="1"/>
      <c r="I67" s="1"/>
      <c r="J67" s="1"/>
    </row>
    <row r="68" spans="1:10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35">
      <c r="A70" s="1" t="s">
        <v>49</v>
      </c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35">
      <c r="A71" s="1"/>
      <c r="B71" s="6" t="s">
        <v>7</v>
      </c>
      <c r="C71" s="1"/>
      <c r="D71" s="1"/>
      <c r="E71" s="10" t="s">
        <v>21</v>
      </c>
      <c r="F71" s="10" t="s">
        <v>22</v>
      </c>
      <c r="G71" s="1"/>
      <c r="H71" s="1"/>
      <c r="I71" s="1"/>
      <c r="J71" s="1"/>
    </row>
    <row r="72" spans="1:10" x14ac:dyDescent="0.35">
      <c r="A72" s="1"/>
      <c r="B72" s="13">
        <f>E72/F72</f>
        <v>3.91304347826087E-7</v>
      </c>
      <c r="C72" s="6" t="s">
        <v>8</v>
      </c>
      <c r="D72" s="1"/>
      <c r="E72" s="5">
        <f>90</f>
        <v>90</v>
      </c>
      <c r="F72" s="10">
        <f>VLOOKUP(G72, Constants!$A$2:$B$4, 2, FALSE)</f>
        <v>229999999.99999997</v>
      </c>
      <c r="G72" s="12" t="s">
        <v>1</v>
      </c>
      <c r="H72" s="1"/>
      <c r="I72" s="1"/>
      <c r="J72" s="1"/>
    </row>
    <row r="73" spans="1:10" x14ac:dyDescent="0.35">
      <c r="A73" s="1"/>
      <c r="B73" s="13">
        <f>B72*10^3</f>
        <v>3.9130434782608698E-4</v>
      </c>
      <c r="C73" s="6" t="s">
        <v>9</v>
      </c>
      <c r="D73" s="1"/>
      <c r="E73" s="1"/>
      <c r="F73" s="1"/>
      <c r="G73" s="1"/>
      <c r="H73" s="1"/>
      <c r="I73" s="1"/>
      <c r="J73" s="1"/>
    </row>
    <row r="74" spans="1:10" x14ac:dyDescent="0.35">
      <c r="A74" s="1"/>
      <c r="B74" s="13">
        <f>B73*10^3</f>
        <v>0.39130434782608697</v>
      </c>
      <c r="C74" s="6" t="s">
        <v>10</v>
      </c>
      <c r="D74" s="1"/>
      <c r="E74" s="1"/>
      <c r="F74" s="1"/>
      <c r="G74" s="1"/>
      <c r="H74" s="1"/>
      <c r="I74" s="1"/>
      <c r="J74" s="1"/>
    </row>
    <row r="75" spans="1:10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35">
      <c r="A77" s="1"/>
      <c r="B77" s="6" t="s">
        <v>11</v>
      </c>
      <c r="C77" s="1"/>
      <c r="D77" s="1"/>
      <c r="E77" s="6" t="s">
        <v>7</v>
      </c>
      <c r="F77" s="1"/>
      <c r="G77" s="1"/>
      <c r="H77" s="1"/>
      <c r="I77" s="1"/>
      <c r="J77" s="1"/>
    </row>
    <row r="78" spans="1:10" x14ac:dyDescent="0.35">
      <c r="A78" s="1"/>
      <c r="B78" s="13">
        <f>2*E78</f>
        <v>7.8260869565217399E-7</v>
      </c>
      <c r="C78" s="6" t="s">
        <v>8</v>
      </c>
      <c r="D78" s="1"/>
      <c r="E78" s="13">
        <f>B72</f>
        <v>3.91304347826087E-7</v>
      </c>
      <c r="F78" s="1"/>
      <c r="G78" s="1"/>
      <c r="H78" s="1"/>
      <c r="I78" s="1"/>
      <c r="J78" s="1"/>
    </row>
    <row r="79" spans="1:10" x14ac:dyDescent="0.35">
      <c r="A79" s="1"/>
      <c r="B79" s="13">
        <f>B78*10^3</f>
        <v>7.8260869565217395E-4</v>
      </c>
      <c r="C79" s="6" t="s">
        <v>9</v>
      </c>
      <c r="D79" s="1"/>
      <c r="E79" s="1"/>
      <c r="F79" s="1"/>
      <c r="G79" s="1"/>
      <c r="H79" s="1"/>
      <c r="I79" s="1"/>
      <c r="J79" s="1"/>
    </row>
    <row r="80" spans="1:10" x14ac:dyDescent="0.35">
      <c r="A80" s="1"/>
      <c r="B80" s="13">
        <f>B79*10^3</f>
        <v>0.78260869565217395</v>
      </c>
      <c r="C80" s="6" t="s">
        <v>10</v>
      </c>
      <c r="D80" s="1"/>
      <c r="E80" s="1"/>
      <c r="F80" s="1"/>
      <c r="G80" s="1"/>
      <c r="H80" s="1"/>
      <c r="I80" s="1"/>
      <c r="J80" s="1"/>
    </row>
    <row r="81" spans="1:10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35">
      <c r="A83" s="1"/>
      <c r="B83" s="6" t="s">
        <v>12</v>
      </c>
      <c r="C83" s="1"/>
      <c r="D83" s="1"/>
      <c r="E83" s="10" t="s">
        <v>6</v>
      </c>
      <c r="F83" s="6" t="s">
        <v>23</v>
      </c>
      <c r="G83" s="6" t="s">
        <v>14</v>
      </c>
      <c r="H83" s="1"/>
      <c r="I83" s="1"/>
      <c r="J83" s="1"/>
    </row>
    <row r="84" spans="1:10" x14ac:dyDescent="0.35">
      <c r="A84" s="1"/>
      <c r="B84" s="15">
        <f>G84/E84</f>
        <v>858.99345919999996</v>
      </c>
      <c r="C84" s="6" t="s">
        <v>8</v>
      </c>
      <c r="D84" s="1"/>
      <c r="E84" s="5">
        <f>1*10^9</f>
        <v>1000000000</v>
      </c>
      <c r="F84" s="3">
        <f>F46</f>
        <v>107374182400</v>
      </c>
      <c r="G84" s="3">
        <f>F84*8</f>
        <v>858993459200</v>
      </c>
      <c r="H84" s="1"/>
      <c r="I84" s="1"/>
      <c r="J84" s="1"/>
    </row>
    <row r="85" spans="1:10" x14ac:dyDescent="0.35">
      <c r="A85" s="1"/>
      <c r="B85" s="14">
        <f>B84*10^3</f>
        <v>858993.45919999992</v>
      </c>
      <c r="C85" s="6" t="s">
        <v>9</v>
      </c>
      <c r="D85" s="1"/>
      <c r="E85" s="1"/>
      <c r="F85" s="1"/>
      <c r="G85" s="1"/>
      <c r="H85" s="1"/>
      <c r="I85" s="1"/>
      <c r="J85" s="1"/>
    </row>
    <row r="86" spans="1:10" x14ac:dyDescent="0.35">
      <c r="A86" s="1"/>
      <c r="B86" s="3">
        <f>B85*10^3</f>
        <v>858993459.19999993</v>
      </c>
      <c r="C86" s="6" t="s">
        <v>10</v>
      </c>
      <c r="D86" s="1"/>
      <c r="E86" s="1"/>
      <c r="F86" s="1"/>
      <c r="G86" s="1"/>
      <c r="H86" s="1"/>
      <c r="I86" s="1"/>
      <c r="J86" s="1"/>
    </row>
    <row r="87" spans="1:10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x14ac:dyDescent="0.35">
      <c r="A89" s="1" t="s">
        <v>27</v>
      </c>
      <c r="B89" s="1"/>
      <c r="C89" s="1"/>
      <c r="D89" s="1"/>
      <c r="E89" s="1"/>
      <c r="F89" s="1"/>
      <c r="G89" s="1"/>
      <c r="H89" s="1"/>
      <c r="I89" s="1"/>
      <c r="J89" s="1"/>
    </row>
    <row r="90" spans="1:10" x14ac:dyDescent="0.35">
      <c r="A90" s="1"/>
      <c r="B90" s="6" t="s">
        <v>28</v>
      </c>
      <c r="C90" s="1"/>
      <c r="D90" s="1"/>
      <c r="E90" s="6" t="s">
        <v>23</v>
      </c>
      <c r="F90" s="10" t="s">
        <v>29</v>
      </c>
      <c r="G90" s="1"/>
      <c r="H90" s="1"/>
      <c r="I90" s="1"/>
      <c r="J90" s="1"/>
    </row>
    <row r="91" spans="1:10" x14ac:dyDescent="0.35">
      <c r="A91" s="1"/>
      <c r="B91" s="3">
        <f>_xlfn.CEILING.MATH(E91/F91)</f>
        <v>73543961</v>
      </c>
      <c r="C91" s="1"/>
      <c r="D91" s="1"/>
      <c r="E91" s="3">
        <f>F46</f>
        <v>107374182400</v>
      </c>
      <c r="F91" s="10">
        <v>1460</v>
      </c>
      <c r="G91" s="1"/>
      <c r="H91" s="1"/>
      <c r="I91" s="1"/>
      <c r="J91" s="1"/>
    </row>
    <row r="92" spans="1:10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x14ac:dyDescent="0.35">
      <c r="A94" s="1"/>
      <c r="B94" s="6" t="s">
        <v>35</v>
      </c>
      <c r="C94" s="1"/>
      <c r="D94" s="1"/>
      <c r="E94" s="6" t="s">
        <v>28</v>
      </c>
      <c r="F94" s="10" t="s">
        <v>18</v>
      </c>
      <c r="G94" s="1"/>
      <c r="H94" s="1"/>
      <c r="I94" s="1"/>
      <c r="J94" s="1"/>
    </row>
    <row r="95" spans="1:10" x14ac:dyDescent="0.35">
      <c r="A95" s="1"/>
      <c r="B95" s="6">
        <f>E95*F95</f>
        <v>2941.7584399999996</v>
      </c>
      <c r="C95" s="6" t="s">
        <v>8</v>
      </c>
      <c r="D95" s="1"/>
      <c r="E95" s="3">
        <f>B91</f>
        <v>73543961</v>
      </c>
      <c r="F95" s="17">
        <f>40*10^-6</f>
        <v>3.9999999999999996E-5</v>
      </c>
      <c r="G95" s="1"/>
      <c r="H95" s="1"/>
      <c r="I95" s="1"/>
      <c r="J95" s="1"/>
    </row>
    <row r="96" spans="1:10" x14ac:dyDescent="0.35">
      <c r="A96" s="1"/>
      <c r="B96" s="6">
        <f>B95*10^3</f>
        <v>2941758.4399999995</v>
      </c>
      <c r="C96" s="6" t="s">
        <v>9</v>
      </c>
      <c r="D96" s="1"/>
      <c r="E96" s="1"/>
      <c r="F96" s="1"/>
      <c r="G96" s="1"/>
      <c r="H96" s="1"/>
      <c r="I96" s="1"/>
      <c r="J96" s="1"/>
    </row>
    <row r="97" spans="1:10" x14ac:dyDescent="0.35">
      <c r="A97" s="1"/>
      <c r="B97" s="6">
        <f>B96*10^3</f>
        <v>2941758439.9999995</v>
      </c>
      <c r="C97" s="6" t="s">
        <v>10</v>
      </c>
      <c r="D97" s="1"/>
      <c r="E97" s="1"/>
      <c r="F97" s="1"/>
      <c r="G97" s="1"/>
      <c r="H97" s="1"/>
      <c r="I97" s="1"/>
      <c r="J97" s="1"/>
    </row>
    <row r="98" spans="1:10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35">
      <c r="A100" s="1"/>
      <c r="B100" s="6" t="s">
        <v>30</v>
      </c>
      <c r="C100" s="1"/>
      <c r="D100" s="1"/>
      <c r="E100" s="6" t="s">
        <v>33</v>
      </c>
      <c r="F100" s="6" t="s">
        <v>18</v>
      </c>
      <c r="G100" s="6" t="s">
        <v>31</v>
      </c>
      <c r="H100" s="6" t="s">
        <v>18</v>
      </c>
      <c r="I100" s="6" t="s">
        <v>32</v>
      </c>
      <c r="J100" s="1"/>
    </row>
    <row r="101" spans="1:10" x14ac:dyDescent="0.35">
      <c r="A101" s="1"/>
      <c r="B101" s="13">
        <f>E101+(2*F101)+G101+(2*H101)+I101</f>
        <v>1.8161304347826084E-2</v>
      </c>
      <c r="C101" s="6" t="s">
        <v>8</v>
      </c>
      <c r="D101" s="1"/>
      <c r="E101" s="18">
        <f>B40</f>
        <v>5.2173913043478263E-7</v>
      </c>
      <c r="F101" s="15">
        <f>F95</f>
        <v>3.9999999999999996E-5</v>
      </c>
      <c r="G101" s="14">
        <f>B59</f>
        <v>1.7999999999999999E-2</v>
      </c>
      <c r="H101" s="15">
        <f>F95</f>
        <v>3.9999999999999996E-5</v>
      </c>
      <c r="I101" s="18">
        <f>B78</f>
        <v>7.8260869565217399E-7</v>
      </c>
      <c r="J101" s="1"/>
    </row>
    <row r="102" spans="1:10" x14ac:dyDescent="0.35">
      <c r="A102" s="1"/>
      <c r="B102" s="15">
        <f>B101*10^3</f>
        <v>18.161304347826082</v>
      </c>
      <c r="C102" s="6" t="s">
        <v>9</v>
      </c>
      <c r="D102" s="1"/>
      <c r="E102" s="1"/>
      <c r="F102" s="1"/>
      <c r="G102" s="1"/>
      <c r="H102" s="1"/>
      <c r="I102" s="1"/>
      <c r="J102" s="1"/>
    </row>
    <row r="103" spans="1:10" x14ac:dyDescent="0.35">
      <c r="A103" s="1"/>
      <c r="B103" s="6">
        <f>B102*10^3</f>
        <v>18161.304347826081</v>
      </c>
      <c r="C103" s="6" t="s">
        <v>10</v>
      </c>
      <c r="D103" s="1"/>
      <c r="E103" s="1"/>
      <c r="F103" s="1"/>
      <c r="G103" s="1"/>
      <c r="H103" s="1"/>
      <c r="I103" s="1"/>
      <c r="J103" s="1"/>
    </row>
    <row r="104" spans="1:10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ht="40" customHeight="1" x14ac:dyDescent="0.35">
      <c r="A106" s="11"/>
      <c r="B106" s="19" t="s">
        <v>34</v>
      </c>
      <c r="C106" s="11"/>
      <c r="D106" s="11"/>
      <c r="E106" s="19" t="s">
        <v>50</v>
      </c>
      <c r="F106" s="19" t="s">
        <v>17</v>
      </c>
      <c r="G106" s="19" t="s">
        <v>35</v>
      </c>
      <c r="H106" s="19" t="s">
        <v>19</v>
      </c>
      <c r="I106" s="19" t="s">
        <v>35</v>
      </c>
      <c r="J106" s="19" t="s">
        <v>20</v>
      </c>
    </row>
    <row r="107" spans="1:10" x14ac:dyDescent="0.35">
      <c r="A107" s="1"/>
      <c r="B107" s="15">
        <f>E107+F107+G107+H107+I107+J107</f>
        <v>6849.9480061652166</v>
      </c>
      <c r="C107" s="6" t="s">
        <v>8</v>
      </c>
      <c r="D107" s="1"/>
      <c r="E107" s="15">
        <f>3*B101</f>
        <v>5.4483913043478251E-2</v>
      </c>
      <c r="F107" s="15">
        <f>B34+B46</f>
        <v>85.899346180869571</v>
      </c>
      <c r="G107" s="15">
        <f>B95</f>
        <v>2941.7584399999996</v>
      </c>
      <c r="H107" s="15">
        <f>B53+B65</f>
        <v>21.483836480000001</v>
      </c>
      <c r="I107" s="15">
        <f>B95</f>
        <v>2941.7584399999996</v>
      </c>
      <c r="J107" s="15">
        <f>B72+B84</f>
        <v>858.99345959130426</v>
      </c>
    </row>
    <row r="108" spans="1:10" x14ac:dyDescent="0.35">
      <c r="A108" s="1"/>
      <c r="B108" s="14">
        <f>B107*10^3</f>
        <v>6849948.0061652167</v>
      </c>
      <c r="C108" s="6" t="s">
        <v>9</v>
      </c>
      <c r="D108" s="1"/>
      <c r="E108" s="1"/>
      <c r="F108" s="1"/>
      <c r="G108" s="1"/>
      <c r="H108" s="1"/>
      <c r="I108" s="1"/>
      <c r="J108" s="1"/>
    </row>
    <row r="109" spans="1:10" x14ac:dyDescent="0.35">
      <c r="A109" s="1"/>
      <c r="B109" s="3">
        <f>B108*10^3</f>
        <v>6849948006.1652164</v>
      </c>
      <c r="C109" s="6" t="s">
        <v>10</v>
      </c>
      <c r="D109" s="1"/>
      <c r="E109" s="1"/>
      <c r="F109" s="1"/>
      <c r="G109" s="1"/>
      <c r="H109" s="1"/>
      <c r="I109" s="1"/>
      <c r="J109" s="1"/>
    </row>
    <row r="111" spans="1:10" s="21" customFormat="1" x14ac:dyDescent="0.35"/>
    <row r="113" spans="2:7" x14ac:dyDescent="0.35">
      <c r="B113" s="23" t="s">
        <v>40</v>
      </c>
      <c r="C113" s="23"/>
    </row>
    <row r="114" spans="2:7" x14ac:dyDescent="0.35">
      <c r="B114" s="23"/>
      <c r="C114" s="23"/>
    </row>
    <row r="115" spans="2:7" x14ac:dyDescent="0.35">
      <c r="B115" t="s">
        <v>41</v>
      </c>
    </row>
    <row r="117" spans="2:7" x14ac:dyDescent="0.35">
      <c r="B117" s="6" t="s">
        <v>5</v>
      </c>
      <c r="E117" s="5" t="s">
        <v>4</v>
      </c>
      <c r="F117" s="5" t="s">
        <v>6</v>
      </c>
      <c r="G117" s="5" t="s">
        <v>0</v>
      </c>
    </row>
    <row r="118" spans="2:7" x14ac:dyDescent="0.35">
      <c r="B118" s="3">
        <f>2*(E118/G118)*F118</f>
        <v>24140000</v>
      </c>
      <c r="C118" s="22" t="s">
        <v>51</v>
      </c>
      <c r="E118" s="5">
        <f>36210*10^3</f>
        <v>36210000</v>
      </c>
      <c r="F118" s="5">
        <f>100*10^6</f>
        <v>100000000</v>
      </c>
      <c r="G118" s="5">
        <f>VLOOKUP(G117, Constants!$A$2:$B$4, 2, FALSE)</f>
        <v>300000000</v>
      </c>
    </row>
  </sheetData>
  <mergeCells count="4">
    <mergeCell ref="B2:C3"/>
    <mergeCell ref="B17:C18"/>
    <mergeCell ref="B25:C26"/>
    <mergeCell ref="B113:C11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C39C2E-B6D9-4936-8C7B-C61A7468E004}">
          <x14:formula1>
            <xm:f>Constants!$A$2:$A$4</xm:f>
          </x14:formula1>
          <xm:sqref>G34 G53 G72 F5 G117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3C477-2698-4F54-B18F-89CFF6653C0E}">
  <dimension ref="A1:B4"/>
  <sheetViews>
    <sheetView workbookViewId="0">
      <selection activeCell="B4" sqref="B4"/>
    </sheetView>
  </sheetViews>
  <sheetFormatPr defaultRowHeight="14.5" x14ac:dyDescent="0.35"/>
  <cols>
    <col min="1" max="1" width="17.6328125" bestFit="1" customWidth="1"/>
    <col min="2" max="2" width="9.81640625" bestFit="1" customWidth="1"/>
  </cols>
  <sheetData>
    <row r="1" spans="1:2" x14ac:dyDescent="0.35">
      <c r="A1" t="s">
        <v>3</v>
      </c>
    </row>
    <row r="2" spans="1:2" x14ac:dyDescent="0.35">
      <c r="A2" t="s">
        <v>0</v>
      </c>
      <c r="B2">
        <f>3*10^8</f>
        <v>300000000</v>
      </c>
    </row>
    <row r="3" spans="1:2" x14ac:dyDescent="0.35">
      <c r="A3" t="s">
        <v>1</v>
      </c>
      <c r="B3">
        <f>2.3*10^8</f>
        <v>229999999.99999997</v>
      </c>
    </row>
    <row r="4" spans="1:2" x14ac:dyDescent="0.35">
      <c r="A4" t="s">
        <v>2</v>
      </c>
      <c r="B4">
        <f>2*10^8</f>
        <v>200000000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</vt:lpstr>
      <vt:lpstr>Two Links</vt:lpstr>
      <vt:lpstr>Homework Assignment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Struthers</dc:creator>
  <cp:lastModifiedBy>Andrew Struthers</cp:lastModifiedBy>
  <dcterms:created xsi:type="dcterms:W3CDTF">2023-04-06T00:15:11Z</dcterms:created>
  <dcterms:modified xsi:type="dcterms:W3CDTF">2023-04-12T17:58:10Z</dcterms:modified>
</cp:coreProperties>
</file>