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trut\Documents\My Documents\School\Grad School\Classes\CS 450 - Computer Networks\Final\"/>
    </mc:Choice>
  </mc:AlternateContent>
  <xr:revisionPtr revIDLastSave="0" documentId="13_ncr:1_{881823F1-0CC7-4D09-B8A5-CE295549EE99}" xr6:coauthVersionLast="47" xr6:coauthVersionMax="47" xr10:uidLastSave="{00000000-0000-0000-0000-000000000000}"/>
  <bookViews>
    <workbookView xWindow="28680" yWindow="-120" windowWidth="29040" windowHeight="15840" xr2:uid="{675AB940-3869-4350-8B72-6639DE95956D}"/>
  </bookViews>
  <sheets>
    <sheet name="Question 1-2" sheetId="1" r:id="rId1"/>
    <sheet name="Constant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3" i="1" l="1"/>
  <c r="H113" i="1"/>
  <c r="J113" i="1"/>
  <c r="E40" i="1"/>
  <c r="B40" i="1"/>
  <c r="F53" i="1"/>
  <c r="F34" i="1"/>
  <c r="F15" i="1"/>
  <c r="F107" i="1" l="1"/>
  <c r="F101" i="1"/>
  <c r="E84" i="1"/>
  <c r="E72" i="1"/>
  <c r="E65" i="1"/>
  <c r="E53" i="1"/>
  <c r="E46" i="1"/>
  <c r="E34" i="1"/>
  <c r="F27" i="1"/>
  <c r="F84" i="1" s="1"/>
  <c r="G84" i="1" s="1"/>
  <c r="E15" i="1"/>
  <c r="B4" i="2"/>
  <c r="B3" i="2"/>
  <c r="B2" i="2"/>
  <c r="F95" i="1"/>
  <c r="F72" i="1"/>
  <c r="B72" i="1" s="1"/>
  <c r="B53" i="1"/>
  <c r="B34" i="1"/>
  <c r="E27" i="1"/>
  <c r="B84" i="1" l="1"/>
  <c r="B85" i="1" s="1"/>
  <c r="B86" i="1" s="1"/>
  <c r="F46" i="1"/>
  <c r="G46" i="1" s="1"/>
  <c r="B46" i="1" s="1"/>
  <c r="B47" i="1" s="1"/>
  <c r="B48" i="1" s="1"/>
  <c r="G27" i="1"/>
  <c r="B27" i="1" s="1"/>
  <c r="B28" i="1" s="1"/>
  <c r="B29" i="1" s="1"/>
  <c r="B15" i="1"/>
  <c r="E21" i="1" s="1"/>
  <c r="B21" i="1" s="1"/>
  <c r="F119" i="1"/>
  <c r="B16" i="1"/>
  <c r="B17" i="1" s="1"/>
  <c r="H119" i="1"/>
  <c r="B35" i="1"/>
  <c r="B36" i="1" s="1"/>
  <c r="E59" i="1"/>
  <c r="B59" i="1" s="1"/>
  <c r="B54" i="1"/>
  <c r="B55" i="1" s="1"/>
  <c r="B73" i="1"/>
  <c r="B74" i="1" s="1"/>
  <c r="L119" i="1"/>
  <c r="E78" i="1"/>
  <c r="B78" i="1" s="1"/>
  <c r="E91" i="1"/>
  <c r="B91" i="1" s="1"/>
  <c r="F65" i="1"/>
  <c r="G65" i="1" s="1"/>
  <c r="B65" i="1" s="1"/>
  <c r="B66" i="1" s="1"/>
  <c r="B67" i="1" s="1"/>
  <c r="E107" i="1" l="1"/>
  <c r="B107" i="1" s="1"/>
  <c r="E101" i="1"/>
  <c r="B101" i="1" s="1"/>
  <c r="E95" i="1"/>
  <c r="B95" i="1" s="1"/>
  <c r="K113" i="1"/>
  <c r="B79" i="1"/>
  <c r="B80" i="1" s="1"/>
  <c r="I113" i="1"/>
  <c r="B60" i="1"/>
  <c r="B61" i="1" s="1"/>
  <c r="J119" i="1"/>
  <c r="B41" i="1"/>
  <c r="B42" i="1" s="1"/>
  <c r="G113" i="1"/>
  <c r="E113" i="1"/>
  <c r="B22" i="1"/>
  <c r="B23" i="1" s="1"/>
  <c r="B113" i="1" l="1"/>
  <c r="E119" i="1" s="1"/>
  <c r="G119" i="1"/>
  <c r="B96" i="1"/>
  <c r="B97" i="1" s="1"/>
  <c r="I119" i="1"/>
  <c r="B102" i="1"/>
  <c r="B103" i="1" s="1"/>
  <c r="K119" i="1"/>
  <c r="B108" i="1"/>
  <c r="B109" i="1" s="1"/>
  <c r="B114" i="1" l="1"/>
  <c r="B115" i="1" s="1"/>
  <c r="B119" i="1"/>
  <c r="B120" i="1" s="1"/>
  <c r="B121" i="1" s="1"/>
</calcChain>
</file>

<file path=xl/sharedStrings.xml><?xml version="1.0" encoding="utf-8"?>
<sst xmlns="http://schemas.openxmlformats.org/spreadsheetml/2006/main" count="139" uniqueCount="50">
  <si>
    <t>&gt;&gt; Switch 1 delay is 60 microseconds</t>
  </si>
  <si>
    <t>&gt; A 2 RTT handshake is needed before data can be transmitted</t>
  </si>
  <si>
    <t>Propagation Delay</t>
  </si>
  <si>
    <t>Distance</t>
  </si>
  <si>
    <t>Speed of Light</t>
  </si>
  <si>
    <t>Seconds</t>
  </si>
  <si>
    <t>Copper</t>
  </si>
  <si>
    <t>Milliseconds</t>
  </si>
  <si>
    <t>Microseconds</t>
  </si>
  <si>
    <t>RTT</t>
  </si>
  <si>
    <t>Transmit Time</t>
  </si>
  <si>
    <t>Bandwidth (bps)</t>
  </si>
  <si>
    <t>File Size (Bytes)</t>
  </si>
  <si>
    <t>File Size (bits)</t>
  </si>
  <si>
    <t>Optical</t>
  </si>
  <si>
    <t>Common</t>
  </si>
  <si>
    <t># Packets</t>
  </si>
  <si>
    <t>MSS</t>
  </si>
  <si>
    <t>Total Switch 1 Delay</t>
  </si>
  <si>
    <t>Switch Delay</t>
  </si>
  <si>
    <t>Total Switch 2 Delay</t>
  </si>
  <si>
    <t>Total Switch 3 Delay</t>
  </si>
  <si>
    <t xml:space="preserve">RTT for Circuit with 3 </t>
  </si>
  <si>
    <t>Link 1 RTT</t>
  </si>
  <si>
    <t>Switch 1 Delay</t>
  </si>
  <si>
    <t>Link 2 RTT</t>
  </si>
  <si>
    <t>Switch 2 Delay</t>
  </si>
  <si>
    <t>Link 3 RTT</t>
  </si>
  <si>
    <t>Switch 3 Delay</t>
  </si>
  <si>
    <t>Link 4 RTT</t>
  </si>
  <si>
    <t>Total Transfer Time</t>
  </si>
  <si>
    <t>Link 1 Transmit Time + Link 1 Prop Delay</t>
  </si>
  <si>
    <t>Link 2 Transmit Time + Link 2 Prop Delay</t>
  </si>
  <si>
    <t>Link 3 Transmit Time + Link 3 Prop Delay</t>
  </si>
  <si>
    <t>Link 4 Transmit Time + Link 4 Prop Delay</t>
  </si>
  <si>
    <t>Speed of Light (m/s)</t>
  </si>
  <si>
    <t>Vaccum</t>
  </si>
  <si>
    <t>What is the total time required to send a 40 GB file over the below network?</t>
  </si>
  <si>
    <t>&gt; The 70 m copper link has a 100 Mbps bandwidth</t>
  </si>
  <si>
    <t>&gt; The 1,200 km fiber link has a 50 Gbps bandwidth</t>
  </si>
  <si>
    <t>&gt; The 3,000 km fiber link has a 30 Gbps bandwidth</t>
  </si>
  <si>
    <t>&gt; The 20 m copper link has a 1 Gbps bandwidth</t>
  </si>
  <si>
    <t>&gt;&gt; Switch 2 delay is 75 microseconds</t>
  </si>
  <si>
    <t>&gt;&gt; Switch 3 delay is 120 microseconds</t>
  </si>
  <si>
    <t>&gt; Each switch is a store-and-forward switch that introduces a delay between packets</t>
  </si>
  <si>
    <t>70m Copper</t>
  </si>
  <si>
    <t>1200km Fiber</t>
  </si>
  <si>
    <t>3000km Fiber</t>
  </si>
  <si>
    <t>20m Copper</t>
  </si>
  <si>
    <t>2 * Circuit RTT Handshake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</si>
</sst>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00000"/>
    <numFmt numFmtId="165" formatCode="#,##0.00000"/>
    <numFmt numFmtId="166" formatCode="#,##0.000"/>
    <numFmt numFmtId="167" formatCode="#,##0.00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4" fontId="0" fillId="0" borderId="0" xfId="0" applyNumberFormat="1"/>
    <xf numFmtId="4" fontId="0" fillId="2" borderId="1" xfId="0" applyNumberFormat="1" applyFill="1" applyBorder="1"/>
    <xf numFmtId="4" fontId="0" fillId="3" borderId="1" xfId="0" applyNumberFormat="1" applyFill="1" applyBorder="1"/>
    <xf numFmtId="164" fontId="0" fillId="2" borderId="1" xfId="0" applyNumberFormat="1" applyFill="1" applyBorder="1"/>
    <xf numFmtId="3" fontId="0" fillId="3" borderId="1" xfId="0" applyNumberFormat="1" applyFill="1" applyBorder="1"/>
    <xf numFmtId="4" fontId="0" fillId="3" borderId="2" xfId="0" applyNumberFormat="1" applyFill="1" applyBorder="1"/>
    <xf numFmtId="3" fontId="0" fillId="2" borderId="1" xfId="0" applyNumberFormat="1" applyFill="1" applyBorder="1"/>
    <xf numFmtId="165" fontId="0" fillId="2" borderId="1" xfId="0" applyNumberFormat="1" applyFill="1" applyBorder="1"/>
    <xf numFmtId="166" fontId="0" fillId="2" borderId="1" xfId="0" applyNumberFormat="1" applyFill="1" applyBorder="1"/>
    <xf numFmtId="167" fontId="0" fillId="2" borderId="1" xfId="0" applyNumberFormat="1" applyFill="1" applyBorder="1"/>
    <xf numFmtId="167" fontId="0" fillId="3" borderId="1" xfId="0" applyNumberFormat="1" applyFill="1" applyBorder="1"/>
    <xf numFmtId="4" fontId="0" fillId="0" borderId="0" xfId="0" applyNumberFormat="1" applyAlignment="1">
      <alignment wrapText="1"/>
    </xf>
    <xf numFmtId="4" fontId="0" fillId="2" borderId="1" xfId="0" applyNumberFormat="1" applyFill="1" applyBorder="1" applyAlignment="1">
      <alignment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Users\Strut\Documents\My%20Documents\School\Grad%20School\Classes\CS%20450%20-%20Computer%20Networks\Exam%201\Exam1Question1.xlsx" TargetMode="External"/><Relationship Id="rId1" Type="http://schemas.openxmlformats.org/officeDocument/2006/relationships/externalLinkPath" Target="/Users/Strut/Documents/My%20Documents/School/Grad%20School/Classes/CS%20450%20-%20Computer%20Networks/Exam%201/Exam1Question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Question One"/>
      <sheetName val="Constants"/>
    </sheetNames>
    <sheetDataSet>
      <sheetData sheetId="0"/>
      <sheetData sheetId="1">
        <row r="2">
          <cell r="A2" t="str">
            <v>Vaccum</v>
          </cell>
          <cell r="B2">
            <v>300000000</v>
          </cell>
        </row>
        <row r="3">
          <cell r="A3" t="str">
            <v>Copper</v>
          </cell>
          <cell r="B3">
            <v>229999999.99999997</v>
          </cell>
        </row>
        <row r="4">
          <cell r="A4" t="str">
            <v>Optical</v>
          </cell>
          <cell r="B4">
            <v>200000000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869D6-3756-44AF-A7C2-DD975E06F316}">
  <dimension ref="A1:L121"/>
  <sheetViews>
    <sheetView tabSelected="1" topLeftCell="A97" workbookViewId="0">
      <selection activeCell="E119" sqref="E119"/>
    </sheetView>
  </sheetViews>
  <sheetFormatPr defaultRowHeight="15" x14ac:dyDescent="0.25"/>
  <cols>
    <col min="1" max="1" width="12.7109375" bestFit="1" customWidth="1"/>
    <col min="2" max="2" width="29.7109375" customWidth="1"/>
    <col min="3" max="3" width="13.28515625" bestFit="1" customWidth="1"/>
    <col min="5" max="5" width="17.42578125" bestFit="1" customWidth="1"/>
    <col min="6" max="6" width="15.140625" bestFit="1" customWidth="1"/>
    <col min="7" max="7" width="14.85546875" bestFit="1" customWidth="1"/>
    <col min="8" max="8" width="13.85546875" bestFit="1" customWidth="1"/>
    <col min="9" max="9" width="14.28515625" bestFit="1" customWidth="1"/>
    <col min="10" max="10" width="15.28515625" bestFit="1" customWidth="1"/>
    <col min="11" max="11" width="15.85546875" bestFit="1" customWidth="1"/>
    <col min="12" max="12" width="15.28515625" bestFit="1" customWidth="1"/>
  </cols>
  <sheetData>
    <row r="1" spans="1:10" x14ac:dyDescent="0.25">
      <c r="B1" s="14" t="s">
        <v>37</v>
      </c>
      <c r="C1" s="14"/>
    </row>
    <row r="2" spans="1:10" x14ac:dyDescent="0.25">
      <c r="B2" s="14"/>
      <c r="C2" s="14"/>
    </row>
    <row r="3" spans="1:10" x14ac:dyDescent="0.25">
      <c r="B3" t="s">
        <v>38</v>
      </c>
    </row>
    <row r="4" spans="1:10" x14ac:dyDescent="0.25">
      <c r="B4" t="s">
        <v>39</v>
      </c>
    </row>
    <row r="5" spans="1:10" x14ac:dyDescent="0.25">
      <c r="B5" t="s">
        <v>40</v>
      </c>
    </row>
    <row r="6" spans="1:10" x14ac:dyDescent="0.25">
      <c r="B6" t="s">
        <v>41</v>
      </c>
    </row>
    <row r="7" spans="1:10" x14ac:dyDescent="0.25">
      <c r="B7" t="s">
        <v>44</v>
      </c>
    </row>
    <row r="8" spans="1:10" x14ac:dyDescent="0.25">
      <c r="B8" t="s">
        <v>0</v>
      </c>
    </row>
    <row r="9" spans="1:10" x14ac:dyDescent="0.25">
      <c r="B9" t="s">
        <v>42</v>
      </c>
    </row>
    <row r="10" spans="1:10" x14ac:dyDescent="0.25">
      <c r="B10" t="s">
        <v>43</v>
      </c>
    </row>
    <row r="11" spans="1:10" x14ac:dyDescent="0.25">
      <c r="B11" t="s">
        <v>1</v>
      </c>
    </row>
    <row r="13" spans="1:10" x14ac:dyDescent="0.25">
      <c r="A13" s="1" t="s">
        <v>45</v>
      </c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25">
      <c r="A14" s="1"/>
      <c r="B14" s="2" t="s">
        <v>2</v>
      </c>
      <c r="C14" s="1"/>
      <c r="D14" s="1"/>
      <c r="E14" s="3" t="s">
        <v>3</v>
      </c>
      <c r="F14" s="3" t="s">
        <v>4</v>
      </c>
      <c r="G14" s="1"/>
      <c r="H14" s="1"/>
      <c r="I14" s="1"/>
      <c r="J14" s="1"/>
    </row>
    <row r="15" spans="1:10" x14ac:dyDescent="0.25">
      <c r="A15" s="1"/>
      <c r="B15" s="4">
        <f>E15/F15</f>
        <v>3.0434782608695656E-7</v>
      </c>
      <c r="C15" s="2" t="s">
        <v>5</v>
      </c>
      <c r="D15" s="1"/>
      <c r="E15" s="5">
        <f>70</f>
        <v>70</v>
      </c>
      <c r="F15" s="5">
        <f>VLOOKUP(G15, Constants!$A$2:$B$4, 2, FALSE)</f>
        <v>229999999.99999997</v>
      </c>
      <c r="G15" s="6" t="s">
        <v>6</v>
      </c>
      <c r="H15" s="1"/>
      <c r="I15" s="1"/>
      <c r="J15" s="1"/>
    </row>
    <row r="16" spans="1:10" x14ac:dyDescent="0.25">
      <c r="A16" s="1"/>
      <c r="B16" s="4">
        <f>B15*10^3</f>
        <v>3.0434782608695655E-4</v>
      </c>
      <c r="C16" s="2" t="s">
        <v>7</v>
      </c>
      <c r="D16" s="1"/>
      <c r="E16" s="1"/>
      <c r="F16" s="1"/>
      <c r="G16" s="1"/>
      <c r="H16" s="1"/>
      <c r="I16" s="1"/>
      <c r="J16" s="1"/>
    </row>
    <row r="17" spans="1:10" x14ac:dyDescent="0.25">
      <c r="A17" s="1"/>
      <c r="B17" s="4">
        <f>B16*10^3</f>
        <v>0.30434782608695654</v>
      </c>
      <c r="C17" s="2" t="s">
        <v>8</v>
      </c>
      <c r="D17" s="1"/>
      <c r="E17" s="1"/>
      <c r="F17" s="1"/>
      <c r="G17" s="1"/>
      <c r="H17" s="1"/>
      <c r="I17" s="1"/>
      <c r="J17" s="1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25">
      <c r="A20" s="1"/>
      <c r="B20" s="2" t="s">
        <v>9</v>
      </c>
      <c r="C20" s="1"/>
      <c r="D20" s="1"/>
      <c r="E20" s="2" t="s">
        <v>2</v>
      </c>
      <c r="F20" s="1"/>
      <c r="G20" s="1"/>
      <c r="H20" s="1"/>
      <c r="I20" s="1"/>
      <c r="J20" s="1"/>
    </row>
    <row r="21" spans="1:10" x14ac:dyDescent="0.25">
      <c r="A21" s="1"/>
      <c r="B21" s="4">
        <f>2*E21</f>
        <v>6.0869565217391312E-7</v>
      </c>
      <c r="C21" s="2" t="s">
        <v>5</v>
      </c>
      <c r="D21" s="1"/>
      <c r="E21" s="4">
        <f>B15</f>
        <v>3.0434782608695656E-7</v>
      </c>
      <c r="F21" s="1"/>
      <c r="G21" s="1"/>
      <c r="H21" s="1"/>
      <c r="I21" s="1"/>
      <c r="J21" s="1"/>
    </row>
    <row r="22" spans="1:10" x14ac:dyDescent="0.25">
      <c r="A22" s="1"/>
      <c r="B22" s="4">
        <f>B21*10^3</f>
        <v>6.086956521739131E-4</v>
      </c>
      <c r="C22" s="2" t="s">
        <v>7</v>
      </c>
      <c r="D22" s="1"/>
      <c r="E22" s="1"/>
      <c r="F22" s="1"/>
      <c r="G22" s="1"/>
      <c r="H22" s="1"/>
      <c r="I22" s="1"/>
      <c r="J22" s="1"/>
    </row>
    <row r="23" spans="1:10" x14ac:dyDescent="0.25">
      <c r="A23" s="1"/>
      <c r="B23" s="4">
        <f>B22*10^3</f>
        <v>0.60869565217391308</v>
      </c>
      <c r="C23" s="2" t="s">
        <v>8</v>
      </c>
      <c r="D23" s="1"/>
      <c r="E23" s="1"/>
      <c r="F23" s="1"/>
      <c r="G23" s="1"/>
      <c r="H23" s="1"/>
      <c r="I23" s="1"/>
      <c r="J23" s="1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25">
      <c r="A26" s="1"/>
      <c r="B26" s="2" t="s">
        <v>10</v>
      </c>
      <c r="C26" s="1"/>
      <c r="D26" s="1"/>
      <c r="E26" s="3" t="s">
        <v>11</v>
      </c>
      <c r="F26" s="3" t="s">
        <v>12</v>
      </c>
      <c r="G26" s="2" t="s">
        <v>13</v>
      </c>
      <c r="H26" s="1"/>
      <c r="I26" s="1"/>
      <c r="J26" s="1"/>
    </row>
    <row r="27" spans="1:10" x14ac:dyDescent="0.25">
      <c r="A27" s="1"/>
      <c r="B27" s="4">
        <f>G27/E27</f>
        <v>3435.9738367999998</v>
      </c>
      <c r="C27" s="2" t="s">
        <v>5</v>
      </c>
      <c r="D27" s="1"/>
      <c r="E27" s="5">
        <f>100*10^6</f>
        <v>100000000</v>
      </c>
      <c r="F27" s="5">
        <f>40*1024*1024*1024</f>
        <v>42949672960</v>
      </c>
      <c r="G27" s="7">
        <f>F27*8</f>
        <v>343597383680</v>
      </c>
      <c r="H27" s="1"/>
      <c r="I27" s="1"/>
      <c r="J27" s="1"/>
    </row>
    <row r="28" spans="1:10" x14ac:dyDescent="0.25">
      <c r="A28" s="1"/>
      <c r="B28" s="8">
        <f>B27*10^3</f>
        <v>3435973.8367999997</v>
      </c>
      <c r="C28" s="2" t="s">
        <v>7</v>
      </c>
      <c r="D28" s="1"/>
      <c r="E28" s="1"/>
      <c r="F28" s="1"/>
      <c r="G28" s="1"/>
      <c r="H28" s="1"/>
      <c r="I28" s="1"/>
      <c r="J28" s="1"/>
    </row>
    <row r="29" spans="1:10" x14ac:dyDescent="0.25">
      <c r="A29" s="1"/>
      <c r="B29" s="2">
        <f>B28*10^3</f>
        <v>3435973836.7999997</v>
      </c>
      <c r="C29" s="2" t="s">
        <v>8</v>
      </c>
      <c r="D29" s="1"/>
      <c r="E29" s="1"/>
      <c r="F29" s="1"/>
      <c r="G29" s="1"/>
      <c r="H29" s="1"/>
      <c r="I29" s="1"/>
      <c r="J29" s="1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A32" s="1" t="s">
        <v>46</v>
      </c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25">
      <c r="A33" s="1"/>
      <c r="B33" s="2" t="s">
        <v>2</v>
      </c>
      <c r="C33" s="1"/>
      <c r="D33" s="1"/>
      <c r="E33" s="3" t="s">
        <v>3</v>
      </c>
      <c r="F33" s="3" t="s">
        <v>4</v>
      </c>
      <c r="G33" s="1"/>
      <c r="H33" s="1"/>
      <c r="I33" s="1"/>
      <c r="J33" s="1"/>
    </row>
    <row r="34" spans="1:10" x14ac:dyDescent="0.25">
      <c r="A34" s="1"/>
      <c r="B34" s="9">
        <f>E34/F34</f>
        <v>6.0000000000000001E-3</v>
      </c>
      <c r="C34" s="2" t="s">
        <v>5</v>
      </c>
      <c r="D34" s="1"/>
      <c r="E34" s="5">
        <f>1200*10^3</f>
        <v>1200000</v>
      </c>
      <c r="F34" s="5">
        <f>VLOOKUP(G34, Constants!$A$2:$B$4, 2, FALSE)</f>
        <v>200000000</v>
      </c>
      <c r="G34" s="6" t="s">
        <v>14</v>
      </c>
      <c r="H34" s="1"/>
      <c r="I34" s="1"/>
      <c r="J34" s="1"/>
    </row>
    <row r="35" spans="1:10" x14ac:dyDescent="0.25">
      <c r="A35" s="1"/>
      <c r="B35" s="9">
        <f>B34*10^3</f>
        <v>6</v>
      </c>
      <c r="C35" s="2" t="s">
        <v>7</v>
      </c>
      <c r="D35" s="1"/>
      <c r="E35" s="1"/>
      <c r="F35" s="1"/>
      <c r="G35" s="1"/>
      <c r="H35" s="1"/>
      <c r="I35" s="1"/>
      <c r="J35" s="1"/>
    </row>
    <row r="36" spans="1:10" x14ac:dyDescent="0.25">
      <c r="A36" s="1"/>
      <c r="B36" s="7">
        <f>B35*10^3</f>
        <v>6000</v>
      </c>
      <c r="C36" s="2" t="s">
        <v>8</v>
      </c>
      <c r="D36" s="1"/>
      <c r="E36" s="1"/>
      <c r="F36" s="1"/>
      <c r="G36" s="1"/>
      <c r="H36" s="1"/>
      <c r="I36" s="1"/>
      <c r="J36" s="1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x14ac:dyDescent="0.25">
      <c r="A39" s="1"/>
      <c r="B39" s="2" t="s">
        <v>9</v>
      </c>
      <c r="C39" s="1"/>
      <c r="D39" s="1"/>
      <c r="E39" s="2" t="s">
        <v>2</v>
      </c>
      <c r="F39" s="1"/>
      <c r="G39" s="1"/>
      <c r="H39" s="1"/>
      <c r="I39" s="1"/>
      <c r="J39" s="1"/>
    </row>
    <row r="40" spans="1:10" x14ac:dyDescent="0.25">
      <c r="A40" s="1"/>
      <c r="B40" s="9">
        <f>2*E40</f>
        <v>1.2E-2</v>
      </c>
      <c r="C40" s="2" t="s">
        <v>5</v>
      </c>
      <c r="D40" s="1"/>
      <c r="E40" s="9">
        <f>B34</f>
        <v>6.0000000000000001E-3</v>
      </c>
      <c r="F40" s="1"/>
      <c r="G40" s="1"/>
      <c r="H40" s="1"/>
      <c r="I40" s="1"/>
      <c r="J40" s="1"/>
    </row>
    <row r="41" spans="1:10" x14ac:dyDescent="0.25">
      <c r="A41" s="1"/>
      <c r="B41" s="2">
        <f>B40*10^3</f>
        <v>12</v>
      </c>
      <c r="C41" s="2" t="s">
        <v>7</v>
      </c>
      <c r="D41" s="1"/>
      <c r="E41" s="1"/>
      <c r="F41" s="1"/>
      <c r="G41" s="1"/>
      <c r="H41" s="1"/>
      <c r="I41" s="1"/>
      <c r="J41" s="1"/>
    </row>
    <row r="42" spans="1:10" x14ac:dyDescent="0.25">
      <c r="A42" s="1"/>
      <c r="B42" s="7">
        <f>B41*10^3</f>
        <v>12000</v>
      </c>
      <c r="C42" s="2" t="s">
        <v>8</v>
      </c>
      <c r="D42" s="1"/>
      <c r="E42" s="1"/>
      <c r="F42" s="1"/>
      <c r="G42" s="1"/>
      <c r="H42" s="1"/>
      <c r="I42" s="1"/>
      <c r="J42" s="1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0" x14ac:dyDescent="0.25">
      <c r="A45" s="1"/>
      <c r="B45" s="2" t="s">
        <v>10</v>
      </c>
      <c r="C45" s="1"/>
      <c r="D45" s="1"/>
      <c r="E45" s="3" t="s">
        <v>11</v>
      </c>
      <c r="F45" s="2" t="s">
        <v>12</v>
      </c>
      <c r="G45" s="2" t="s">
        <v>13</v>
      </c>
      <c r="H45" s="1"/>
      <c r="I45" s="1"/>
      <c r="J45" s="1"/>
    </row>
    <row r="46" spans="1:10" x14ac:dyDescent="0.25">
      <c r="A46" s="1"/>
      <c r="B46" s="4">
        <f>G46/E46</f>
        <v>6.8719476736000003</v>
      </c>
      <c r="C46" s="2" t="s">
        <v>5</v>
      </c>
      <c r="D46" s="1"/>
      <c r="E46" s="5">
        <f>50*10^9</f>
        <v>50000000000</v>
      </c>
      <c r="F46" s="7">
        <f>F27</f>
        <v>42949672960</v>
      </c>
      <c r="G46" s="7">
        <f>F46*8</f>
        <v>343597383680</v>
      </c>
      <c r="H46" s="1"/>
      <c r="I46" s="1"/>
      <c r="J46" s="1"/>
    </row>
    <row r="47" spans="1:10" x14ac:dyDescent="0.25">
      <c r="A47" s="1"/>
      <c r="B47" s="10">
        <f>B46*10^3</f>
        <v>6871.9476736000006</v>
      </c>
      <c r="C47" s="2" t="s">
        <v>7</v>
      </c>
      <c r="D47" s="1"/>
      <c r="E47" s="1"/>
      <c r="F47" s="1"/>
      <c r="G47" s="1"/>
      <c r="H47" s="1"/>
      <c r="I47" s="1"/>
      <c r="J47" s="1"/>
    </row>
    <row r="48" spans="1:10" x14ac:dyDescent="0.25">
      <c r="A48" s="1"/>
      <c r="B48" s="9">
        <f>B47*10^3</f>
        <v>6871947.6736000003</v>
      </c>
      <c r="C48" s="2" t="s">
        <v>8</v>
      </c>
      <c r="D48" s="1"/>
      <c r="E48" s="1"/>
      <c r="F48" s="1"/>
      <c r="G48" s="1"/>
      <c r="H48" s="1"/>
      <c r="I48" s="1"/>
      <c r="J48" s="1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x14ac:dyDescent="0.25">
      <c r="A51" s="1" t="s">
        <v>47</v>
      </c>
      <c r="B51" s="1"/>
      <c r="C51" s="1"/>
      <c r="D51" s="1"/>
      <c r="E51" s="1"/>
      <c r="F51" s="1"/>
      <c r="G51" s="1"/>
      <c r="H51" s="1"/>
      <c r="I51" s="1"/>
      <c r="J51" s="1"/>
    </row>
    <row r="52" spans="1:10" x14ac:dyDescent="0.25">
      <c r="A52" s="1"/>
      <c r="B52" s="2" t="s">
        <v>2</v>
      </c>
      <c r="C52" s="1"/>
      <c r="D52" s="1"/>
      <c r="E52" s="3" t="s">
        <v>3</v>
      </c>
      <c r="F52" s="3" t="s">
        <v>4</v>
      </c>
      <c r="G52" s="1"/>
      <c r="H52" s="1"/>
      <c r="I52" s="1"/>
      <c r="J52" s="1"/>
    </row>
    <row r="53" spans="1:10" x14ac:dyDescent="0.25">
      <c r="A53" s="1"/>
      <c r="B53" s="9">
        <f>E53/F53</f>
        <v>1.4999999999999999E-2</v>
      </c>
      <c r="C53" s="2" t="s">
        <v>5</v>
      </c>
      <c r="D53" s="1"/>
      <c r="E53" s="5">
        <f>3000*10^3</f>
        <v>3000000</v>
      </c>
      <c r="F53" s="5">
        <f>VLOOKUP(G53, Constants!$A$2:$B$4, 2, FALSE)</f>
        <v>200000000</v>
      </c>
      <c r="G53" s="6" t="s">
        <v>14</v>
      </c>
      <c r="H53" s="1"/>
      <c r="I53" s="1"/>
      <c r="J53" s="1"/>
    </row>
    <row r="54" spans="1:10" x14ac:dyDescent="0.25">
      <c r="A54" s="1"/>
      <c r="B54" s="9">
        <f>B53*10^3</f>
        <v>15</v>
      </c>
      <c r="C54" s="2" t="s">
        <v>7</v>
      </c>
      <c r="D54" s="1"/>
      <c r="E54" s="1"/>
      <c r="F54" s="1"/>
      <c r="G54" s="1"/>
      <c r="H54" s="1"/>
      <c r="I54" s="1"/>
      <c r="J54" s="1"/>
    </row>
    <row r="55" spans="1:10" x14ac:dyDescent="0.25">
      <c r="A55" s="1"/>
      <c r="B55" s="7">
        <f>B54*10^3</f>
        <v>15000</v>
      </c>
      <c r="C55" s="2" t="s">
        <v>8</v>
      </c>
      <c r="D55" s="1"/>
      <c r="E55" s="1"/>
      <c r="F55" s="1"/>
      <c r="G55" s="1"/>
      <c r="H55" s="1"/>
      <c r="I55" s="1"/>
      <c r="J55" s="1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spans="1:10" x14ac:dyDescent="0.25">
      <c r="A58" s="1"/>
      <c r="B58" s="2" t="s">
        <v>9</v>
      </c>
      <c r="C58" s="1"/>
      <c r="D58" s="1"/>
      <c r="E58" s="2" t="s">
        <v>2</v>
      </c>
      <c r="F58" s="1"/>
      <c r="G58" s="1"/>
      <c r="H58" s="1"/>
      <c r="I58" s="1"/>
      <c r="J58" s="1"/>
    </row>
    <row r="59" spans="1:10" x14ac:dyDescent="0.25">
      <c r="A59" s="1"/>
      <c r="B59" s="9">
        <f>2*E59</f>
        <v>0.03</v>
      </c>
      <c r="C59" s="2" t="s">
        <v>5</v>
      </c>
      <c r="D59" s="1"/>
      <c r="E59" s="9">
        <f>B53</f>
        <v>1.4999999999999999E-2</v>
      </c>
      <c r="F59" s="1"/>
      <c r="G59" s="1"/>
      <c r="H59" s="1"/>
      <c r="I59" s="1"/>
      <c r="J59" s="1"/>
    </row>
    <row r="60" spans="1:10" x14ac:dyDescent="0.25">
      <c r="A60" s="1"/>
      <c r="B60" s="2">
        <f>B59*10^3</f>
        <v>30</v>
      </c>
      <c r="C60" s="2" t="s">
        <v>7</v>
      </c>
      <c r="D60" s="1"/>
      <c r="E60" s="1"/>
      <c r="F60" s="1"/>
      <c r="G60" s="1"/>
      <c r="H60" s="1"/>
      <c r="I60" s="1"/>
      <c r="J60" s="1"/>
    </row>
    <row r="61" spans="1:10" x14ac:dyDescent="0.25">
      <c r="A61" s="1"/>
      <c r="B61" s="7">
        <f>B60*10^3</f>
        <v>30000</v>
      </c>
      <c r="C61" s="2" t="s">
        <v>8</v>
      </c>
      <c r="D61" s="1"/>
      <c r="E61" s="1"/>
      <c r="F61" s="1"/>
      <c r="G61" s="1"/>
      <c r="H61" s="1"/>
      <c r="I61" s="1"/>
      <c r="J61" s="1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spans="1:10" x14ac:dyDescent="0.25">
      <c r="A64" s="1"/>
      <c r="B64" s="2" t="s">
        <v>10</v>
      </c>
      <c r="C64" s="1"/>
      <c r="D64" s="1"/>
      <c r="E64" s="3" t="s">
        <v>11</v>
      </c>
      <c r="F64" s="2" t="s">
        <v>12</v>
      </c>
      <c r="G64" s="2" t="s">
        <v>13</v>
      </c>
      <c r="H64" s="1"/>
      <c r="I64" s="1"/>
      <c r="J64" s="1"/>
    </row>
    <row r="65" spans="1:10" x14ac:dyDescent="0.25">
      <c r="A65" s="1"/>
      <c r="B65" s="4">
        <f>G65/E65</f>
        <v>11.453246122666666</v>
      </c>
      <c r="C65" s="2" t="s">
        <v>5</v>
      </c>
      <c r="D65" s="1"/>
      <c r="E65" s="5">
        <f>30*10^9</f>
        <v>30000000000</v>
      </c>
      <c r="F65" s="7">
        <f>F46</f>
        <v>42949672960</v>
      </c>
      <c r="G65" s="7">
        <f>F65*8</f>
        <v>343597383680</v>
      </c>
      <c r="H65" s="1"/>
      <c r="I65" s="1"/>
      <c r="J65" s="1"/>
    </row>
    <row r="66" spans="1:10" x14ac:dyDescent="0.25">
      <c r="A66" s="1"/>
      <c r="B66" s="10">
        <f>B65*10^3</f>
        <v>11453.246122666666</v>
      </c>
      <c r="C66" s="2" t="s">
        <v>7</v>
      </c>
      <c r="D66" s="1"/>
      <c r="E66" s="1"/>
      <c r="F66" s="1"/>
      <c r="G66" s="1"/>
      <c r="H66" s="1"/>
      <c r="I66" s="1"/>
      <c r="J66" s="1"/>
    </row>
    <row r="67" spans="1:10" x14ac:dyDescent="0.25">
      <c r="A67" s="1"/>
      <c r="B67" s="9">
        <f>B66*10^3</f>
        <v>11453246.122666666</v>
      </c>
      <c r="C67" s="2" t="s">
        <v>8</v>
      </c>
      <c r="D67" s="1"/>
      <c r="E67" s="1"/>
      <c r="F67" s="1"/>
      <c r="G67" s="1"/>
      <c r="H67" s="1"/>
      <c r="I67" s="1"/>
      <c r="J67" s="1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 x14ac:dyDescent="0.25">
      <c r="A70" s="1" t="s">
        <v>48</v>
      </c>
      <c r="B70" s="1"/>
      <c r="C70" s="1"/>
      <c r="D70" s="1"/>
      <c r="E70" s="1"/>
      <c r="F70" s="1"/>
      <c r="G70" s="1"/>
      <c r="H70" s="1"/>
      <c r="I70" s="1"/>
      <c r="J70" s="1"/>
    </row>
    <row r="71" spans="1:10" x14ac:dyDescent="0.25">
      <c r="A71" s="1"/>
      <c r="B71" s="2" t="s">
        <v>2</v>
      </c>
      <c r="C71" s="1"/>
      <c r="D71" s="1"/>
      <c r="E71" s="3" t="s">
        <v>3</v>
      </c>
      <c r="F71" s="3" t="s">
        <v>4</v>
      </c>
      <c r="G71" s="1"/>
      <c r="H71" s="1"/>
      <c r="I71" s="1"/>
      <c r="J71" s="1"/>
    </row>
    <row r="72" spans="1:10" x14ac:dyDescent="0.25">
      <c r="A72" s="1"/>
      <c r="B72" s="4">
        <f>E72/F72</f>
        <v>8.6956521739130451E-8</v>
      </c>
      <c r="C72" s="2" t="s">
        <v>5</v>
      </c>
      <c r="D72" s="1"/>
      <c r="E72" s="5">
        <f>20</f>
        <v>20</v>
      </c>
      <c r="F72" s="5">
        <f>VLOOKUP(G72, [1]Constants!$A$2:$B$4, 2, FALSE)</f>
        <v>229999999.99999997</v>
      </c>
      <c r="G72" s="6" t="s">
        <v>6</v>
      </c>
      <c r="H72" s="1"/>
      <c r="I72" s="1"/>
      <c r="J72" s="1"/>
    </row>
    <row r="73" spans="1:10" x14ac:dyDescent="0.25">
      <c r="A73" s="1"/>
      <c r="B73" s="4">
        <f>B72*10^3</f>
        <v>8.6956521739130454E-5</v>
      </c>
      <c r="C73" s="2" t="s">
        <v>7</v>
      </c>
      <c r="D73" s="1"/>
      <c r="E73" s="1"/>
      <c r="F73" s="1"/>
      <c r="G73" s="1"/>
      <c r="H73" s="1"/>
      <c r="I73" s="1"/>
      <c r="J73" s="1"/>
    </row>
    <row r="74" spans="1:10" x14ac:dyDescent="0.25">
      <c r="A74" s="1"/>
      <c r="B74" s="4">
        <f>B73*10^3</f>
        <v>8.695652173913046E-2</v>
      </c>
      <c r="C74" s="2" t="s">
        <v>8</v>
      </c>
      <c r="D74" s="1"/>
      <c r="E74" s="1"/>
      <c r="F74" s="1"/>
      <c r="G74" s="1"/>
      <c r="H74" s="1"/>
      <c r="I74" s="1"/>
      <c r="J74" s="1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 x14ac:dyDescent="0.25">
      <c r="A77" s="1"/>
      <c r="B77" s="2" t="s">
        <v>9</v>
      </c>
      <c r="C77" s="1"/>
      <c r="D77" s="1"/>
      <c r="E77" s="2" t="s">
        <v>2</v>
      </c>
      <c r="F77" s="1"/>
      <c r="G77" s="1"/>
      <c r="H77" s="1"/>
      <c r="I77" s="1"/>
      <c r="J77" s="1"/>
    </row>
    <row r="78" spans="1:10" x14ac:dyDescent="0.25">
      <c r="A78" s="1"/>
      <c r="B78" s="4">
        <f>2*E78</f>
        <v>1.739130434782609E-7</v>
      </c>
      <c r="C78" s="2" t="s">
        <v>5</v>
      </c>
      <c r="D78" s="1"/>
      <c r="E78" s="4">
        <f>B72</f>
        <v>8.6956521739130451E-8</v>
      </c>
      <c r="F78" s="1"/>
      <c r="G78" s="1"/>
      <c r="H78" s="1"/>
      <c r="I78" s="1"/>
      <c r="J78" s="1"/>
    </row>
    <row r="79" spans="1:10" x14ac:dyDescent="0.25">
      <c r="A79" s="1"/>
      <c r="B79" s="4">
        <f>B78*10^3</f>
        <v>1.7391304347826091E-4</v>
      </c>
      <c r="C79" s="2" t="s">
        <v>7</v>
      </c>
      <c r="D79" s="1"/>
      <c r="E79" s="1"/>
      <c r="F79" s="1"/>
      <c r="G79" s="1"/>
      <c r="H79" s="1"/>
      <c r="I79" s="1"/>
      <c r="J79" s="1"/>
    </row>
    <row r="80" spans="1:10" x14ac:dyDescent="0.25">
      <c r="A80" s="1"/>
      <c r="B80" s="4">
        <f>B79*10^3</f>
        <v>0.17391304347826092</v>
      </c>
      <c r="C80" s="2" t="s">
        <v>8</v>
      </c>
      <c r="D80" s="1"/>
      <c r="E80" s="1"/>
      <c r="F80" s="1"/>
      <c r="G80" s="1"/>
      <c r="H80" s="1"/>
      <c r="I80" s="1"/>
      <c r="J80" s="1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spans="1:10" x14ac:dyDescent="0.25">
      <c r="A83" s="1"/>
      <c r="B83" s="2" t="s">
        <v>10</v>
      </c>
      <c r="C83" s="1"/>
      <c r="D83" s="1"/>
      <c r="E83" s="3" t="s">
        <v>11</v>
      </c>
      <c r="F83" s="2" t="s">
        <v>12</v>
      </c>
      <c r="G83" s="2" t="s">
        <v>13</v>
      </c>
      <c r="H83" s="1"/>
      <c r="I83" s="1"/>
      <c r="J83" s="1"/>
    </row>
    <row r="84" spans="1:10" x14ac:dyDescent="0.25">
      <c r="A84" s="1"/>
      <c r="B84" s="10">
        <f>G84/E84</f>
        <v>343.59738368000001</v>
      </c>
      <c r="C84" s="2" t="s">
        <v>5</v>
      </c>
      <c r="D84" s="1"/>
      <c r="E84" s="5">
        <f>1*10^9</f>
        <v>1000000000</v>
      </c>
      <c r="F84" s="7">
        <f>F27</f>
        <v>42949672960</v>
      </c>
      <c r="G84" s="7">
        <f>F84*8</f>
        <v>343597383680</v>
      </c>
      <c r="H84" s="1"/>
      <c r="I84" s="1"/>
      <c r="J84" s="1"/>
    </row>
    <row r="85" spans="1:10" x14ac:dyDescent="0.25">
      <c r="A85" s="1"/>
      <c r="B85" s="9">
        <f>B84*10^3</f>
        <v>343597.38368000003</v>
      </c>
      <c r="C85" s="2" t="s">
        <v>7</v>
      </c>
      <c r="D85" s="1"/>
      <c r="E85" s="1"/>
      <c r="F85" s="1"/>
      <c r="G85" s="1"/>
      <c r="H85" s="1"/>
      <c r="I85" s="1"/>
      <c r="J85" s="1"/>
    </row>
    <row r="86" spans="1:10" x14ac:dyDescent="0.25">
      <c r="A86" s="1"/>
      <c r="B86" s="7">
        <f>B85*10^3</f>
        <v>343597383.68000001</v>
      </c>
      <c r="C86" s="2" t="s">
        <v>8</v>
      </c>
      <c r="D86" s="1"/>
      <c r="E86" s="1"/>
      <c r="F86" s="1"/>
      <c r="G86" s="1"/>
      <c r="H86" s="1"/>
      <c r="I86" s="1"/>
      <c r="J86" s="1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spans="1:10" x14ac:dyDescent="0.25">
      <c r="A89" s="1" t="s">
        <v>15</v>
      </c>
      <c r="B89" s="1"/>
      <c r="C89" s="1"/>
      <c r="D89" s="1"/>
      <c r="E89" s="1"/>
      <c r="F89" s="1"/>
      <c r="G89" s="1"/>
      <c r="H89" s="1"/>
      <c r="I89" s="1"/>
      <c r="J89" s="1"/>
    </row>
    <row r="90" spans="1:10" x14ac:dyDescent="0.25">
      <c r="A90" s="1"/>
      <c r="B90" s="2" t="s">
        <v>16</v>
      </c>
      <c r="C90" s="1"/>
      <c r="D90" s="1"/>
      <c r="E90" s="2" t="s">
        <v>12</v>
      </c>
      <c r="F90" s="3" t="s">
        <v>17</v>
      </c>
      <c r="G90" s="1"/>
      <c r="H90" s="1"/>
      <c r="I90" s="1"/>
      <c r="J90" s="1"/>
    </row>
    <row r="91" spans="1:10" x14ac:dyDescent="0.25">
      <c r="A91" s="1"/>
      <c r="B91" s="7">
        <f>_xlfn.CEILING.MATH(E91/F91)</f>
        <v>29417585</v>
      </c>
      <c r="C91" s="1"/>
      <c r="D91" s="1"/>
      <c r="E91" s="7">
        <f>F27</f>
        <v>42949672960</v>
      </c>
      <c r="F91" s="5">
        <v>1460</v>
      </c>
      <c r="G91" s="1"/>
      <c r="H91" s="1"/>
      <c r="I91" s="1"/>
      <c r="J91" s="1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spans="1:10" x14ac:dyDescent="0.25">
      <c r="A94" s="1"/>
      <c r="B94" s="2" t="s">
        <v>18</v>
      </c>
      <c r="C94" s="1"/>
      <c r="D94" s="1"/>
      <c r="E94" s="2" t="s">
        <v>16</v>
      </c>
      <c r="F94" s="3" t="s">
        <v>19</v>
      </c>
      <c r="G94" s="1"/>
      <c r="H94" s="1"/>
      <c r="I94" s="1"/>
      <c r="J94" s="1"/>
    </row>
    <row r="95" spans="1:10" x14ac:dyDescent="0.25">
      <c r="A95" s="1"/>
      <c r="B95" s="10">
        <f>E95*F95</f>
        <v>1765.0550999999998</v>
      </c>
      <c r="C95" s="2" t="s">
        <v>5</v>
      </c>
      <c r="D95" s="1"/>
      <c r="E95" s="7">
        <f>$B$91</f>
        <v>29417585</v>
      </c>
      <c r="F95" s="11">
        <f>60*10^-6</f>
        <v>5.9999999999999995E-5</v>
      </c>
      <c r="G95" s="1"/>
      <c r="H95" s="1"/>
      <c r="I95" s="1"/>
      <c r="J95" s="1"/>
    </row>
    <row r="96" spans="1:10" x14ac:dyDescent="0.25">
      <c r="A96" s="1"/>
      <c r="B96" s="9">
        <f>B95*10^3</f>
        <v>1765055.0999999999</v>
      </c>
      <c r="C96" s="2" t="s">
        <v>7</v>
      </c>
      <c r="D96" s="1"/>
      <c r="E96" s="1"/>
      <c r="F96" s="1"/>
      <c r="G96" s="1"/>
      <c r="H96" s="1"/>
      <c r="I96" s="1"/>
      <c r="J96" s="1"/>
    </row>
    <row r="97" spans="1:11" x14ac:dyDescent="0.25">
      <c r="A97" s="1"/>
      <c r="B97" s="7">
        <f>B96*10^3</f>
        <v>1765055099.9999998</v>
      </c>
      <c r="C97" s="2" t="s">
        <v>8</v>
      </c>
      <c r="D97" s="1"/>
      <c r="E97" s="1"/>
      <c r="F97" s="1"/>
      <c r="G97" s="1"/>
      <c r="H97" s="1"/>
      <c r="I97" s="1"/>
      <c r="J97" s="1"/>
    </row>
    <row r="98" spans="1:1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spans="1:1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spans="1:11" x14ac:dyDescent="0.25">
      <c r="A100" s="1"/>
      <c r="B100" s="2" t="s">
        <v>20</v>
      </c>
      <c r="C100" s="1"/>
      <c r="D100" s="1"/>
      <c r="E100" s="2" t="s">
        <v>16</v>
      </c>
      <c r="F100" s="3" t="s">
        <v>19</v>
      </c>
      <c r="G100" s="1"/>
      <c r="H100" s="1"/>
      <c r="I100" s="1"/>
      <c r="J100" s="1"/>
    </row>
    <row r="101" spans="1:11" x14ac:dyDescent="0.25">
      <c r="A101" s="1"/>
      <c r="B101" s="10">
        <f>E101*F101</f>
        <v>2206.3188749999999</v>
      </c>
      <c r="C101" s="2" t="s">
        <v>5</v>
      </c>
      <c r="D101" s="1"/>
      <c r="E101" s="7">
        <f>$B$91</f>
        <v>29417585</v>
      </c>
      <c r="F101" s="11">
        <f>75*10^-6</f>
        <v>7.4999999999999993E-5</v>
      </c>
      <c r="G101" s="1"/>
      <c r="H101" s="1"/>
      <c r="I101" s="1"/>
      <c r="J101" s="1"/>
    </row>
    <row r="102" spans="1:11" x14ac:dyDescent="0.25">
      <c r="A102" s="1"/>
      <c r="B102" s="9">
        <f>B101*10^3</f>
        <v>2206318.875</v>
      </c>
      <c r="C102" s="2" t="s">
        <v>7</v>
      </c>
      <c r="D102" s="1"/>
      <c r="E102" s="1"/>
      <c r="F102" s="1"/>
      <c r="G102" s="1"/>
      <c r="H102" s="1"/>
      <c r="I102" s="1"/>
      <c r="J102" s="1"/>
    </row>
    <row r="103" spans="1:11" x14ac:dyDescent="0.25">
      <c r="A103" s="1"/>
      <c r="B103" s="7">
        <f>B102*10^3</f>
        <v>2206318875</v>
      </c>
      <c r="C103" s="2" t="s">
        <v>8</v>
      </c>
      <c r="D103" s="1"/>
      <c r="E103" s="1"/>
      <c r="F103" s="1"/>
      <c r="G103" s="1"/>
      <c r="H103" s="1"/>
      <c r="I103" s="1"/>
      <c r="J103" s="1"/>
    </row>
    <row r="104" spans="1:1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spans="1:1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spans="1:11" x14ac:dyDescent="0.25">
      <c r="A106" s="1"/>
      <c r="B106" s="2" t="s">
        <v>21</v>
      </c>
      <c r="C106" s="1"/>
      <c r="D106" s="1"/>
      <c r="E106" s="2" t="s">
        <v>16</v>
      </c>
      <c r="F106" s="3" t="s">
        <v>19</v>
      </c>
      <c r="G106" s="1"/>
      <c r="H106" s="1"/>
      <c r="I106" s="1"/>
      <c r="J106" s="1"/>
    </row>
    <row r="107" spans="1:11" x14ac:dyDescent="0.25">
      <c r="A107" s="1"/>
      <c r="B107" s="10">
        <f>E107*F107</f>
        <v>3530.1101999999996</v>
      </c>
      <c r="C107" s="2" t="s">
        <v>5</v>
      </c>
      <c r="D107" s="1"/>
      <c r="E107" s="7">
        <f>$B$91</f>
        <v>29417585</v>
      </c>
      <c r="F107" s="11">
        <f>120*10^-6</f>
        <v>1.1999999999999999E-4</v>
      </c>
      <c r="G107" s="1"/>
      <c r="H107" s="1"/>
      <c r="I107" s="1"/>
      <c r="J107" s="1"/>
    </row>
    <row r="108" spans="1:11" x14ac:dyDescent="0.25">
      <c r="A108" s="1"/>
      <c r="B108" s="9">
        <f>B107*10^3</f>
        <v>3530110.1999999997</v>
      </c>
      <c r="C108" s="2" t="s">
        <v>7</v>
      </c>
      <c r="D108" s="1"/>
      <c r="E108" s="1"/>
      <c r="F108" s="1"/>
      <c r="G108" s="1"/>
      <c r="H108" s="1"/>
      <c r="I108" s="1"/>
      <c r="J108" s="1"/>
    </row>
    <row r="109" spans="1:11" x14ac:dyDescent="0.25">
      <c r="A109" s="1"/>
      <c r="B109" s="7">
        <f>B108*10^3</f>
        <v>3530110199.9999995</v>
      </c>
      <c r="C109" s="2" t="s">
        <v>8</v>
      </c>
      <c r="D109" s="1"/>
      <c r="E109" s="1"/>
      <c r="F109" s="1"/>
      <c r="G109" s="1"/>
      <c r="H109" s="1"/>
      <c r="I109" s="1"/>
      <c r="J109" s="1"/>
    </row>
    <row r="110" spans="1:1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spans="1:1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spans="1:11" x14ac:dyDescent="0.25">
      <c r="A112" s="1"/>
      <c r="B112" s="2" t="s">
        <v>22</v>
      </c>
      <c r="C112" s="1"/>
      <c r="D112" s="1"/>
      <c r="E112" s="2" t="s">
        <v>23</v>
      </c>
      <c r="F112" s="2" t="s">
        <v>24</v>
      </c>
      <c r="G112" s="2" t="s">
        <v>25</v>
      </c>
      <c r="H112" s="2" t="s">
        <v>26</v>
      </c>
      <c r="I112" s="2" t="s">
        <v>27</v>
      </c>
      <c r="J112" s="2" t="s">
        <v>28</v>
      </c>
      <c r="K112" s="2" t="s">
        <v>29</v>
      </c>
    </row>
    <row r="113" spans="1:12" x14ac:dyDescent="0.25">
      <c r="A113" s="1"/>
      <c r="B113" s="4">
        <f>E113+(2*F113)+G113+(2*H113)+I113+(2*J113)+K113</f>
        <v>4.3020782608695657E-2</v>
      </c>
      <c r="C113" s="2" t="s">
        <v>5</v>
      </c>
      <c r="D113" s="1"/>
      <c r="E113" s="4">
        <f>B21</f>
        <v>6.0869565217391312E-7</v>
      </c>
      <c r="F113" s="10">
        <f>F95*2</f>
        <v>1.1999999999999999E-4</v>
      </c>
      <c r="G113" s="9">
        <f>B40</f>
        <v>1.2E-2</v>
      </c>
      <c r="H113" s="10">
        <f>F101*2</f>
        <v>1.4999999999999999E-4</v>
      </c>
      <c r="I113" s="9">
        <f>B59</f>
        <v>0.03</v>
      </c>
      <c r="J113" s="10">
        <f>F107*2</f>
        <v>2.3999999999999998E-4</v>
      </c>
      <c r="K113" s="4">
        <f>B78</f>
        <v>1.739130434782609E-7</v>
      </c>
    </row>
    <row r="114" spans="1:12" x14ac:dyDescent="0.25">
      <c r="A114" s="1"/>
      <c r="B114" s="10">
        <f>B113*10^3</f>
        <v>43.020782608695654</v>
      </c>
      <c r="C114" s="2" t="s">
        <v>7</v>
      </c>
      <c r="D114" s="1"/>
      <c r="E114" s="1"/>
      <c r="F114" s="1"/>
      <c r="G114" s="1"/>
      <c r="H114" s="1"/>
      <c r="I114" s="1"/>
      <c r="J114" s="1"/>
    </row>
    <row r="115" spans="1:12" x14ac:dyDescent="0.25">
      <c r="A115" s="1"/>
      <c r="B115" s="9">
        <f>B114*10^3</f>
        <v>43020.782608695656</v>
      </c>
      <c r="C115" s="2" t="s">
        <v>8</v>
      </c>
      <c r="D115" s="1"/>
      <c r="E115" s="1"/>
      <c r="F115" s="1"/>
      <c r="G115" s="1"/>
      <c r="H115" s="1"/>
      <c r="I115" s="1"/>
      <c r="J115" s="1"/>
    </row>
    <row r="116" spans="1:1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spans="1:1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 spans="1:12" ht="60" x14ac:dyDescent="0.25">
      <c r="A118" s="12"/>
      <c r="B118" s="13" t="s">
        <v>30</v>
      </c>
      <c r="C118" s="12"/>
      <c r="D118" s="12"/>
      <c r="E118" s="13" t="s">
        <v>49</v>
      </c>
      <c r="F118" s="13" t="s">
        <v>31</v>
      </c>
      <c r="G118" s="13" t="s">
        <v>18</v>
      </c>
      <c r="H118" s="13" t="s">
        <v>32</v>
      </c>
      <c r="I118" s="13" t="s">
        <v>20</v>
      </c>
      <c r="J118" s="13" t="s">
        <v>33</v>
      </c>
      <c r="K118" s="13" t="s">
        <v>21</v>
      </c>
      <c r="L118" s="13" t="s">
        <v>34</v>
      </c>
    </row>
    <row r="119" spans="1:12" x14ac:dyDescent="0.25">
      <c r="A119" s="1"/>
      <c r="B119" s="10">
        <f>E119+F119+G119+H119+I119+J119+K119+L119</f>
        <v>11299.487631232789</v>
      </c>
      <c r="C119" s="2" t="s">
        <v>5</v>
      </c>
      <c r="D119" s="1"/>
      <c r="E119" s="4">
        <f>2*B113</f>
        <v>8.6041565217391314E-2</v>
      </c>
      <c r="F119" s="4">
        <f>B15+B27</f>
        <v>3435.9738371043477</v>
      </c>
      <c r="G119" s="10">
        <f>B95</f>
        <v>1765.0550999999998</v>
      </c>
      <c r="H119" s="4">
        <f>B34+B46</f>
        <v>6.8779476736000005</v>
      </c>
      <c r="I119" s="10">
        <f>B101</f>
        <v>2206.3188749999999</v>
      </c>
      <c r="J119" s="4">
        <f>B53+B65</f>
        <v>11.468246122666667</v>
      </c>
      <c r="K119" s="10">
        <f>B107</f>
        <v>3530.1101999999996</v>
      </c>
      <c r="L119" s="4">
        <f>B72+B84</f>
        <v>343.59738376695651</v>
      </c>
    </row>
    <row r="120" spans="1:12" x14ac:dyDescent="0.25">
      <c r="A120" s="1"/>
      <c r="B120" s="9">
        <f>B119*10^3</f>
        <v>11299487.631232789</v>
      </c>
      <c r="C120" s="2" t="s">
        <v>7</v>
      </c>
      <c r="D120" s="1"/>
      <c r="E120" s="1"/>
      <c r="F120" s="1"/>
      <c r="G120" s="1"/>
      <c r="H120" s="1"/>
      <c r="I120" s="1"/>
      <c r="J120" s="1"/>
    </row>
    <row r="121" spans="1:12" x14ac:dyDescent="0.25">
      <c r="A121" s="1"/>
      <c r="B121" s="7">
        <f>B120*10^3</f>
        <v>11299487631.232788</v>
      </c>
      <c r="C121" s="2" t="s">
        <v>8</v>
      </c>
      <c r="D121" s="1"/>
      <c r="E121" s="1"/>
      <c r="F121" s="1"/>
      <c r="G121" s="1"/>
      <c r="H121" s="1"/>
      <c r="I121" s="1"/>
      <c r="J121" s="1"/>
    </row>
  </sheetData>
  <mergeCells count="1">
    <mergeCell ref="B1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6B3F4-ABAE-4CE7-8612-DFC55D25E70B}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 t="s">
        <v>35</v>
      </c>
    </row>
    <row r="2" spans="1:2" x14ac:dyDescent="0.25">
      <c r="A2" t="s">
        <v>36</v>
      </c>
      <c r="B2">
        <f>3*10^8</f>
        <v>300000000</v>
      </c>
    </row>
    <row r="3" spans="1:2" x14ac:dyDescent="0.25">
      <c r="A3" t="s">
        <v>6</v>
      </c>
      <c r="B3">
        <f>2.3*10^8</f>
        <v>229999999.99999997</v>
      </c>
    </row>
    <row r="4" spans="1:2" x14ac:dyDescent="0.25">
      <c r="A4" t="s">
        <v>14</v>
      </c>
      <c r="B4">
        <f>2*10^8</f>
        <v>200000000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 1-2</vt:lpstr>
      <vt:lpstr>Constants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Struthers</dc:creator>
  <cp:lastModifiedBy>Andrew Struthers</cp:lastModifiedBy>
  <dcterms:created xsi:type="dcterms:W3CDTF">2023-06-08T18:04:11Z</dcterms:created>
  <dcterms:modified xsi:type="dcterms:W3CDTF">2023-06-08T23:22:18Z</dcterms:modified>
</cp:coreProperties>
</file>