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codeName="ThisWorkbook"/>
  <mc:AlternateContent xmlns:mc="http://schemas.openxmlformats.org/markup-compatibility/2006">
    <mc:Choice Requires="x15">
      <x15ac:absPath xmlns:x15ac="http://schemas.microsoft.com/office/spreadsheetml/2010/11/ac" url="D:\PTT\Project\Alocation-model(Excel)\Documentation\01_Information\เอกสารจาก User\คุณเตย ตาม Email วันที่ 24052021\Input\Merge Allo\"/>
    </mc:Choice>
  </mc:AlternateContent>
  <xr:revisionPtr revIDLastSave="0" documentId="13_ncr:1_{C6DAB154-4ECC-4E32-8AD0-9B28DACBD44A}" xr6:coauthVersionLast="47" xr6:coauthVersionMax="47" xr10:uidLastSave="{00000000-0000-0000-0000-000000000000}"/>
  <bookViews>
    <workbookView xWindow="-110" yWindow="-110" windowWidth="19420" windowHeight="10420" tabRatio="901" activeTab="2" xr2:uid="{00000000-000D-0000-FFFF-FFFF00000000}"/>
  </bookViews>
  <sheets>
    <sheet name="C2" sheetId="129" r:id="rId1"/>
    <sheet name="LR monthly" sheetId="56" r:id="rId2"/>
    <sheet name="C3LPG" sheetId="50" r:id="rId3"/>
    <sheet name="NGL" sheetId="111" r:id="rId4"/>
  </sheets>
  <externalReferences>
    <externalReference r:id="rId5"/>
    <externalReference r:id="rId6"/>
    <externalReference r:id="rId7"/>
    <externalReference r:id="rId8"/>
    <externalReference r:id="rId9"/>
    <externalReference r:id="rId10"/>
  </externalReferences>
  <definedNames>
    <definedName name="\d" localSheetId="0">'[1]ESSO-ESSO (incre.)'!#REF!</definedName>
    <definedName name="\d" localSheetId="2">'[1]ESSO-ESSO (incre.)'!#REF!</definedName>
    <definedName name="\d" localSheetId="3">'[1]ESSO-ESSO (incre.)'!#REF!</definedName>
    <definedName name="\d">'[1]ESSO-ESSO (incre.)'!#REF!</definedName>
    <definedName name="\e" localSheetId="0">'[1]ESSO-ESSO (incre.)'!#REF!</definedName>
    <definedName name="\e" localSheetId="2">'[1]ESSO-ESSO (incre.)'!#REF!</definedName>
    <definedName name="\e" localSheetId="3">'[1]ESSO-ESSO (incre.)'!#REF!</definedName>
    <definedName name="\e">'[1]ESSO-ESSO (incre.)'!#REF!</definedName>
    <definedName name="\f" localSheetId="0">'[1]ESSO-ESSO (incre.)'!#REF!</definedName>
    <definedName name="\f" localSheetId="2">'[1]ESSO-ESSO (incre.)'!#REF!</definedName>
    <definedName name="\f" localSheetId="3">'[1]ESSO-ESSO (incre.)'!#REF!</definedName>
    <definedName name="\f">'[1]ESSO-ESSO (incre.)'!#REF!</definedName>
    <definedName name="\O" localSheetId="0">#REF!</definedName>
    <definedName name="\O" localSheetId="2">#REF!</definedName>
    <definedName name="\O" localSheetId="3">#REF!</definedName>
    <definedName name="\O">#REF!</definedName>
    <definedName name="\P" localSheetId="0">#REF!</definedName>
    <definedName name="\P" localSheetId="2">#REF!</definedName>
    <definedName name="\P" localSheetId="3">#REF!</definedName>
    <definedName name="\P">#REF!</definedName>
    <definedName name="__123Graph_A" hidden="1">[2]AGP!$BI$93:$BO$93</definedName>
    <definedName name="__123Graph_B" hidden="1">[2]AGP!$BI$97:$BO$97</definedName>
    <definedName name="__123Graph_C" hidden="1">[2]AGP!$BI$98:$BO$98</definedName>
    <definedName name="__123Graph_D" hidden="1">[2]AGP!$BI$99:$BO$99</definedName>
    <definedName name="__123Graph_X" localSheetId="0" hidden="1">[2]AGP!#REF!</definedName>
    <definedName name="__123Graph_X" localSheetId="2" hidden="1">[2]AGP!#REF!</definedName>
    <definedName name="__123Graph_X" localSheetId="3" hidden="1">[2]AGP!#REF!</definedName>
    <definedName name="__123Graph_X" hidden="1">[2]AGP!#REF!</definedName>
    <definedName name="__SCR1" localSheetId="0">#REF!</definedName>
    <definedName name="__SCR1" localSheetId="2">#REF!</definedName>
    <definedName name="__SCR1" localSheetId="3">#REF!</definedName>
    <definedName name="__SCR1">#REF!</definedName>
    <definedName name="_1B" localSheetId="0">#REF!</definedName>
    <definedName name="_1B" localSheetId="2">#REF!</definedName>
    <definedName name="_1B" localSheetId="3">#REF!</definedName>
    <definedName name="_1B">#REF!</definedName>
    <definedName name="_1E" localSheetId="0">#REF!</definedName>
    <definedName name="_1E" localSheetId="2">#REF!</definedName>
    <definedName name="_1E" localSheetId="3">#REF!</definedName>
    <definedName name="_1E">#REF!</definedName>
    <definedName name="_1M" localSheetId="0">#REF!</definedName>
    <definedName name="_1M" localSheetId="2">#REF!</definedName>
    <definedName name="_1M" localSheetId="3">#REF!</definedName>
    <definedName name="_1M">#REF!</definedName>
    <definedName name="_1U" localSheetId="0">#REF!</definedName>
    <definedName name="_1U" localSheetId="2">#REF!</definedName>
    <definedName name="_1U" localSheetId="3">#REF!</definedName>
    <definedName name="_1U">#REF!</definedName>
    <definedName name="_2U" localSheetId="0">#REF!</definedName>
    <definedName name="_2U" localSheetId="2">#REF!</definedName>
    <definedName name="_2U" localSheetId="3">#REF!</definedName>
    <definedName name="_2U">#REF!</definedName>
    <definedName name="_3U" localSheetId="0">#REF!</definedName>
    <definedName name="_3U" localSheetId="2">#REF!</definedName>
    <definedName name="_3U" localSheetId="3">#REF!</definedName>
    <definedName name="_3U">#REF!</definedName>
    <definedName name="_4U" localSheetId="0">#REF!</definedName>
    <definedName name="_4U" localSheetId="2">#REF!</definedName>
    <definedName name="_4U" localSheetId="3">#REF!</definedName>
    <definedName name="_4U">#REF!</definedName>
    <definedName name="_Fill" localSheetId="0" hidden="1">#REF!</definedName>
    <definedName name="_Fill" localSheetId="2" hidden="1">#REF!</definedName>
    <definedName name="_Fill" localSheetId="3" hidden="1">#REF!</definedName>
    <definedName name="_Fill" hidden="1">#REF!</definedName>
    <definedName name="_MO1" localSheetId="0">#REF!</definedName>
    <definedName name="_MO1" localSheetId="2">#REF!</definedName>
    <definedName name="_MO1" localSheetId="3">#REF!</definedName>
    <definedName name="_MO1">#REF!</definedName>
    <definedName name="_MO10" localSheetId="0">#REF!</definedName>
    <definedName name="_MO10" localSheetId="2">#REF!</definedName>
    <definedName name="_MO10" localSheetId="3">#REF!</definedName>
    <definedName name="_MO10">#REF!</definedName>
    <definedName name="_MO11" localSheetId="0">#REF!</definedName>
    <definedName name="_MO11" localSheetId="2">#REF!</definedName>
    <definedName name="_MO11" localSheetId="3">#REF!</definedName>
    <definedName name="_MO11">#REF!</definedName>
    <definedName name="_MO12" localSheetId="0">#REF!</definedName>
    <definedName name="_MO12" localSheetId="2">#REF!</definedName>
    <definedName name="_MO12" localSheetId="3">#REF!</definedName>
    <definedName name="_MO12">#REF!</definedName>
    <definedName name="_MO2" localSheetId="0">#REF!</definedName>
    <definedName name="_MO2" localSheetId="2">#REF!</definedName>
    <definedName name="_MO2" localSheetId="3">#REF!</definedName>
    <definedName name="_MO2">#REF!</definedName>
    <definedName name="_MO3" localSheetId="0">#REF!</definedName>
    <definedName name="_MO3" localSheetId="2">#REF!</definedName>
    <definedName name="_MO3" localSheetId="3">#REF!</definedName>
    <definedName name="_MO3">#REF!</definedName>
    <definedName name="_MO4" localSheetId="0">#REF!</definedName>
    <definedName name="_MO4" localSheetId="2">#REF!</definedName>
    <definedName name="_MO4" localSheetId="3">#REF!</definedName>
    <definedName name="_MO4">#REF!</definedName>
    <definedName name="_MO5" localSheetId="0">#REF!</definedName>
    <definedName name="_MO5" localSheetId="2">#REF!</definedName>
    <definedName name="_MO5" localSheetId="3">#REF!</definedName>
    <definedName name="_MO5">#REF!</definedName>
    <definedName name="_MO6" localSheetId="0">#REF!</definedName>
    <definedName name="_MO6" localSheetId="2">#REF!</definedName>
    <definedName name="_MO6" localSheetId="3">#REF!</definedName>
    <definedName name="_MO6">#REF!</definedName>
    <definedName name="_MO7" localSheetId="0">#REF!</definedName>
    <definedName name="_MO7" localSheetId="2">#REF!</definedName>
    <definedName name="_MO7" localSheetId="3">#REF!</definedName>
    <definedName name="_MO7">#REF!</definedName>
    <definedName name="_MO8" localSheetId="0">#REF!</definedName>
    <definedName name="_MO8" localSheetId="2">#REF!</definedName>
    <definedName name="_MO8" localSheetId="3">#REF!</definedName>
    <definedName name="_MO8">#REF!</definedName>
    <definedName name="_MO9" localSheetId="0">#REF!</definedName>
    <definedName name="_MO9" localSheetId="2">#REF!</definedName>
    <definedName name="_MO9" localSheetId="3">#REF!</definedName>
    <definedName name="_MO9">#REF!</definedName>
    <definedName name="_SCR1" localSheetId="0">#REF!</definedName>
    <definedName name="_SCR1" localSheetId="2">#REF!</definedName>
    <definedName name="_SCR1" localSheetId="3">#REF!</definedName>
    <definedName name="_SCR1">#REF!</definedName>
    <definedName name="a" localSheetId="0">[3]Purchase!#REF!</definedName>
    <definedName name="a" localSheetId="2">[3]Purchase!#REF!</definedName>
    <definedName name="a" localSheetId="3">[3]Purchase!#REF!</definedName>
    <definedName name="a">[3]Purchase!#REF!</definedName>
    <definedName name="ALL_IDX" localSheetId="0">#REF!</definedName>
    <definedName name="ALL_IDX" localSheetId="2">#REF!</definedName>
    <definedName name="ALL_IDX" localSheetId="3">#REF!</definedName>
    <definedName name="ALL_IDX">#REF!</definedName>
    <definedName name="Apr" localSheetId="0">#REF!</definedName>
    <definedName name="Apr" localSheetId="2">#REF!</definedName>
    <definedName name="Apr" localSheetId="3">#REF!</definedName>
    <definedName name="Apr">#REF!</definedName>
    <definedName name="AprSun1" localSheetId="0">DATEVALUE("4/1/"&amp;'C2'!TheYear)-WEEKDAY(DATEVALUE("4/1/"&amp;'C2'!TheYear))+1</definedName>
    <definedName name="AprSun1" localSheetId="2">DATEVALUE("4/1/"&amp;'C3LPG'!TheYear)-WEEKDAY(DATEVALUE("4/1/"&amp;'C3LPG'!TheYear))+1</definedName>
    <definedName name="AprSun1" localSheetId="3">DATEVALUE("4/1/"&amp;NGL!TheYear)-WEEKDAY(DATEVALUE("4/1/"&amp;NGL!TheYear))+1</definedName>
    <definedName name="AprSun1">DATEVALUE("4/1/"&amp;TheYear)-WEEKDAY(DATEVALUE("4/1/"&amp;TheYear))+1</definedName>
    <definedName name="Aug" localSheetId="0">#REF!</definedName>
    <definedName name="Aug" localSheetId="2">#REF!</definedName>
    <definedName name="Aug" localSheetId="3">#REF!</definedName>
    <definedName name="Aug">#REF!</definedName>
    <definedName name="AugSun1" localSheetId="0">DATEVALUE("8/1/"&amp;'C2'!TheYear)-WEEKDAY(DATEVALUE("8/1/"&amp;'C2'!TheYear))+1</definedName>
    <definedName name="AugSun1" localSheetId="2">DATEVALUE("8/1/"&amp;'C3LPG'!TheYear)-WEEKDAY(DATEVALUE("8/1/"&amp;'C3LPG'!TheYear))+1</definedName>
    <definedName name="AugSun1" localSheetId="3">DATEVALUE("8/1/"&amp;NGL!TheYear)-WEEKDAY(DATEVALUE("8/1/"&amp;NGL!TheYear))+1</definedName>
    <definedName name="AugSun1">DATEVALUE("8/1/"&amp;TheYear)-WEEKDAY(DATEVALUE("8/1/"&amp;TheYear))+1</definedName>
    <definedName name="bb">[4]level_all!$E$3:$K$15</definedName>
    <definedName name="BLG">[4]level_all!$FH$2:$FQ$15</definedName>
    <definedName name="ca" localSheetId="0">[3]Purchase!#REF!</definedName>
    <definedName name="ca" localSheetId="2">[3]Purchase!#REF!</definedName>
    <definedName name="ca" localSheetId="3">[3]Purchase!#REF!</definedName>
    <definedName name="ca">[3]Purchase!#REF!</definedName>
    <definedName name="CASE2" localSheetId="0">#REF!</definedName>
    <definedName name="CASE2" localSheetId="2">#REF!</definedName>
    <definedName name="CASE2" localSheetId="3">#REF!</definedName>
    <definedName name="CASE2">#REF!</definedName>
    <definedName name="ccc" localSheetId="0">[3]Purchase!#REF!</definedName>
    <definedName name="ccc" localSheetId="2">[3]Purchase!#REF!</definedName>
    <definedName name="ccc" localSheetId="3">[3]Purchase!#REF!</definedName>
    <definedName name="ccc">[3]Purchase!#REF!</definedName>
    <definedName name="CLB">[4]level_all!$DQ$2:$DZ$15</definedName>
    <definedName name="CRUDE" localSheetId="0">#REF!</definedName>
    <definedName name="CRUDE" localSheetId="2">#REF!</definedName>
    <definedName name="CRUDE" localSheetId="3">#REF!</definedName>
    <definedName name="CRUDE">#REF!</definedName>
    <definedName name="Customercode">[5]Invent.!$B$7:$B$4500</definedName>
    <definedName name="DDD" localSheetId="0">#REF!</definedName>
    <definedName name="DDD" localSheetId="2">#REF!</definedName>
    <definedName name="DDD" localSheetId="3">#REF!</definedName>
    <definedName name="DDD">#REF!</definedName>
    <definedName name="Dec" localSheetId="0">#REF!</definedName>
    <definedName name="Dec" localSheetId="2">#REF!</definedName>
    <definedName name="Dec" localSheetId="3">#REF!</definedName>
    <definedName name="Dec">#REF!</definedName>
    <definedName name="DecSun1" localSheetId="0">DATEVALUE("12/1/"&amp;'C2'!TheYear)-WEEKDAY(DATEVALUE("12/1/"&amp;'C2'!TheYear))+1</definedName>
    <definedName name="DecSun1" localSheetId="2">DATEVALUE("12/1/"&amp;'C3LPG'!TheYear)-WEEKDAY(DATEVALUE("12/1/"&amp;'C3LPG'!TheYear))+1</definedName>
    <definedName name="DecSun1" localSheetId="3">DATEVALUE("12/1/"&amp;NGL!TheYear)-WEEKDAY(DATEVALUE("12/1/"&amp;NGL!TheYear))+1</definedName>
    <definedName name="DecSun1">DATEVALUE("12/1/"&amp;TheYear)-WEEKDAY(DATEVALUE("12/1/"&amp;TheYear))+1</definedName>
    <definedName name="Dry_Test" localSheetId="0">#REF!</definedName>
    <definedName name="Dry_Test" localSheetId="2">#REF!</definedName>
    <definedName name="Dry_Test" localSheetId="3">#REF!</definedName>
    <definedName name="Dry_Test">#REF!</definedName>
    <definedName name="dsfrgt" localSheetId="0">#REF!</definedName>
    <definedName name="dsfrgt" localSheetId="2">#REF!</definedName>
    <definedName name="dsfrgt" localSheetId="3">#REF!</definedName>
    <definedName name="dsfrgt">#REF!</definedName>
    <definedName name="Feb" localSheetId="0">#REF!</definedName>
    <definedName name="Feb" localSheetId="2">#REF!</definedName>
    <definedName name="Feb" localSheetId="3">#REF!</definedName>
    <definedName name="Feb">#REF!</definedName>
    <definedName name="FebSun1" localSheetId="0">DATEVALUE("2/1/"&amp;'C2'!TheYear)-WEEKDAY(DATEVALUE("2/1/"&amp;'C2'!TheYear))+1</definedName>
    <definedName name="FebSun1" localSheetId="2">DATEVALUE("2/1/"&amp;'C3LPG'!TheYear)-WEEKDAY(DATEVALUE("2/1/"&amp;'C3LPG'!TheYear))+1</definedName>
    <definedName name="FebSun1" localSheetId="3">DATEVALUE("2/1/"&amp;NGL!TheYear)-WEEKDAY(DATEVALUE("2/1/"&amp;NGL!TheYear))+1</definedName>
    <definedName name="FebSun1">DATEVALUE("2/1/"&amp;TheYear)-WEEKDAY(DATEVALUE("2/1/"&amp;TheYear))+1</definedName>
    <definedName name="GAS" localSheetId="0">#REF!</definedName>
    <definedName name="GAS" localSheetId="2">#REF!</definedName>
    <definedName name="GAS" localSheetId="3">#REF!</definedName>
    <definedName name="GAS">#REF!</definedName>
    <definedName name="GROWTH_Y_o_Y" localSheetId="0">#REF!</definedName>
    <definedName name="GROWTH_Y_o_Y" localSheetId="2">#REF!</definedName>
    <definedName name="GROWTH_Y_o_Y" localSheetId="3">#REF!</definedName>
    <definedName name="GROWTH_Y_o_Y">#REF!</definedName>
    <definedName name="HEAD" localSheetId="0">#REF!</definedName>
    <definedName name="HEAD" localSheetId="2">#REF!</definedName>
    <definedName name="HEAD" localSheetId="3">#REF!</definedName>
    <definedName name="HEAD">#REF!</definedName>
    <definedName name="I1U" localSheetId="0">#REF!</definedName>
    <definedName name="I1U" localSheetId="2">#REF!</definedName>
    <definedName name="I1U" localSheetId="3">#REF!</definedName>
    <definedName name="I1U">#REF!</definedName>
    <definedName name="I2U" localSheetId="0">#REF!</definedName>
    <definedName name="I2U" localSheetId="2">#REF!</definedName>
    <definedName name="I2U" localSheetId="3">#REF!</definedName>
    <definedName name="I2U">#REF!</definedName>
    <definedName name="IBK" localSheetId="0">#REF!</definedName>
    <definedName name="IBK" localSheetId="2">#REF!</definedName>
    <definedName name="IBK" localSheetId="3">#REF!</definedName>
    <definedName name="IBK">#REF!</definedName>
    <definedName name="IDX" localSheetId="0">#REF!</definedName>
    <definedName name="IDX" localSheetId="2">#REF!</definedName>
    <definedName name="IDX" localSheetId="3">#REF!</definedName>
    <definedName name="IDX">#REF!</definedName>
    <definedName name="IM" localSheetId="0">#REF!</definedName>
    <definedName name="IM" localSheetId="2">#REF!</definedName>
    <definedName name="IM" localSheetId="3">#REF!</definedName>
    <definedName name="IM">#REF!</definedName>
    <definedName name="Inputcode">[5]Invent.!$B$3:$BS$3</definedName>
    <definedName name="Jan" localSheetId="0">#REF!</definedName>
    <definedName name="Jan" localSheetId="2">#REF!</definedName>
    <definedName name="Jan" localSheetId="3">#REF!</definedName>
    <definedName name="Jan">#REF!</definedName>
    <definedName name="JanSun1" localSheetId="0">DATEVALUE("1/1/"&amp;'C2'!TheYear)-WEEKDAY(DATEVALUE("1/1/"&amp;'C2'!TheYear))+1</definedName>
    <definedName name="JanSun1" localSheetId="2">DATEVALUE("1/1/"&amp;'C3LPG'!TheYear)-WEEKDAY(DATEVALUE("1/1/"&amp;'C3LPG'!TheYear))+1</definedName>
    <definedName name="JanSun1" localSheetId="3">DATEVALUE("1/1/"&amp;NGL!TheYear)-WEEKDAY(DATEVALUE("1/1/"&amp;NGL!TheYear))+1</definedName>
    <definedName name="JanSun1">DATEVALUE("1/1/"&amp;TheYear)-WEEKDAY(DATEVALUE("1/1/"&amp;TheYear))+1</definedName>
    <definedName name="JDA" localSheetId="0">#REF!</definedName>
    <definedName name="JDA" localSheetId="2">#REF!</definedName>
    <definedName name="JDA" localSheetId="3">#REF!</definedName>
    <definedName name="JDA">#REF!</definedName>
    <definedName name="Jul" localSheetId="0">#REF!</definedName>
    <definedName name="Jul" localSheetId="2">#REF!</definedName>
    <definedName name="Jul" localSheetId="3">#REF!</definedName>
    <definedName name="Jul">#REF!</definedName>
    <definedName name="JulSun1" localSheetId="0">DATEVALUE("7/1/"&amp;'C2'!TheYear)-WEEKDAY(DATEVALUE("7/1/"&amp;'C2'!TheYear))+1</definedName>
    <definedName name="JulSun1" localSheetId="2">DATEVALUE("7/1/"&amp;'C3LPG'!TheYear)-WEEKDAY(DATEVALUE("7/1/"&amp;'C3LPG'!TheYear))+1</definedName>
    <definedName name="JulSun1" localSheetId="3">DATEVALUE("7/1/"&amp;NGL!TheYear)-WEEKDAY(DATEVALUE("7/1/"&amp;NGL!TheYear))+1</definedName>
    <definedName name="JulSun1">DATEVALUE("7/1/"&amp;TheYear)-WEEKDAY(DATEVALUE("7/1/"&amp;TheYear))+1</definedName>
    <definedName name="Jun" localSheetId="0">#REF!</definedName>
    <definedName name="Jun" localSheetId="2">#REF!</definedName>
    <definedName name="Jun" localSheetId="3">#REF!</definedName>
    <definedName name="Jun">#REF!</definedName>
    <definedName name="JunSun1" localSheetId="0">DATEVALUE("6/1/"&amp;'C2'!TheYear)-WEEKDAY(DATEVALUE("6/1/"&amp;'C2'!TheYear))+1</definedName>
    <definedName name="JunSun1" localSheetId="2">DATEVALUE("6/1/"&amp;'C3LPG'!TheYear)-WEEKDAY(DATEVALUE("6/1/"&amp;'C3LPG'!TheYear))+1</definedName>
    <definedName name="JunSun1" localSheetId="3">DATEVALUE("6/1/"&amp;NGL!TheYear)-WEEKDAY(DATEVALUE("6/1/"&amp;NGL!TheYear))+1</definedName>
    <definedName name="JunSun1">DATEVALUE("6/1/"&amp;TheYear)-WEEKDAY(DATEVALUE("6/1/"&amp;TheYear))+1</definedName>
    <definedName name="khl">[4]level_all!$BB$2:$BK$15</definedName>
    <definedName name="kkc">[4]level_all!$BO$2:$BX$15</definedName>
    <definedName name="krd">[4]level_all!$CC$2:$CL$15</definedName>
    <definedName name="Lost_seal" localSheetId="0">#REF!</definedName>
    <definedName name="Lost_seal" localSheetId="2">#REF!</definedName>
    <definedName name="Lost_seal" localSheetId="3">#REF!</definedName>
    <definedName name="Lost_seal">#REF!</definedName>
    <definedName name="Mar" localSheetId="0">#REF!</definedName>
    <definedName name="Mar" localSheetId="2">#REF!</definedName>
    <definedName name="Mar" localSheetId="3">#REF!</definedName>
    <definedName name="Mar">#REF!</definedName>
    <definedName name="MarSun1" localSheetId="0">DATEVALUE("3/1/"&amp;'C2'!TheYear)-WEEKDAY(DATEVALUE("3/1/"&amp;'C2'!TheYear))+1</definedName>
    <definedName name="MarSun1" localSheetId="2">DATEVALUE("3/1/"&amp;'C3LPG'!TheYear)-WEEKDAY(DATEVALUE("3/1/"&amp;'C3LPG'!TheYear))+1</definedName>
    <definedName name="MarSun1" localSheetId="3">DATEVALUE("3/1/"&amp;NGL!TheYear)-WEEKDAY(DATEVALUE("3/1/"&amp;NGL!TheYear))+1</definedName>
    <definedName name="MarSun1">DATEVALUE("3/1/"&amp;TheYear)-WEEKDAY(DATEVALUE("3/1/"&amp;TheYear))+1</definedName>
    <definedName name="May" localSheetId="0">#REF!</definedName>
    <definedName name="May" localSheetId="2">#REF!</definedName>
    <definedName name="May" localSheetId="3">#REF!</definedName>
    <definedName name="May">#REF!</definedName>
    <definedName name="MaySun1" localSheetId="0">DATEVALUE("5/1/"&amp;'C2'!TheYear)-WEEKDAY(DATEVALUE("5/1/"&amp;'C2'!TheYear))+1</definedName>
    <definedName name="MaySun1" localSheetId="2">DATEVALUE("5/1/"&amp;'C3LPG'!TheYear)-WEEKDAY(DATEVALUE("5/1/"&amp;'C3LPG'!TheYear))+1</definedName>
    <definedName name="MaySun1" localSheetId="3">DATEVALUE("5/1/"&amp;NGL!TheYear)-WEEKDAY(DATEVALUE("5/1/"&amp;NGL!TheYear))+1</definedName>
    <definedName name="MaySun1">DATEVALUE("5/1/"&amp;TheYear)-WEEKDAY(DATEVALUE("5/1/"&amp;TheYear))+1</definedName>
    <definedName name="mng">[4]level_all!$AC$2:$AL$15</definedName>
    <definedName name="MonRange" localSheetId="0">#REF!</definedName>
    <definedName name="MonRange" localSheetId="2">#REF!</definedName>
    <definedName name="MonRange" localSheetId="3">#REF!</definedName>
    <definedName name="MonRange">#REF!</definedName>
    <definedName name="Nov" localSheetId="0">#REF!</definedName>
    <definedName name="Nov" localSheetId="2">#REF!</definedName>
    <definedName name="Nov" localSheetId="3">#REF!</definedName>
    <definedName name="Nov">#REF!</definedName>
    <definedName name="NovSun1" localSheetId="0">DATEVALUE("11/1/"&amp;'C2'!TheYear)-WEEKDAY(DATEVALUE("11/1/"&amp;'C2'!TheYear))+1</definedName>
    <definedName name="NovSun1" localSheetId="2">DATEVALUE("11/1/"&amp;'C3LPG'!TheYear)-WEEKDAY(DATEVALUE("11/1/"&amp;'C3LPG'!TheYear))+1</definedName>
    <definedName name="NovSun1" localSheetId="3">DATEVALUE("11/1/"&amp;NGL!TheYear)-WEEKDAY(DATEVALUE("11/1/"&amp;NGL!TheYear))+1</definedName>
    <definedName name="NovSun1">DATEVALUE("11/1/"&amp;TheYear)-WEEKDAY(DATEVALUE("11/1/"&amp;TheYear))+1</definedName>
    <definedName name="NP">[4]level_all!$EG$2:$EP$15</definedName>
    <definedName name="Oct" localSheetId="0">#REF!</definedName>
    <definedName name="Oct" localSheetId="2">#REF!</definedName>
    <definedName name="Oct" localSheetId="3">#REF!</definedName>
    <definedName name="Oct">#REF!</definedName>
    <definedName name="OctSun1" localSheetId="0">DATEVALUE("10/1/"&amp;'C2'!TheYear)-WEEKDAY(DATEVALUE("10/1/"&amp;'C2'!TheYear))+1</definedName>
    <definedName name="OctSun1" localSheetId="2">DATEVALUE("10/1/"&amp;'C3LPG'!TheYear)-WEEKDAY(DATEVALUE("10/1/"&amp;'C3LPG'!TheYear))+1</definedName>
    <definedName name="OctSun1" localSheetId="3">DATEVALUE("10/1/"&amp;NGL!TheYear)-WEEKDAY(DATEVALUE("10/1/"&amp;NGL!TheYear))+1</definedName>
    <definedName name="OctSun1">DATEVALUE("10/1/"&amp;TheYear)-WEEKDAY(DATEVALUE("10/1/"&amp;TheYear))+1</definedName>
    <definedName name="OneStepChart" localSheetId="0">[6]!OneStepChart</definedName>
    <definedName name="OneStepChart" localSheetId="2">[6]!OneStepChart</definedName>
    <definedName name="OneStepChart" localSheetId="3">[6]!OneStepChart</definedName>
    <definedName name="OneStepChart">[6]!OneStepChart</definedName>
    <definedName name="outad" localSheetId="0">#REF!</definedName>
    <definedName name="outad" localSheetId="2">#REF!</definedName>
    <definedName name="outad" localSheetId="3">#REF!</definedName>
    <definedName name="outad">#REF!</definedName>
    <definedName name="PAGE2" localSheetId="0">#REF!</definedName>
    <definedName name="PAGE2" localSheetId="2">#REF!</definedName>
    <definedName name="PAGE2" localSheetId="3">#REF!</definedName>
    <definedName name="PAGE2">#REF!</definedName>
    <definedName name="pool3" localSheetId="0">[3]Purchase!#REF!</definedName>
    <definedName name="pool3" localSheetId="2">[3]Purchase!#REF!</definedName>
    <definedName name="pool3" localSheetId="3">[3]Purchase!#REF!</definedName>
    <definedName name="pool3">[3]Purchase!#REF!</definedName>
    <definedName name="Pressure_not_stabilized" localSheetId="0">#REF!</definedName>
    <definedName name="Pressure_not_stabilized" localSheetId="2">#REF!</definedName>
    <definedName name="Pressure_not_stabilized" localSheetId="3">#REF!</definedName>
    <definedName name="Pressure_not_stabilized">#REF!</definedName>
    <definedName name="_xlnm.Print_Area" localSheetId="0">#REF!</definedName>
    <definedName name="_xlnm.Print_Area" localSheetId="2">#REF!</definedName>
    <definedName name="_xlnm.Print_Area" localSheetId="3">#REF!</definedName>
    <definedName name="_xlnm.Print_Area">#REF!</definedName>
    <definedName name="PRINT_AREA_MI" localSheetId="0">#REF!</definedName>
    <definedName name="PRINT_AREA_MI" localSheetId="2">#REF!</definedName>
    <definedName name="PRINT_AREA_MI" localSheetId="3">#REF!</definedName>
    <definedName name="PRINT_AREA_MI">#REF!</definedName>
    <definedName name="Q" localSheetId="0">[3]Purchase!#REF!</definedName>
    <definedName name="Q" localSheetId="2">[3]Purchase!#REF!</definedName>
    <definedName name="Q" localSheetId="3">[3]Purchase!#REF!</definedName>
    <definedName name="Q">[3]Purchase!#REF!</definedName>
    <definedName name="RPB">[4]level_all!$ER$2:$EZ$15</definedName>
    <definedName name="S234gal." localSheetId="0">#REF!</definedName>
    <definedName name="S234gal." localSheetId="2">#REF!</definedName>
    <definedName name="S234gal." localSheetId="3">#REF!</definedName>
    <definedName name="S234gal.">#REF!</definedName>
    <definedName name="S6gal." localSheetId="0">#REF!</definedName>
    <definedName name="S6gal." localSheetId="2">#REF!</definedName>
    <definedName name="S6gal." localSheetId="3">#REF!</definedName>
    <definedName name="S6gal.">#REF!</definedName>
    <definedName name="SALES" localSheetId="0">#REF!</definedName>
    <definedName name="SALES" localSheetId="2">#REF!</definedName>
    <definedName name="SALES" localSheetId="3">#REF!</definedName>
    <definedName name="SALES">#REF!</definedName>
    <definedName name="Seal_Failure" localSheetId="0">#REF!</definedName>
    <definedName name="Seal_Failure" localSheetId="2">#REF!</definedName>
    <definedName name="Seal_Failure" localSheetId="3">#REF!</definedName>
    <definedName name="Seal_Failure">#REF!</definedName>
    <definedName name="Sep" localSheetId="0">#REF!</definedName>
    <definedName name="Sep" localSheetId="2">#REF!</definedName>
    <definedName name="Sep" localSheetId="3">#REF!</definedName>
    <definedName name="Sep">#REF!</definedName>
    <definedName name="SepSun1" localSheetId="0">DATEVALUE("9/1/"&amp;'C2'!TheYear)-WEEKDAY(DATEVALUE("9/1/"&amp;'C2'!TheYear))+1</definedName>
    <definedName name="SepSun1" localSheetId="2">DATEVALUE("9/1/"&amp;'C3LPG'!TheYear)-WEEKDAY(DATEVALUE("9/1/"&amp;'C3LPG'!TheYear))+1</definedName>
    <definedName name="SepSun1" localSheetId="3">DATEVALUE("9/1/"&amp;NGL!TheYear)-WEEKDAY(DATEVALUE("9/1/"&amp;NGL!TheYear))+1</definedName>
    <definedName name="SepSun1">DATEVALUE("9/1/"&amp;TheYear)-WEEKDAY(DATEVALUE("9/1/"&amp;TheYear))+1</definedName>
    <definedName name="sfsdfd" localSheetId="0">#REF!</definedName>
    <definedName name="sfsdfd" localSheetId="2">#REF!</definedName>
    <definedName name="sfsdfd" localSheetId="3">#REF!</definedName>
    <definedName name="sfsdfd">#REF!</definedName>
    <definedName name="sk">[4]level_all!$N$2:$U$15</definedName>
    <definedName name="SNR">[4]level_all!$AO$2:$AX$15</definedName>
    <definedName name="SRD">[4]level_all!$DD$2:$DM$15</definedName>
    <definedName name="su" localSheetId="0">#REF!</definedName>
    <definedName name="su" localSheetId="2">#REF!</definedName>
    <definedName name="su" localSheetId="3">#REF!</definedName>
    <definedName name="su">#REF!</definedName>
    <definedName name="Supercharged_?" localSheetId="0">#REF!</definedName>
    <definedName name="Supercharged_?" localSheetId="2">#REF!</definedName>
    <definedName name="Supercharged_?" localSheetId="3">#REF!</definedName>
    <definedName name="Supercharged_?">#REF!</definedName>
    <definedName name="suree" localSheetId="0">#REF!</definedName>
    <definedName name="suree" localSheetId="2">#REF!</definedName>
    <definedName name="suree" localSheetId="3">#REF!</definedName>
    <definedName name="suree">#REF!</definedName>
    <definedName name="TheYear" localSheetId="0">#REF!</definedName>
    <definedName name="TheYear" localSheetId="2">#REF!</definedName>
    <definedName name="TheYear" localSheetId="3">#REF!</definedName>
    <definedName name="TheYear">#REF!</definedName>
    <definedName name="UNIT__Bbtu" localSheetId="0">#REF!</definedName>
    <definedName name="UNIT__Bbtu" localSheetId="2">#REF!</definedName>
    <definedName name="UNIT__Bbtu" localSheetId="3">#REF!</definedName>
    <definedName name="UNIT__Bbtu">#REF!</definedName>
    <definedName name="UNIT__Bbtu_d" localSheetId="0">#REF!</definedName>
    <definedName name="UNIT__Bbtu_d" localSheetId="2">#REF!</definedName>
    <definedName name="UNIT__Bbtu_d" localSheetId="3">#REF!</definedName>
    <definedName name="UNIT__Bbtu_d">#REF!</definedName>
    <definedName name="UR">[4]level_all!$CP$2:$CY$15</definedName>
    <definedName name="VOLUME" localSheetId="0">#REF!</definedName>
    <definedName name="VOLUME" localSheetId="2">#REF!</definedName>
    <definedName name="VOLUME" localSheetId="3">#REF!</definedName>
    <definedName name="VOLUME">#REF!</definedName>
    <definedName name="WATER" localSheetId="0">#REF!</definedName>
    <definedName name="WATER" localSheetId="2">#REF!</definedName>
    <definedName name="WATER" localSheetId="3">#REF!</definedName>
    <definedName name="WATER">#REF!</definedName>
    <definedName name="WH" localSheetId="0">#REF!</definedName>
    <definedName name="WH" localSheetId="2">#REF!</definedName>
    <definedName name="WH" localSheetId="3">#REF!</definedName>
    <definedName name="WH">#REF!</definedName>
    <definedName name="wrn.A." hidden="1">{#N/A,#N/A,TRUE,"mng";#N/A,#N/A,TRUE,"snr";#N/A,#N/A,TRUE,"khl";#N/A,#N/A,TRUE,"kkc";#N/A,#N/A,TRUE,"krd";#N/A,#N/A,TRUE,"ur";#N/A,#N/A,TRUE,"srd";#N/A,#N/A,TRUE,"clb";#N/A,#N/A,TRUE,"np";#N/A,#N/A,TRUE,"rpb";#N/A,#N/A,TRUE,"blg"}</definedName>
    <definedName name="x" localSheetId="0">[3]Purchase!#REF!</definedName>
    <definedName name="x" localSheetId="2">[3]Purchase!#REF!</definedName>
    <definedName name="x" localSheetId="3">[3]Purchase!#REF!</definedName>
    <definedName name="x">[3]Purchase!#REF!</definedName>
    <definedName name="xxx" localSheetId="0">[3]Purchase!#REF!</definedName>
    <definedName name="xxx" localSheetId="2">[3]Purchase!#REF!</definedName>
    <definedName name="xxx" localSheetId="3">[3]Purchase!#REF!</definedName>
    <definedName name="xxx">[3]Purchase!#REF!</definedName>
    <definedName name="ZeroRef">[5]Invent.!$B$6</definedName>
    <definedName name="น้ำระบาย" localSheetId="0">#REF!</definedName>
    <definedName name="น้ำระบาย" localSheetId="2">#REF!</definedName>
    <definedName name="น้ำระบาย" localSheetId="3">#REF!</definedName>
    <definedName name="น้ำระบาย">#REF!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J17" i="50" l="1"/>
  <c r="AA47" i="56" l="1"/>
  <c r="AJ79" i="50" l="1"/>
  <c r="AK79" i="50"/>
  <c r="AK81" i="50" s="1"/>
  <c r="AL79" i="50"/>
  <c r="AL81" i="50" s="1"/>
  <c r="AM79" i="50"/>
  <c r="AM81" i="50" s="1"/>
  <c r="AN79" i="50"/>
  <c r="AN81" i="50" s="1"/>
  <c r="AO79" i="50"/>
  <c r="AO81" i="50" s="1"/>
  <c r="AP79" i="50"/>
  <c r="AP81" i="50" s="1"/>
  <c r="AQ79" i="50"/>
  <c r="AQ81" i="50" s="1"/>
  <c r="AR79" i="50"/>
  <c r="AR81" i="50" s="1"/>
  <c r="AS79" i="50"/>
  <c r="AS81" i="50" s="1"/>
  <c r="AT79" i="50"/>
  <c r="AT81" i="50" s="1"/>
  <c r="AU79" i="50"/>
  <c r="AU81" i="50" s="1"/>
  <c r="AV79" i="50"/>
  <c r="AV81" i="50" s="1"/>
  <c r="AJ81" i="50"/>
  <c r="AJ83" i="50" l="1"/>
  <c r="AJ133" i="50" l="1"/>
  <c r="AJ145" i="50"/>
  <c r="AI73" i="50"/>
  <c r="AK73" i="50"/>
  <c r="AL73" i="50"/>
  <c r="AM73" i="50"/>
  <c r="AN73" i="50"/>
  <c r="AO73" i="50"/>
  <c r="AP73" i="50"/>
  <c r="AQ73" i="50"/>
  <c r="AR73" i="50"/>
  <c r="AS73" i="50"/>
  <c r="AT73" i="50"/>
  <c r="AU73" i="50"/>
  <c r="AV73" i="50"/>
  <c r="AJ73" i="50"/>
  <c r="AZ55" i="50" l="1"/>
  <c r="AB47" i="56" l="1"/>
  <c r="AI116" i="50" l="1"/>
  <c r="AI115" i="50"/>
  <c r="AC47" i="56" l="1"/>
  <c r="AC33" i="56" s="1"/>
  <c r="AB33" i="56"/>
  <c r="AL47" i="56" l="1"/>
  <c r="AK47" i="56"/>
  <c r="AH47" i="56"/>
  <c r="AI121" i="50" l="1"/>
  <c r="AI8" i="50" l="1"/>
  <c r="AG47" i="56"/>
  <c r="AF47" i="56"/>
  <c r="AE47" i="56"/>
  <c r="AI79" i="50" l="1"/>
  <c r="AI81" i="50" s="1"/>
  <c r="CG7" i="111"/>
  <c r="CF7" i="111"/>
  <c r="CE7" i="111"/>
  <c r="CD7" i="111"/>
  <c r="CB7" i="111"/>
  <c r="CA7" i="111"/>
  <c r="BZ7" i="111"/>
  <c r="BY7" i="111"/>
  <c r="CC7" i="111"/>
  <c r="CH7" i="111"/>
  <c r="BX7" i="111"/>
  <c r="BW7" i="111"/>
  <c r="BX8" i="111"/>
  <c r="BY8" i="111"/>
  <c r="BZ8" i="111"/>
  <c r="CA8" i="111"/>
  <c r="CB8" i="111"/>
  <c r="CC8" i="111"/>
  <c r="CD8" i="111"/>
  <c r="CE8" i="111"/>
  <c r="CF8" i="111"/>
  <c r="CG8" i="111"/>
  <c r="CH8" i="111"/>
  <c r="BW8" i="111"/>
  <c r="AK109" i="50" l="1"/>
  <c r="AI133" i="50" l="1"/>
  <c r="AI167" i="50"/>
  <c r="Y83" i="50" l="1"/>
  <c r="Y84" i="50"/>
  <c r="Y88" i="50" s="1"/>
  <c r="Y92" i="50" s="1"/>
  <c r="Z84" i="50"/>
  <c r="Z88" i="50" s="1"/>
  <c r="Z92" i="50" s="1"/>
  <c r="AA84" i="50"/>
  <c r="AA88" i="50" s="1"/>
  <c r="AA92" i="50" s="1"/>
  <c r="AB84" i="50"/>
  <c r="AB88" i="50" s="1"/>
  <c r="AB92" i="50" s="1"/>
  <c r="AC84" i="50"/>
  <c r="AC88" i="50" s="1"/>
  <c r="AC92" i="50" s="1"/>
  <c r="AD84" i="50"/>
  <c r="AD88" i="50" s="1"/>
  <c r="AE84" i="50"/>
  <c r="AE88" i="50" s="1"/>
  <c r="AF84" i="50"/>
  <c r="AF88" i="50" s="1"/>
  <c r="AG84" i="50"/>
  <c r="AG88" i="50" s="1"/>
  <c r="AH84" i="50"/>
  <c r="AH88" i="50" s="1"/>
  <c r="Y85" i="50"/>
  <c r="Y86" i="50"/>
  <c r="AA87" i="50"/>
  <c r="AA89" i="50" s="1"/>
  <c r="AC87" i="50"/>
  <c r="AC89" i="50" s="1"/>
  <c r="AZ124" i="50"/>
  <c r="AZ123" i="50"/>
  <c r="AZ121" i="50"/>
  <c r="AZ119" i="50"/>
  <c r="AC91" i="50" l="1"/>
  <c r="AC90" i="50"/>
  <c r="AC94" i="50" s="1"/>
  <c r="AC93" i="50"/>
  <c r="AA93" i="50"/>
  <c r="AA90" i="50"/>
  <c r="AA94" i="50" s="1"/>
  <c r="AA91" i="50"/>
  <c r="AO113" i="50" l="1"/>
  <c r="AE33" i="56" l="1"/>
  <c r="AF33" i="56"/>
  <c r="AD33" i="56"/>
  <c r="AL98" i="50"/>
  <c r="AL33" i="56" l="1"/>
  <c r="AJ47" i="56"/>
  <c r="AJ33" i="56" s="1"/>
  <c r="AI47" i="56"/>
  <c r="AG33" i="56"/>
  <c r="AK111" i="50" l="1"/>
  <c r="AI9" i="50" l="1"/>
  <c r="AK85" i="50" l="1"/>
  <c r="AL85" i="50"/>
  <c r="AM85" i="50"/>
  <c r="AN85" i="50"/>
  <c r="AJ87" i="50"/>
  <c r="AJ89" i="50" s="1"/>
  <c r="AJ90" i="50" s="1"/>
  <c r="AJ94" i="50" s="1"/>
  <c r="AK87" i="50"/>
  <c r="AL87" i="50"/>
  <c r="AL89" i="50" s="1"/>
  <c r="AM87" i="50"/>
  <c r="AM89" i="50" s="1"/>
  <c r="AN87" i="50"/>
  <c r="AN91" i="50" s="1"/>
  <c r="AJ85" i="50" l="1"/>
  <c r="AK89" i="50"/>
  <c r="AK93" i="50" s="1"/>
  <c r="AN83" i="50"/>
  <c r="AK91" i="50"/>
  <c r="AJ91" i="50"/>
  <c r="AN89" i="50"/>
  <c r="AK83" i="50"/>
  <c r="AK82" i="50" s="1"/>
  <c r="AK80" i="50" s="1"/>
  <c r="AM90" i="50"/>
  <c r="AM94" i="50" s="1"/>
  <c r="AM93" i="50"/>
  <c r="AM83" i="50"/>
  <c r="AM82" i="50" s="1"/>
  <c r="AM80" i="50" s="1"/>
  <c r="AM91" i="50"/>
  <c r="AJ93" i="50"/>
  <c r="AL91" i="50"/>
  <c r="AL83" i="50"/>
  <c r="AL90" i="50"/>
  <c r="AL94" i="50" s="1"/>
  <c r="AL93" i="50"/>
  <c r="AN82" i="50" l="1"/>
  <c r="AN80" i="50" s="1"/>
  <c r="AN84" i="50" s="1"/>
  <c r="AN88" i="50" s="1"/>
  <c r="AN92" i="50" s="1"/>
  <c r="AL82" i="50"/>
  <c r="AL80" i="50" s="1"/>
  <c r="AL84" i="50" s="1"/>
  <c r="AL88" i="50" s="1"/>
  <c r="AL92" i="50" s="1"/>
  <c r="AJ82" i="50"/>
  <c r="AJ80" i="50" s="1"/>
  <c r="AJ84" i="50" s="1"/>
  <c r="AJ88" i="50" s="1"/>
  <c r="AJ92" i="50" s="1"/>
  <c r="AK90" i="50"/>
  <c r="AK94" i="50" s="1"/>
  <c r="AK84" i="50"/>
  <c r="AN90" i="50"/>
  <c r="AN94" i="50" s="1"/>
  <c r="AN93" i="50"/>
  <c r="AM86" i="50"/>
  <c r="AM84" i="50"/>
  <c r="AM88" i="50" s="1"/>
  <c r="AM92" i="50" s="1"/>
  <c r="AL86" i="50" l="1"/>
  <c r="AJ86" i="50"/>
  <c r="AN86" i="50"/>
  <c r="AK88" i="50"/>
  <c r="AK86" i="50"/>
  <c r="AK92" i="50" l="1"/>
  <c r="AI87" i="50"/>
  <c r="AI89" i="50" l="1"/>
  <c r="AI91" i="50"/>
  <c r="AI83" i="50"/>
  <c r="AI90" i="50" l="1"/>
  <c r="AI94" i="50" s="1"/>
  <c r="AI93" i="50"/>
  <c r="AI85" i="50" l="1"/>
  <c r="AI82" i="50" s="1"/>
  <c r="AI86" i="50" l="1"/>
  <c r="AI80" i="50"/>
  <c r="AI84" i="50" s="1"/>
  <c r="AI88" i="50" s="1"/>
  <c r="AX84" i="50" l="1"/>
  <c r="AI92" i="50"/>
  <c r="AX88" i="50"/>
  <c r="AL173" i="50" l="1"/>
  <c r="AM173" i="50"/>
  <c r="AN173" i="50"/>
  <c r="AO173" i="50"/>
  <c r="AP173" i="50"/>
  <c r="AQ173" i="50"/>
  <c r="AS173" i="50"/>
  <c r="AT173" i="50"/>
  <c r="AU173" i="50"/>
  <c r="AV173" i="50"/>
  <c r="AO174" i="50"/>
  <c r="BU8" i="111" l="1"/>
  <c r="BV7" i="111" l="1"/>
  <c r="Z55" i="129" l="1"/>
  <c r="Z50" i="129"/>
  <c r="Z57" i="129" s="1"/>
  <c r="Z31" i="129"/>
  <c r="Z23" i="129"/>
  <c r="Z24" i="129" s="1"/>
  <c r="Z25" i="129" s="1"/>
  <c r="Z21" i="129"/>
  <c r="Z10" i="129"/>
  <c r="Z8" i="129"/>
  <c r="Z16" i="129" s="1"/>
  <c r="Z4" i="129"/>
  <c r="Z2" i="129"/>
  <c r="AB7" i="129"/>
  <c r="Z19" i="129" l="1"/>
  <c r="Z28" i="129" s="1"/>
  <c r="Z18" i="129"/>
  <c r="Z38" i="129"/>
  <c r="Z33" i="129" s="1"/>
  <c r="Z36" i="129" s="1"/>
  <c r="Z29" i="129" l="1"/>
  <c r="Z26" i="129"/>
  <c r="Z27" i="129" s="1"/>
  <c r="Z37" i="129"/>
  <c r="AI199" i="50"/>
  <c r="AJ199" i="50"/>
  <c r="AK199" i="50"/>
  <c r="AL199" i="50"/>
  <c r="AM199" i="50"/>
  <c r="AN199" i="50"/>
  <c r="AI200" i="50"/>
  <c r="AJ200" i="50"/>
  <c r="AK200" i="50"/>
  <c r="AL200" i="50"/>
  <c r="AM200" i="50"/>
  <c r="AN200" i="50"/>
  <c r="AP199" i="50"/>
  <c r="AQ199" i="50"/>
  <c r="AS199" i="50"/>
  <c r="AT199" i="50"/>
  <c r="AU199" i="50"/>
  <c r="AV199" i="50"/>
  <c r="AP200" i="50"/>
  <c r="AQ200" i="50"/>
  <c r="AR200" i="50"/>
  <c r="AS200" i="50"/>
  <c r="AT200" i="50"/>
  <c r="AU200" i="50"/>
  <c r="AV200" i="50"/>
  <c r="AO200" i="50"/>
  <c r="AO199" i="50"/>
  <c r="AQ201" i="50" l="1"/>
  <c r="AT201" i="50"/>
  <c r="AU201" i="50"/>
  <c r="AP201" i="50"/>
  <c r="AO201" i="50"/>
  <c r="AS201" i="50"/>
  <c r="AV201" i="50"/>
  <c r="Z32" i="129"/>
  <c r="Z39" i="129"/>
  <c r="CN6" i="111"/>
  <c r="CO6" i="111" s="1"/>
  <c r="AZ17" i="50"/>
  <c r="AZ8" i="50"/>
  <c r="Z35" i="129" l="1"/>
  <c r="Z34" i="129"/>
  <c r="Z41" i="129" l="1"/>
  <c r="Z42" i="129"/>
  <c r="AM47" i="56"/>
  <c r="AM33" i="56" s="1"/>
  <c r="AK33" i="56"/>
  <c r="AH33" i="56"/>
  <c r="CG20" i="111" l="1"/>
  <c r="CH17" i="111"/>
  <c r="CH20" i="111"/>
  <c r="CH2" i="111"/>
  <c r="CG17" i="111"/>
  <c r="CG2" i="111"/>
  <c r="AR99" i="50"/>
  <c r="AX55" i="50"/>
  <c r="Y55" i="129"/>
  <c r="Y50" i="129"/>
  <c r="Y57" i="129" s="1"/>
  <c r="Y31" i="129"/>
  <c r="Y23" i="129"/>
  <c r="Y24" i="129" s="1"/>
  <c r="Y25" i="129" s="1"/>
  <c r="Y21" i="129"/>
  <c r="Y10" i="129"/>
  <c r="Y8" i="129"/>
  <c r="Y16" i="129" s="1"/>
  <c r="Y4" i="129"/>
  <c r="Y2" i="129"/>
  <c r="AR173" i="50" l="1"/>
  <c r="AI33" i="56"/>
  <c r="AR199" i="50"/>
  <c r="AR201" i="50" s="1"/>
  <c r="CN8" i="111"/>
  <c r="CO8" i="111" s="1"/>
  <c r="CG16" i="111"/>
  <c r="CG15" i="111" s="1"/>
  <c r="CH13" i="111"/>
  <c r="CH14" i="111" s="1"/>
  <c r="CG13" i="111"/>
  <c r="CG14" i="111" s="1"/>
  <c r="CH16" i="111"/>
  <c r="CH15" i="111" s="1"/>
  <c r="CH19" i="111"/>
  <c r="CG19" i="111"/>
  <c r="Y19" i="129"/>
  <c r="Y28" i="129" s="1"/>
  <c r="Y18" i="129"/>
  <c r="Y38" i="129"/>
  <c r="Y33" i="129" s="1"/>
  <c r="Y36" i="129" s="1"/>
  <c r="Y29" i="129" l="1"/>
  <c r="Y26" i="129"/>
  <c r="Y27" i="129" s="1"/>
  <c r="Y37" i="129"/>
  <c r="Y32" i="129" l="1"/>
  <c r="Y39" i="129"/>
  <c r="Y35" i="129" l="1"/>
  <c r="Y34" i="129"/>
  <c r="Y41" i="129" l="1"/>
  <c r="Y42" i="129"/>
  <c r="AI113" i="50" l="1"/>
  <c r="Y49" i="56" l="1"/>
  <c r="Y50" i="56"/>
  <c r="Y51" i="56"/>
  <c r="AA49" i="56"/>
  <c r="AC49" i="56"/>
  <c r="AD49" i="56"/>
  <c r="AE49" i="56"/>
  <c r="AF49" i="56"/>
  <c r="AG49" i="56"/>
  <c r="AH49" i="56"/>
  <c r="AI49" i="56"/>
  <c r="AJ49" i="56"/>
  <c r="AK49" i="56"/>
  <c r="AL49" i="56"/>
  <c r="AM49" i="56"/>
  <c r="AA50" i="56"/>
  <c r="AB50" i="56"/>
  <c r="AC50" i="56"/>
  <c r="AD50" i="56"/>
  <c r="AE50" i="56"/>
  <c r="AF50" i="56"/>
  <c r="AG50" i="56"/>
  <c r="AH50" i="56"/>
  <c r="AJ50" i="56"/>
  <c r="AK50" i="56"/>
  <c r="AL50" i="56"/>
  <c r="AM50" i="56"/>
  <c r="AA51" i="56"/>
  <c r="AB51" i="56"/>
  <c r="AC51" i="56"/>
  <c r="AD51" i="56"/>
  <c r="AE51" i="56"/>
  <c r="AF51" i="56"/>
  <c r="AG51" i="56"/>
  <c r="AH51" i="56"/>
  <c r="AI51" i="56"/>
  <c r="AJ51" i="56"/>
  <c r="AK51" i="56"/>
  <c r="AL51" i="56"/>
  <c r="AM51" i="56"/>
  <c r="Z51" i="56"/>
  <c r="Z50" i="56"/>
  <c r="Z49" i="56"/>
  <c r="Y26" i="56" l="1"/>
  <c r="AJ112" i="50" l="1"/>
  <c r="AK102" i="50" l="1"/>
  <c r="AV115" i="50"/>
  <c r="AV174" i="50" s="1"/>
  <c r="AU115" i="50"/>
  <c r="AU174" i="50" s="1"/>
  <c r="AT115" i="50"/>
  <c r="AT174" i="50" s="1"/>
  <c r="AL115" i="50"/>
  <c r="BB116" i="50"/>
  <c r="BC114" i="50" s="1"/>
  <c r="AL116" i="50" l="1"/>
  <c r="AL174" i="50" s="1"/>
  <c r="AS115" i="50"/>
  <c r="AS174" i="50" s="1"/>
  <c r="BC115" i="50"/>
  <c r="AR115" i="50" l="1"/>
  <c r="AQ115" i="50"/>
  <c r="AQ174" i="50" s="1"/>
  <c r="AP115" i="50"/>
  <c r="AP174" i="50" s="1"/>
  <c r="AI110" i="50"/>
  <c r="AR116" i="50" l="1"/>
  <c r="AR174" i="50" s="1"/>
  <c r="AB49" i="56"/>
  <c r="AK173" i="50"/>
  <c r="AK180" i="50" l="1"/>
  <c r="AH119" i="50" l="1"/>
  <c r="AH87" i="50" s="1"/>
  <c r="AH91" i="50" l="1"/>
  <c r="AI109" i="50"/>
  <c r="AJ109" i="50"/>
  <c r="AJ4" i="56"/>
  <c r="AK4" i="56"/>
  <c r="AJ5" i="56"/>
  <c r="AK5" i="56"/>
  <c r="AJ6" i="56"/>
  <c r="AK6" i="56"/>
  <c r="AJ13" i="56"/>
  <c r="AK13" i="56"/>
  <c r="AM39" i="56"/>
  <c r="AM37" i="56"/>
  <c r="AM23" i="56"/>
  <c r="AM20" i="56"/>
  <c r="AM13" i="56"/>
  <c r="AM6" i="56"/>
  <c r="AM19" i="56" s="1"/>
  <c r="AM5" i="56"/>
  <c r="AM4" i="56"/>
  <c r="AL39" i="56"/>
  <c r="AL42" i="56"/>
  <c r="AL23" i="56"/>
  <c r="AL20" i="56"/>
  <c r="AL13" i="56"/>
  <c r="AL6" i="56"/>
  <c r="AL19" i="56" s="1"/>
  <c r="AL5" i="56"/>
  <c r="AL4" i="56"/>
  <c r="AZ110" i="50"/>
  <c r="AM3" i="56" l="1"/>
  <c r="AM18" i="56"/>
  <c r="AM42" i="56"/>
  <c r="AL18" i="56"/>
  <c r="AK3" i="56"/>
  <c r="AJ3" i="56"/>
  <c r="AL3" i="56"/>
  <c r="AL37" i="56"/>
  <c r="AH121" i="50"/>
  <c r="AH120" i="50"/>
  <c r="AH92" i="50" s="1"/>
  <c r="AH133" i="50" l="1"/>
  <c r="AH167" i="50" l="1"/>
  <c r="AI50" i="56" l="1"/>
  <c r="AH62" i="50"/>
  <c r="BT8" i="111" l="1"/>
  <c r="BT10" i="111"/>
  <c r="AH63" i="50" l="1"/>
  <c r="AH123" i="50"/>
  <c r="AH89" i="50" s="1"/>
  <c r="AH90" i="50" l="1"/>
  <c r="AH94" i="50" s="1"/>
  <c r="AH93" i="50"/>
  <c r="AZ100" i="50"/>
  <c r="AZ98" i="50"/>
  <c r="AZ111" i="50"/>
  <c r="AZ112" i="50"/>
  <c r="AZ113" i="50"/>
  <c r="AM115" i="50" l="1"/>
  <c r="AM116" i="50" s="1"/>
  <c r="AN115" i="50"/>
  <c r="AN116" i="50" s="1"/>
  <c r="X49" i="56"/>
  <c r="AP101" i="50"/>
  <c r="AQ101" i="50"/>
  <c r="AS101" i="50"/>
  <c r="AT101" i="50"/>
  <c r="AU101" i="50"/>
  <c r="AV101" i="50"/>
  <c r="AO101" i="50"/>
  <c r="AN174" i="50" l="1"/>
  <c r="AM174" i="50"/>
  <c r="AU170" i="50"/>
  <c r="AV170" i="50"/>
  <c r="AP54" i="50" l="1"/>
  <c r="AV189" i="50" l="1"/>
  <c r="AV188" i="50"/>
  <c r="AV187" i="50"/>
  <c r="AV186" i="50"/>
  <c r="AV185" i="50"/>
  <c r="AV184" i="50"/>
  <c r="AV183" i="50"/>
  <c r="AV180" i="50"/>
  <c r="AV178" i="50"/>
  <c r="AM12" i="56" s="1"/>
  <c r="AV176" i="50"/>
  <c r="AM10" i="56" s="1"/>
  <c r="AV195" i="50"/>
  <c r="AV169" i="50"/>
  <c r="AV194" i="50" s="1"/>
  <c r="AV165" i="50"/>
  <c r="AV147" i="50"/>
  <c r="AV96" i="50" s="1"/>
  <c r="AV108" i="50"/>
  <c r="AV107" i="50"/>
  <c r="AV53" i="50" s="1"/>
  <c r="AV102" i="50"/>
  <c r="AV103" i="50" s="1"/>
  <c r="AV87" i="50"/>
  <c r="AV91" i="50" s="1"/>
  <c r="AV83" i="50"/>
  <c r="AV77" i="50"/>
  <c r="AV76" i="50"/>
  <c r="AV75" i="50"/>
  <c r="AV74" i="50"/>
  <c r="AV72" i="50"/>
  <c r="AV68" i="50"/>
  <c r="AV67" i="50"/>
  <c r="AV65" i="50"/>
  <c r="AV56" i="50"/>
  <c r="AV54" i="50"/>
  <c r="AV52" i="50"/>
  <c r="AV41" i="50"/>
  <c r="AV34" i="50"/>
  <c r="AV27" i="50"/>
  <c r="AV21" i="50"/>
  <c r="AV13" i="50"/>
  <c r="AU189" i="50"/>
  <c r="AU188" i="50"/>
  <c r="AU187" i="50"/>
  <c r="AU186" i="50"/>
  <c r="AU185" i="50"/>
  <c r="AU184" i="50"/>
  <c r="AU183" i="50"/>
  <c r="AU180" i="50"/>
  <c r="AU178" i="50"/>
  <c r="AL12" i="56" s="1"/>
  <c r="AU176" i="50"/>
  <c r="AL10" i="56" s="1"/>
  <c r="AU169" i="50"/>
  <c r="AU194" i="50" s="1"/>
  <c r="AU165" i="50"/>
  <c r="AU147" i="50"/>
  <c r="AU192" i="50" s="1"/>
  <c r="AU108" i="50"/>
  <c r="AU107" i="50"/>
  <c r="AU53" i="50" s="1"/>
  <c r="AU102" i="50"/>
  <c r="AU103" i="50" s="1"/>
  <c r="AU87" i="50"/>
  <c r="AU91" i="50" s="1"/>
  <c r="AU85" i="50"/>
  <c r="AU77" i="50"/>
  <c r="AU76" i="50"/>
  <c r="AU75" i="50"/>
  <c r="AU74" i="50"/>
  <c r="AU72" i="50"/>
  <c r="AU68" i="50"/>
  <c r="AU67" i="50"/>
  <c r="AU65" i="50"/>
  <c r="AU56" i="50"/>
  <c r="AU54" i="50"/>
  <c r="AU52" i="50"/>
  <c r="AU41" i="50"/>
  <c r="AU34" i="50"/>
  <c r="AU27" i="50"/>
  <c r="AU21" i="50"/>
  <c r="AU19" i="50"/>
  <c r="AU13" i="50"/>
  <c r="AU179" i="50" l="1"/>
  <c r="AV179" i="50"/>
  <c r="AU78" i="50"/>
  <c r="AV97" i="50"/>
  <c r="AU97" i="50"/>
  <c r="AV175" i="50"/>
  <c r="AU190" i="50"/>
  <c r="AV190" i="50"/>
  <c r="AU89" i="50"/>
  <c r="AU93" i="50" s="1"/>
  <c r="AU69" i="50"/>
  <c r="AV78" i="50"/>
  <c r="AV69" i="50"/>
  <c r="AV19" i="50"/>
  <c r="AV89" i="50"/>
  <c r="AV192" i="50"/>
  <c r="AV177" i="50"/>
  <c r="AV193" i="50"/>
  <c r="AV85" i="50"/>
  <c r="AV82" i="50" s="1"/>
  <c r="AV80" i="50" s="1"/>
  <c r="AV95" i="50"/>
  <c r="AV172" i="50"/>
  <c r="AV181" i="50"/>
  <c r="AV182" i="50" s="1"/>
  <c r="AV197" i="50" s="1"/>
  <c r="AU195" i="50"/>
  <c r="AU83" i="50"/>
  <c r="AU82" i="50" s="1"/>
  <c r="AU80" i="50" s="1"/>
  <c r="AU95" i="50"/>
  <c r="AU172" i="50"/>
  <c r="AU181" i="50"/>
  <c r="AU182" i="50" s="1"/>
  <c r="AU197" i="50" s="1"/>
  <c r="AU96" i="50"/>
  <c r="AU177" i="50"/>
  <c r="AU193" i="50"/>
  <c r="AU175" i="50"/>
  <c r="AH114" i="50"/>
  <c r="AV84" i="50" l="1"/>
  <c r="AV88" i="50" s="1"/>
  <c r="AV92" i="50" s="1"/>
  <c r="AV86" i="50"/>
  <c r="AU84" i="50"/>
  <c r="AU88" i="50" s="1"/>
  <c r="AU92" i="50" s="1"/>
  <c r="AU86" i="50"/>
  <c r="AM11" i="56"/>
  <c r="AM17" i="56" s="1"/>
  <c r="AM16" i="56" s="1"/>
  <c r="AV205" i="50"/>
  <c r="AL11" i="56"/>
  <c r="AL22" i="56" s="1"/>
  <c r="AL21" i="56" s="1"/>
  <c r="AU205" i="50"/>
  <c r="AV196" i="50"/>
  <c r="AM8" i="56"/>
  <c r="AU196" i="50"/>
  <c r="AL8" i="56"/>
  <c r="AM22" i="56"/>
  <c r="AM21" i="56" s="1"/>
  <c r="AU191" i="50"/>
  <c r="AV191" i="50"/>
  <c r="AU90" i="50"/>
  <c r="AU94" i="50" s="1"/>
  <c r="AV93" i="50"/>
  <c r="AV90" i="50"/>
  <c r="AV94" i="50" s="1"/>
  <c r="AI112" i="50"/>
  <c r="AI111" i="50"/>
  <c r="AK115" i="50"/>
  <c r="AH110" i="50"/>
  <c r="AK116" i="50" l="1"/>
  <c r="AZ116" i="50" s="1"/>
  <c r="AM9" i="56"/>
  <c r="AM7" i="56" s="1"/>
  <c r="AL17" i="56"/>
  <c r="AL16" i="56" s="1"/>
  <c r="AL9" i="56"/>
  <c r="AL7" i="56" s="1"/>
  <c r="AH116" i="50"/>
  <c r="AH115" i="50"/>
  <c r="AH113" i="50"/>
  <c r="AH109" i="50"/>
  <c r="AZ181" i="50"/>
  <c r="AZ182" i="50" s="1"/>
  <c r="AK103" i="50" l="1"/>
  <c r="BT7" i="111"/>
  <c r="BT19" i="111" l="1"/>
  <c r="AK174" i="50" l="1"/>
  <c r="AK172" i="50" s="1"/>
  <c r="AK196" i="50" s="1"/>
  <c r="AK39" i="56" l="1"/>
  <c r="AK42" i="56"/>
  <c r="AK23" i="56"/>
  <c r="AK20" i="56"/>
  <c r="AK37" i="56" l="1"/>
  <c r="AK19" i="56"/>
  <c r="AK18" i="56" s="1"/>
  <c r="AB35" i="129"/>
  <c r="AY59" i="50" l="1"/>
  <c r="AZ63" i="50"/>
  <c r="AZ59" i="50" s="1"/>
  <c r="BA63" i="50"/>
  <c r="BA59" i="50" s="1"/>
  <c r="AL101" i="50" l="1"/>
  <c r="AT102" i="50"/>
  <c r="AT103" i="50" s="1"/>
  <c r="AS102" i="50"/>
  <c r="AS103" i="50" s="1"/>
  <c r="AR102" i="50"/>
  <c r="AR103" i="50" s="1"/>
  <c r="AQ102" i="50"/>
  <c r="AQ103" i="50" s="1"/>
  <c r="AP102" i="50"/>
  <c r="AP103" i="50" s="1"/>
  <c r="AO102" i="50"/>
  <c r="AO103" i="50" s="1"/>
  <c r="AN102" i="50"/>
  <c r="AN103" i="50" s="1"/>
  <c r="AM102" i="50"/>
  <c r="AM103" i="50" s="1"/>
  <c r="AL102" i="50"/>
  <c r="AL103" i="50" s="1"/>
  <c r="AO108" i="50"/>
  <c r="AZ115" i="50"/>
  <c r="F107" i="50"/>
  <c r="H107" i="50"/>
  <c r="I107" i="50"/>
  <c r="K107" i="50"/>
  <c r="L107" i="50"/>
  <c r="P107" i="50"/>
  <c r="Q107" i="50"/>
  <c r="R107" i="50"/>
  <c r="U107" i="50"/>
  <c r="V107" i="50"/>
  <c r="X107" i="50"/>
  <c r="AB107" i="50"/>
  <c r="AC107" i="50"/>
  <c r="AN107" i="50"/>
  <c r="AR107" i="50"/>
  <c r="AZ99" i="50" l="1"/>
  <c r="AR101" i="50"/>
  <c r="BC109" i="50"/>
  <c r="AS107" i="50" l="1"/>
  <c r="AQ107" i="50"/>
  <c r="AP107" i="50"/>
  <c r="AT107" i="50"/>
  <c r="AZ114" i="50" l="1"/>
  <c r="AZ109" i="50"/>
  <c r="AO107" i="50"/>
  <c r="Z33" i="56" l="1"/>
  <c r="AJ107" i="50"/>
  <c r="AI107" i="50" l="1"/>
  <c r="AL74" i="50" l="1"/>
  <c r="AJ108" i="50"/>
  <c r="Y24" i="56" l="1"/>
  <c r="CF17" i="111" l="1"/>
  <c r="CF20" i="111"/>
  <c r="CF2" i="111"/>
  <c r="X55" i="129"/>
  <c r="X50" i="129"/>
  <c r="X57" i="129" s="1"/>
  <c r="X31" i="129"/>
  <c r="X23" i="129"/>
  <c r="X24" i="129" s="1"/>
  <c r="X25" i="129" s="1"/>
  <c r="X21" i="129"/>
  <c r="X10" i="129"/>
  <c r="X8" i="129"/>
  <c r="X4" i="129"/>
  <c r="X2" i="129"/>
  <c r="CF19" i="111" l="1"/>
  <c r="CN7" i="111"/>
  <c r="CO7" i="111" s="1"/>
  <c r="CF13" i="111"/>
  <c r="CF14" i="111" s="1"/>
  <c r="CF16" i="111"/>
  <c r="CF15" i="111" s="1"/>
  <c r="X38" i="129"/>
  <c r="X33" i="129" s="1"/>
  <c r="X36" i="129" s="1"/>
  <c r="X16" i="129"/>
  <c r="X19" i="129" l="1"/>
  <c r="X28" i="129" s="1"/>
  <c r="X18" i="129"/>
  <c r="X29" i="129" l="1"/>
  <c r="X26" i="129"/>
  <c r="X27" i="129" s="1"/>
  <c r="X37" i="129"/>
  <c r="X32" i="129" l="1"/>
  <c r="X39" i="129"/>
  <c r="X35" i="129" l="1"/>
  <c r="X34" i="129"/>
  <c r="X41" i="129" l="1"/>
  <c r="X42" i="129"/>
  <c r="AT189" i="50" l="1"/>
  <c r="AT188" i="50"/>
  <c r="AT187" i="50"/>
  <c r="AT186" i="50"/>
  <c r="AT185" i="50"/>
  <c r="AT184" i="50"/>
  <c r="AT183" i="50"/>
  <c r="AT180" i="50"/>
  <c r="AT178" i="50"/>
  <c r="AK12" i="56" s="1"/>
  <c r="AT176" i="50"/>
  <c r="AK10" i="56" s="1"/>
  <c r="AT170" i="50"/>
  <c r="AT195" i="50" s="1"/>
  <c r="AT169" i="50"/>
  <c r="AT194" i="50" s="1"/>
  <c r="AT165" i="50"/>
  <c r="AT193" i="50" s="1"/>
  <c r="AT147" i="50"/>
  <c r="AT192" i="50" s="1"/>
  <c r="AT108" i="50"/>
  <c r="AT87" i="50"/>
  <c r="AT91" i="50" s="1"/>
  <c r="AT83" i="50"/>
  <c r="AT77" i="50"/>
  <c r="AT76" i="50"/>
  <c r="AT75" i="50"/>
  <c r="AT74" i="50"/>
  <c r="AT72" i="50"/>
  <c r="AT68" i="50"/>
  <c r="AT67" i="50"/>
  <c r="AT65" i="50"/>
  <c r="AT56" i="50"/>
  <c r="AT54" i="50"/>
  <c r="AT53" i="50"/>
  <c r="AT52" i="50"/>
  <c r="AT41" i="50"/>
  <c r="AT34" i="50"/>
  <c r="AT27" i="50"/>
  <c r="AT21" i="50"/>
  <c r="AT19" i="50"/>
  <c r="AT13" i="50"/>
  <c r="AT96" i="50" l="1"/>
  <c r="AT177" i="50"/>
  <c r="AT95" i="50"/>
  <c r="AT172" i="50"/>
  <c r="AT78" i="50"/>
  <c r="AT97" i="50"/>
  <c r="AT190" i="50"/>
  <c r="AT179" i="50"/>
  <c r="AT89" i="50"/>
  <c r="AT181" i="50"/>
  <c r="AT182" i="50" s="1"/>
  <c r="AT197" i="50" s="1"/>
  <c r="AT69" i="50"/>
  <c r="AT85" i="50"/>
  <c r="AT82" i="50" s="1"/>
  <c r="AT80" i="50" s="1"/>
  <c r="AT175" i="50"/>
  <c r="AT86" i="50" l="1"/>
  <c r="AT84" i="50"/>
  <c r="AT88" i="50" s="1"/>
  <c r="AT92" i="50" s="1"/>
  <c r="AK11" i="56"/>
  <c r="AK9" i="56" s="1"/>
  <c r="AT205" i="50"/>
  <c r="AT191" i="50"/>
  <c r="AT196" i="50"/>
  <c r="AK8" i="56"/>
  <c r="AT93" i="50"/>
  <c r="AT90" i="50"/>
  <c r="AT94" i="50" s="1"/>
  <c r="AK7" i="56" l="1"/>
  <c r="AK22" i="56"/>
  <c r="AK21" i="56" s="1"/>
  <c r="AK17" i="56"/>
  <c r="AK16" i="56" s="1"/>
  <c r="S8" i="129"/>
  <c r="S16" i="129" s="1"/>
  <c r="Z30" i="56" l="1"/>
  <c r="AA30" i="56" s="1"/>
  <c r="AB30" i="56" s="1"/>
  <c r="AC30" i="56" s="1"/>
  <c r="AD30" i="56" s="1"/>
  <c r="AE30" i="56" s="1"/>
  <c r="AF30" i="56" s="1"/>
  <c r="AG30" i="56" s="1"/>
  <c r="AH30" i="56" s="1"/>
  <c r="AI30" i="56" s="1"/>
  <c r="AJ30" i="56" s="1"/>
  <c r="AK30" i="56" s="1"/>
  <c r="AL30" i="56" s="1"/>
  <c r="AM30" i="56" s="1"/>
  <c r="X33" i="56"/>
  <c r="AG122" i="50" l="1"/>
  <c r="AG121" i="50" l="1"/>
  <c r="AG120" i="50" l="1"/>
  <c r="AG92" i="50" s="1"/>
  <c r="AG117" i="50" l="1"/>
  <c r="X26" i="56" l="1"/>
  <c r="AH107" i="50" l="1"/>
  <c r="BU7" i="111"/>
  <c r="AJ39" i="56" l="1"/>
  <c r="AJ37" i="56"/>
  <c r="AJ23" i="56"/>
  <c r="AJ20" i="56"/>
  <c r="AJ19" i="56"/>
  <c r="AJ18" i="56" l="1"/>
  <c r="AJ42" i="56"/>
  <c r="AG133" i="50"/>
  <c r="Z23" i="56" l="1"/>
  <c r="AG109" i="50" l="1"/>
  <c r="W55" i="129" l="1"/>
  <c r="W50" i="129"/>
  <c r="W57" i="129" s="1"/>
  <c r="W31" i="129"/>
  <c r="W23" i="129"/>
  <c r="W24" i="129" s="1"/>
  <c r="W21" i="129"/>
  <c r="W10" i="129"/>
  <c r="W8" i="129"/>
  <c r="W4" i="129"/>
  <c r="W2" i="129"/>
  <c r="W38" i="129" l="1"/>
  <c r="W33" i="129" s="1"/>
  <c r="W36" i="129" s="1"/>
  <c r="W16" i="129"/>
  <c r="W19" i="129" s="1"/>
  <c r="W28" i="129" s="1"/>
  <c r="W25" i="129"/>
  <c r="W18" i="129" l="1"/>
  <c r="W26" i="129"/>
  <c r="W27" i="129" s="1"/>
  <c r="W29" i="129"/>
  <c r="W37" i="129"/>
  <c r="W32" i="129" l="1"/>
  <c r="W39" i="129"/>
  <c r="W35" i="129" l="1"/>
  <c r="W34" i="129"/>
  <c r="W41" i="129" l="1"/>
  <c r="W42" i="129"/>
  <c r="CE17" i="111" l="1"/>
  <c r="CE20" i="111"/>
  <c r="CE19" i="111"/>
  <c r="CE2" i="111"/>
  <c r="AS189" i="50"/>
  <c r="AS188" i="50"/>
  <c r="AS187" i="50"/>
  <c r="AS186" i="50"/>
  <c r="AS185" i="50"/>
  <c r="AS184" i="50"/>
  <c r="AS183" i="50"/>
  <c r="AS180" i="50"/>
  <c r="AS178" i="50"/>
  <c r="AJ12" i="56" s="1"/>
  <c r="AS176" i="50"/>
  <c r="AJ10" i="56" s="1"/>
  <c r="AS170" i="50"/>
  <c r="AS195" i="50" s="1"/>
  <c r="AS169" i="50"/>
  <c r="AS194" i="50" s="1"/>
  <c r="AS165" i="50"/>
  <c r="AS147" i="50"/>
  <c r="AS192" i="50" s="1"/>
  <c r="AS108" i="50"/>
  <c r="AS87" i="50"/>
  <c r="AS89" i="50" s="1"/>
  <c r="AS83" i="50"/>
  <c r="AS77" i="50"/>
  <c r="AS76" i="50"/>
  <c r="AS75" i="50"/>
  <c r="AS74" i="50"/>
  <c r="AS72" i="50"/>
  <c r="AS68" i="50"/>
  <c r="AS67" i="50"/>
  <c r="AS65" i="50"/>
  <c r="AS56" i="50"/>
  <c r="AS54" i="50"/>
  <c r="AS52" i="50"/>
  <c r="AS41" i="50"/>
  <c r="AS34" i="50"/>
  <c r="AS27" i="50"/>
  <c r="AS21" i="50"/>
  <c r="AS13" i="50"/>
  <c r="AS179" i="50" l="1"/>
  <c r="AS53" i="50"/>
  <c r="AS177" i="50"/>
  <c r="AS205" i="50" s="1"/>
  <c r="AS96" i="50"/>
  <c r="AS97" i="50"/>
  <c r="AS190" i="50"/>
  <c r="AS172" i="50"/>
  <c r="AS78" i="50"/>
  <c r="CE13" i="111"/>
  <c r="CE14" i="111" s="1"/>
  <c r="CE16" i="111"/>
  <c r="CE15" i="111" s="1"/>
  <c r="AS69" i="50"/>
  <c r="AS19" i="50"/>
  <c r="AS90" i="50"/>
  <c r="AS94" i="50" s="1"/>
  <c r="AS93" i="50"/>
  <c r="AS193" i="50"/>
  <c r="AS181" i="50"/>
  <c r="AS182" i="50" s="1"/>
  <c r="AS197" i="50" s="1"/>
  <c r="AS91" i="50"/>
  <c r="AS85" i="50"/>
  <c r="AS82" i="50" s="1"/>
  <c r="AS80" i="50" s="1"/>
  <c r="AS95" i="50"/>
  <c r="AS175" i="50"/>
  <c r="AS84" i="50" l="1"/>
  <c r="AS88" i="50" s="1"/>
  <c r="AS92" i="50" s="1"/>
  <c r="AS86" i="50"/>
  <c r="AS196" i="50"/>
  <c r="AJ8" i="56"/>
  <c r="AJ11" i="56"/>
  <c r="AJ9" i="56" s="1"/>
  <c r="AS191" i="50"/>
  <c r="AF114" i="50"/>
  <c r="AF115" i="50"/>
  <c r="AJ17" i="56" l="1"/>
  <c r="AJ16" i="56" s="1"/>
  <c r="AJ7" i="56"/>
  <c r="AJ22" i="56"/>
  <c r="AJ21" i="56" s="1"/>
  <c r="X24" i="56"/>
  <c r="W26" i="56" l="1"/>
  <c r="W24" i="56" l="1"/>
  <c r="AG119" i="50" l="1"/>
  <c r="AG87" i="50" s="1"/>
  <c r="AG89" i="50" l="1"/>
  <c r="AG91" i="50"/>
  <c r="AF119" i="50"/>
  <c r="AF87" i="50" s="1"/>
  <c r="AF120" i="50"/>
  <c r="AF92" i="50" s="1"/>
  <c r="AF89" i="50" l="1"/>
  <c r="AF91" i="50"/>
  <c r="AG90" i="50"/>
  <c r="AG94" i="50" s="1"/>
  <c r="AG93" i="50"/>
  <c r="AG113" i="50"/>
  <c r="AF113" i="50"/>
  <c r="AF90" i="50" l="1"/>
  <c r="AF94" i="50" s="1"/>
  <c r="AF93" i="50"/>
  <c r="U33" i="56"/>
  <c r="U42" i="56" s="1"/>
  <c r="AF117" i="50" l="1"/>
  <c r="AF110" i="50" l="1"/>
  <c r="AF107" i="50" s="1"/>
  <c r="AG116" i="50" l="1"/>
  <c r="AG110" i="50" l="1"/>
  <c r="AG107" i="50" s="1"/>
  <c r="BS8" i="111" l="1"/>
  <c r="AF133" i="50" l="1"/>
  <c r="AG145" i="50" l="1"/>
  <c r="BR8" i="111" l="1"/>
  <c r="AH294" i="50" l="1"/>
  <c r="AI294" i="50"/>
  <c r="AJ294" i="50"/>
  <c r="AK294" i="50"/>
  <c r="AL294" i="50"/>
  <c r="AG294" i="50"/>
  <c r="AF136" i="50" l="1"/>
  <c r="AI235" i="50" l="1"/>
  <c r="AI233" i="50"/>
  <c r="BS7" i="111" l="1"/>
  <c r="BR7" i="111"/>
  <c r="AF121" i="50" l="1"/>
  <c r="AF171" i="50" s="1"/>
  <c r="CD17" i="111" l="1"/>
  <c r="CD20" i="111"/>
  <c r="CD19" i="111"/>
  <c r="CD2" i="111"/>
  <c r="V55" i="129"/>
  <c r="V50" i="129"/>
  <c r="V57" i="129" s="1"/>
  <c r="V31" i="129"/>
  <c r="V23" i="129"/>
  <c r="V24" i="129" s="1"/>
  <c r="V21" i="129"/>
  <c r="V10" i="129"/>
  <c r="V8" i="129"/>
  <c r="V16" i="129" s="1"/>
  <c r="V4" i="129"/>
  <c r="V2" i="129"/>
  <c r="AG4" i="56"/>
  <c r="AH4" i="56"/>
  <c r="AG5" i="56"/>
  <c r="AH5" i="56"/>
  <c r="AG6" i="56"/>
  <c r="AH6" i="56"/>
  <c r="AG13" i="56"/>
  <c r="AH13" i="56"/>
  <c r="AI39" i="56"/>
  <c r="AI42" i="56"/>
  <c r="AI23" i="56"/>
  <c r="AI20" i="56"/>
  <c r="AI13" i="56"/>
  <c r="AI6" i="56"/>
  <c r="AI19" i="56" s="1"/>
  <c r="AI5" i="56"/>
  <c r="AI4" i="56"/>
  <c r="AR189" i="50"/>
  <c r="AR188" i="50"/>
  <c r="AR187" i="50"/>
  <c r="AR186" i="50"/>
  <c r="AR185" i="50"/>
  <c r="AR184" i="50"/>
  <c r="AR183" i="50"/>
  <c r="AR180" i="50"/>
  <c r="AR178" i="50"/>
  <c r="AI12" i="56" s="1"/>
  <c r="AR176" i="50"/>
  <c r="AI10" i="56" s="1"/>
  <c r="AR170" i="50"/>
  <c r="AR169" i="50"/>
  <c r="AR194" i="50" s="1"/>
  <c r="AR165" i="50"/>
  <c r="AR147" i="50"/>
  <c r="AR192" i="50" s="1"/>
  <c r="AR108" i="50"/>
  <c r="AR87" i="50"/>
  <c r="AR91" i="50" s="1"/>
  <c r="AR83" i="50"/>
  <c r="AR77" i="50"/>
  <c r="AR76" i="50"/>
  <c r="AR75" i="50"/>
  <c r="AR74" i="50"/>
  <c r="AR72" i="50"/>
  <c r="AR68" i="50"/>
  <c r="AR67" i="50"/>
  <c r="AR65" i="50"/>
  <c r="AR56" i="50"/>
  <c r="AR54" i="50"/>
  <c r="AR52" i="50"/>
  <c r="AR41" i="50"/>
  <c r="AR34" i="50"/>
  <c r="AR27" i="50"/>
  <c r="AR21" i="50"/>
  <c r="AR13" i="50"/>
  <c r="AR195" i="50" l="1"/>
  <c r="AR97" i="50"/>
  <c r="AI18" i="56"/>
  <c r="AG3" i="56"/>
  <c r="AI3" i="56"/>
  <c r="AH3" i="56"/>
  <c r="AR96" i="50"/>
  <c r="AR177" i="50"/>
  <c r="CD13" i="111"/>
  <c r="CD14" i="111" s="1"/>
  <c r="AR179" i="50"/>
  <c r="CD16" i="111"/>
  <c r="CD15" i="111" s="1"/>
  <c r="V38" i="129"/>
  <c r="V33" i="129" s="1"/>
  <c r="V36" i="129" s="1"/>
  <c r="V18" i="129"/>
  <c r="V19" i="129"/>
  <c r="V28" i="129" s="1"/>
  <c r="V25" i="129"/>
  <c r="AI37" i="56"/>
  <c r="AR78" i="50"/>
  <c r="AR193" i="50"/>
  <c r="AR89" i="50"/>
  <c r="AR69" i="50"/>
  <c r="AR85" i="50"/>
  <c r="AR82" i="50" s="1"/>
  <c r="AR80" i="50" s="1"/>
  <c r="AR181" i="50"/>
  <c r="AR182" i="50" s="1"/>
  <c r="AR197" i="50" s="1"/>
  <c r="AR95" i="50"/>
  <c r="AR175" i="50"/>
  <c r="AR86" i="50" l="1"/>
  <c r="AR84" i="50"/>
  <c r="AR88" i="50" s="1"/>
  <c r="AR92" i="50" s="1"/>
  <c r="AI11" i="56"/>
  <c r="AI17" i="56" s="1"/>
  <c r="AI16" i="56" s="1"/>
  <c r="AR205" i="50"/>
  <c r="V26" i="129"/>
  <c r="V27" i="129" s="1"/>
  <c r="V37" i="129"/>
  <c r="V29" i="129"/>
  <c r="AR90" i="50"/>
  <c r="AR94" i="50" s="1"/>
  <c r="AR93" i="50"/>
  <c r="AI9" i="56" l="1"/>
  <c r="AI22" i="56"/>
  <c r="AI21" i="56" s="1"/>
  <c r="V39" i="129"/>
  <c r="V32" i="129"/>
  <c r="AE114" i="50"/>
  <c r="V35" i="129" l="1"/>
  <c r="V34" i="129"/>
  <c r="V41" i="129" l="1"/>
  <c r="V42" i="129"/>
  <c r="BR20" i="111"/>
  <c r="BS28" i="111" s="1"/>
  <c r="AE120" i="50" l="1"/>
  <c r="AE92" i="50" s="1"/>
  <c r="AG147" i="50" l="1"/>
  <c r="AE119" i="50" l="1"/>
  <c r="AE87" i="50" s="1"/>
  <c r="AE89" i="50" l="1"/>
  <c r="AE91" i="50"/>
  <c r="AE118" i="50"/>
  <c r="AE93" i="50" l="1"/>
  <c r="AE90" i="50"/>
  <c r="AE94" i="50" s="1"/>
  <c r="AE133" i="50"/>
  <c r="AE167" i="50"/>
  <c r="AE62" i="50"/>
  <c r="AE165" i="50" l="1"/>
  <c r="BR19" i="111"/>
  <c r="BS27" i="111" s="1"/>
  <c r="Y33" i="56" l="1"/>
  <c r="AF42" i="56"/>
  <c r="AG42" i="56"/>
  <c r="AH42" i="56"/>
  <c r="V33" i="56"/>
  <c r="Z42" i="56" l="1"/>
  <c r="AQ147" i="50" l="1"/>
  <c r="AP147" i="50"/>
  <c r="AO147" i="50"/>
  <c r="AN147" i="50"/>
  <c r="AM147" i="50"/>
  <c r="AL147" i="50"/>
  <c r="AK147" i="50"/>
  <c r="AJ147" i="50"/>
  <c r="AI147" i="50"/>
  <c r="AH147" i="50"/>
  <c r="AF147" i="50"/>
  <c r="AF112" i="50"/>
  <c r="AM107" i="50"/>
  <c r="AL107" i="50"/>
  <c r="AK107" i="50"/>
  <c r="AF173" i="50" l="1"/>
  <c r="AX112" i="50"/>
  <c r="AQ170" i="50"/>
  <c r="AP170" i="50"/>
  <c r="AO170" i="50"/>
  <c r="AO97" i="50" s="1"/>
  <c r="AN170" i="50"/>
  <c r="AM170" i="50"/>
  <c r="AL170" i="50"/>
  <c r="AK170" i="50"/>
  <c r="AJ170" i="50"/>
  <c r="AI170" i="50"/>
  <c r="AH170" i="50"/>
  <c r="AG170" i="50"/>
  <c r="AF170" i="50"/>
  <c r="AE170" i="50"/>
  <c r="AQ169" i="50"/>
  <c r="AP169" i="50"/>
  <c r="AO169" i="50"/>
  <c r="AN169" i="50"/>
  <c r="AM169" i="50"/>
  <c r="AL169" i="50"/>
  <c r="AK169" i="50"/>
  <c r="AJ169" i="50"/>
  <c r="AI169" i="50"/>
  <c r="AH169" i="50"/>
  <c r="AG169" i="50"/>
  <c r="AF169" i="50"/>
  <c r="AE169" i="50"/>
  <c r="AQ165" i="50"/>
  <c r="AP165" i="50"/>
  <c r="AO165" i="50"/>
  <c r="AN165" i="50"/>
  <c r="AM165" i="50"/>
  <c r="AL165" i="50"/>
  <c r="AK165" i="50"/>
  <c r="AJ165" i="50"/>
  <c r="AI165" i="50"/>
  <c r="AH165" i="50"/>
  <c r="AG165" i="50"/>
  <c r="AF165" i="50"/>
  <c r="AO190" i="50" l="1"/>
  <c r="AH190" i="50"/>
  <c r="AI190" i="50"/>
  <c r="AH181" i="50"/>
  <c r="AF181" i="50"/>
  <c r="AF182" i="50" s="1"/>
  <c r="AK175" i="50"/>
  <c r="AF175" i="50"/>
  <c r="AG175" i="50"/>
  <c r="AE110" i="50"/>
  <c r="AE107" i="50" s="1"/>
  <c r="AA33" i="56" l="1"/>
  <c r="AE122" i="50" l="1"/>
  <c r="J8" i="129" l="1"/>
  <c r="BQ7" i="111" l="1"/>
  <c r="AG65" i="50" l="1"/>
  <c r="AI101" i="50" l="1"/>
  <c r="AH39" i="56" l="1"/>
  <c r="AH37" i="56"/>
  <c r="AH23" i="56"/>
  <c r="AH20" i="56"/>
  <c r="AH19" i="56"/>
  <c r="AF72" i="50"/>
  <c r="AH18" i="56" l="1"/>
  <c r="AQ195" i="50"/>
  <c r="AQ194" i="50"/>
  <c r="AQ193" i="50"/>
  <c r="AQ189" i="50"/>
  <c r="AQ188" i="50"/>
  <c r="AQ187" i="50"/>
  <c r="AQ186" i="50"/>
  <c r="AQ185" i="50"/>
  <c r="AQ184" i="50"/>
  <c r="AQ183" i="50"/>
  <c r="AQ180" i="50"/>
  <c r="AQ179" i="50"/>
  <c r="AQ178" i="50"/>
  <c r="AH12" i="56" s="1"/>
  <c r="AQ176" i="50"/>
  <c r="AH10" i="56" s="1"/>
  <c r="AQ181" i="50"/>
  <c r="AQ182" i="50" s="1"/>
  <c r="AQ108" i="50"/>
  <c r="AQ87" i="50"/>
  <c r="AQ89" i="50" s="1"/>
  <c r="AQ85" i="50"/>
  <c r="AQ77" i="50"/>
  <c r="AQ76" i="50"/>
  <c r="AQ75" i="50"/>
  <c r="AQ74" i="50"/>
  <c r="AQ72" i="50"/>
  <c r="AQ68" i="50"/>
  <c r="AQ67" i="50"/>
  <c r="AQ65" i="50"/>
  <c r="AQ56" i="50"/>
  <c r="AQ69" i="50" s="1"/>
  <c r="AQ54" i="50"/>
  <c r="AQ52" i="50"/>
  <c r="AQ41" i="50"/>
  <c r="AQ34" i="50"/>
  <c r="AQ27" i="50"/>
  <c r="AQ21" i="50"/>
  <c r="AQ13" i="50"/>
  <c r="U55" i="129"/>
  <c r="U50" i="129"/>
  <c r="U57" i="129" s="1"/>
  <c r="U31" i="129"/>
  <c r="U23" i="129"/>
  <c r="U24" i="129" s="1"/>
  <c r="U21" i="129"/>
  <c r="U10" i="129"/>
  <c r="U8" i="129"/>
  <c r="U16" i="129" s="1"/>
  <c r="U4" i="129"/>
  <c r="U2" i="129"/>
  <c r="AQ197" i="50" l="1"/>
  <c r="AQ172" i="50"/>
  <c r="AQ96" i="50"/>
  <c r="AQ91" i="50"/>
  <c r="AQ78" i="50"/>
  <c r="AQ190" i="50"/>
  <c r="AQ53" i="50"/>
  <c r="AQ90" i="50"/>
  <c r="AQ94" i="50" s="1"/>
  <c r="AQ93" i="50"/>
  <c r="AQ175" i="50"/>
  <c r="AQ192" i="50"/>
  <c r="AQ83" i="50"/>
  <c r="AQ82" i="50" s="1"/>
  <c r="AQ80" i="50" s="1"/>
  <c r="AQ177" i="50"/>
  <c r="AQ95" i="50"/>
  <c r="AQ97" i="50"/>
  <c r="AQ19" i="50"/>
  <c r="U38" i="129"/>
  <c r="U33" i="129" s="1"/>
  <c r="U36" i="129" s="1"/>
  <c r="U19" i="129"/>
  <c r="U28" i="129" s="1"/>
  <c r="U18" i="129"/>
  <c r="U25" i="129"/>
  <c r="AQ84" i="50" l="1"/>
  <c r="AQ88" i="50" s="1"/>
  <c r="AQ92" i="50" s="1"/>
  <c r="AQ86" i="50"/>
  <c r="AH11" i="56"/>
  <c r="AH9" i="56" s="1"/>
  <c r="AQ205" i="50"/>
  <c r="AH8" i="56"/>
  <c r="AQ196" i="50"/>
  <c r="AQ191" i="50"/>
  <c r="U26" i="129"/>
  <c r="U27" i="129" s="1"/>
  <c r="U29" i="129"/>
  <c r="U37" i="129"/>
  <c r="AH17" i="56" l="1"/>
  <c r="AH16" i="56" s="1"/>
  <c r="AH22" i="56"/>
  <c r="AH21" i="56" s="1"/>
  <c r="AH7" i="56"/>
  <c r="U32" i="129"/>
  <c r="U39" i="129"/>
  <c r="U35" i="129" l="1"/>
  <c r="U34" i="129"/>
  <c r="U41" i="129" l="1"/>
  <c r="U42" i="129"/>
  <c r="CC17" i="111" l="1"/>
  <c r="CC20" i="111"/>
  <c r="CC19" i="111"/>
  <c r="CC2" i="111"/>
  <c r="CC13" i="111" l="1"/>
  <c r="CC14" i="111" s="1"/>
  <c r="CC16" i="111"/>
  <c r="CC15" i="111" s="1"/>
  <c r="AQ27" i="56" l="1"/>
  <c r="AQ28" i="56"/>
  <c r="AQ29" i="56"/>
  <c r="AQ30" i="56"/>
  <c r="AQ31" i="56"/>
  <c r="AQ32" i="56"/>
  <c r="AD119" i="50" l="1"/>
  <c r="AD87" i="50" s="1"/>
  <c r="AD120" i="50"/>
  <c r="AD92" i="50" s="1"/>
  <c r="AX92" i="50" s="1"/>
  <c r="AD91" i="50" l="1"/>
  <c r="AD62" i="50"/>
  <c r="AD124" i="50" l="1"/>
  <c r="AD123" i="50" l="1"/>
  <c r="AD89" i="50" s="1"/>
  <c r="AD133" i="50"/>
  <c r="AD167" i="50"/>
  <c r="AD165" i="50" s="1"/>
  <c r="AD93" i="50" l="1"/>
  <c r="AD90" i="50"/>
  <c r="AD94" i="50" s="1"/>
  <c r="BQ8" i="111"/>
  <c r="BQ33" i="111" s="1"/>
  <c r="AD183" i="50" l="1"/>
  <c r="U26" i="56" l="1"/>
  <c r="AF56" i="50" l="1"/>
  <c r="BR2" i="111"/>
  <c r="AF7" i="50" l="1"/>
  <c r="AE19" i="50" l="1"/>
  <c r="AE79" i="50" l="1"/>
  <c r="AE83" i="50" s="1"/>
  <c r="AE81" i="50" l="1"/>
  <c r="AD122" i="50"/>
  <c r="AE85" i="50" l="1"/>
  <c r="AE82" i="50" s="1"/>
  <c r="AE86" i="50" s="1"/>
  <c r="AD185" i="50"/>
  <c r="AD121" i="50" l="1"/>
  <c r="AD64" i="50" l="1"/>
  <c r="AD170" i="50" l="1"/>
  <c r="AD110" i="50" l="1"/>
  <c r="AD107" i="50" s="1"/>
  <c r="AD56" i="50" l="1"/>
  <c r="V42" i="56" l="1"/>
  <c r="I10" i="129"/>
  <c r="BP7" i="111"/>
  <c r="BP19" i="111" s="1"/>
  <c r="CB17" i="111"/>
  <c r="CB20" i="111"/>
  <c r="CB19" i="111"/>
  <c r="CB2" i="111"/>
  <c r="CA2" i="111"/>
  <c r="AC31" i="50"/>
  <c r="AC17" i="50"/>
  <c r="AG39" i="56"/>
  <c r="AG37" i="56"/>
  <c r="AG23" i="56"/>
  <c r="AG20" i="56"/>
  <c r="AG19" i="56"/>
  <c r="AP189" i="50"/>
  <c r="AP188" i="50"/>
  <c r="AP187" i="50"/>
  <c r="AP186" i="50"/>
  <c r="AP185" i="50"/>
  <c r="AP184" i="50"/>
  <c r="AP183" i="50"/>
  <c r="AP178" i="50"/>
  <c r="AG12" i="56" s="1"/>
  <c r="AP176" i="50"/>
  <c r="AG10" i="56" s="1"/>
  <c r="AP194" i="50"/>
  <c r="AP175" i="50"/>
  <c r="AP108" i="50"/>
  <c r="AP77" i="50"/>
  <c r="AP76" i="50"/>
  <c r="AP75" i="50"/>
  <c r="AP74" i="50"/>
  <c r="AP72" i="50"/>
  <c r="AP68" i="50"/>
  <c r="AP67" i="50"/>
  <c r="AP65" i="50"/>
  <c r="AP56" i="50"/>
  <c r="AP52" i="50"/>
  <c r="AP41" i="50"/>
  <c r="AP34" i="50"/>
  <c r="AP27" i="50"/>
  <c r="AP21" i="50"/>
  <c r="AP13" i="50"/>
  <c r="S55" i="129"/>
  <c r="S50" i="129"/>
  <c r="S57" i="129" s="1"/>
  <c r="S31" i="129"/>
  <c r="S23" i="129"/>
  <c r="S24" i="129" s="1"/>
  <c r="S25" i="129" s="1"/>
  <c r="S21" i="129"/>
  <c r="S10" i="129"/>
  <c r="S19" i="129"/>
  <c r="S4" i="129"/>
  <c r="S2" i="129"/>
  <c r="AG173" i="50"/>
  <c r="AH173" i="50"/>
  <c r="AI173" i="50"/>
  <c r="AE173" i="50"/>
  <c r="BT22" i="111"/>
  <c r="BT26" i="111"/>
  <c r="AF39" i="56"/>
  <c r="AF37" i="56"/>
  <c r="AF23" i="56"/>
  <c r="AF20" i="56"/>
  <c r="AF13" i="56"/>
  <c r="AF6" i="56"/>
  <c r="AF19" i="56" s="1"/>
  <c r="AF5" i="56"/>
  <c r="AF4" i="56"/>
  <c r="BY19" i="111"/>
  <c r="BX19" i="111"/>
  <c r="BW19" i="111"/>
  <c r="AD111" i="50"/>
  <c r="AC98" i="50"/>
  <c r="AD113" i="50"/>
  <c r="AO189" i="50"/>
  <c r="AO188" i="50"/>
  <c r="AO187" i="50"/>
  <c r="AO186" i="50"/>
  <c r="AO185" i="50"/>
  <c r="AO184" i="50"/>
  <c r="AO183" i="50"/>
  <c r="AO178" i="50"/>
  <c r="AF12" i="56" s="1"/>
  <c r="AO176" i="50"/>
  <c r="AF10" i="56" s="1"/>
  <c r="AO193" i="50"/>
  <c r="AO77" i="50"/>
  <c r="AO76" i="50"/>
  <c r="AO75" i="50"/>
  <c r="AO74" i="50"/>
  <c r="AO72" i="50"/>
  <c r="AO68" i="50"/>
  <c r="AO67" i="50"/>
  <c r="AO65" i="50"/>
  <c r="AO56" i="50"/>
  <c r="AO54" i="50"/>
  <c r="AO52" i="50"/>
  <c r="AO41" i="50"/>
  <c r="AO34" i="50"/>
  <c r="AO27" i="50"/>
  <c r="AO21" i="50"/>
  <c r="AO13" i="50"/>
  <c r="CA17" i="111"/>
  <c r="CA19" i="111"/>
  <c r="T55" i="129"/>
  <c r="T50" i="129"/>
  <c r="T57" i="129" s="1"/>
  <c r="T31" i="129"/>
  <c r="T23" i="129"/>
  <c r="T24" i="129" s="1"/>
  <c r="T25" i="129" s="1"/>
  <c r="T21" i="129"/>
  <c r="T10" i="129"/>
  <c r="T8" i="129"/>
  <c r="T16" i="129" s="1"/>
  <c r="T4" i="129"/>
  <c r="T2" i="129"/>
  <c r="AB113" i="50"/>
  <c r="AB173" i="50" s="1"/>
  <c r="AB8" i="50"/>
  <c r="AB115" i="50"/>
  <c r="BN6" i="111"/>
  <c r="CL6" i="111" s="1"/>
  <c r="CM6" i="111" s="1"/>
  <c r="BO7" i="111"/>
  <c r="BO19" i="111" s="1"/>
  <c r="AB116" i="50"/>
  <c r="BN7" i="111"/>
  <c r="BN13" i="111" s="1"/>
  <c r="AA147" i="50"/>
  <c r="AA177" i="50" s="1"/>
  <c r="R11" i="56" s="1"/>
  <c r="R17" i="56" s="1"/>
  <c r="AB147" i="50"/>
  <c r="AB192" i="50" s="1"/>
  <c r="AC147" i="50"/>
  <c r="AC192" i="50" s="1"/>
  <c r="AD147" i="50"/>
  <c r="AE147" i="50"/>
  <c r="AE177" i="50" s="1"/>
  <c r="AF215" i="50"/>
  <c r="AH175" i="50"/>
  <c r="AI175" i="50"/>
  <c r="AJ175" i="50"/>
  <c r="AL175" i="50"/>
  <c r="AM175" i="50"/>
  <c r="AN175" i="50"/>
  <c r="AE39" i="56"/>
  <c r="AE23" i="56"/>
  <c r="AE20" i="56"/>
  <c r="AE13" i="56"/>
  <c r="AE6" i="56"/>
  <c r="AE19" i="56" s="1"/>
  <c r="AE5" i="56"/>
  <c r="AE4" i="56"/>
  <c r="C59" i="50"/>
  <c r="C58" i="50"/>
  <c r="C57" i="50"/>
  <c r="C56" i="50"/>
  <c r="C29" i="129"/>
  <c r="BV19" i="111"/>
  <c r="BZ17" i="111"/>
  <c r="BZ20" i="111"/>
  <c r="BZ2" i="111"/>
  <c r="AN189" i="50"/>
  <c r="AN188" i="50"/>
  <c r="AN187" i="50"/>
  <c r="AN186" i="50"/>
  <c r="AN185" i="50"/>
  <c r="AN184" i="50"/>
  <c r="AN183" i="50"/>
  <c r="AN178" i="50"/>
  <c r="AE12" i="56" s="1"/>
  <c r="AN176" i="50"/>
  <c r="AE10" i="56" s="1"/>
  <c r="AN195" i="50"/>
  <c r="AN194" i="50"/>
  <c r="AN108" i="50"/>
  <c r="AN77" i="50"/>
  <c r="AN76" i="50"/>
  <c r="AN75" i="50"/>
  <c r="AN74" i="50"/>
  <c r="AN72" i="50"/>
  <c r="AN68" i="50"/>
  <c r="AN67" i="50"/>
  <c r="AN65" i="50"/>
  <c r="AN56" i="50"/>
  <c r="AN54" i="50"/>
  <c r="AN52" i="50"/>
  <c r="AN41" i="50"/>
  <c r="AN34" i="50"/>
  <c r="AN27" i="50"/>
  <c r="AN21" i="50"/>
  <c r="AN13" i="50"/>
  <c r="R55" i="129"/>
  <c r="R50" i="129"/>
  <c r="R57" i="129" s="1"/>
  <c r="R31" i="129"/>
  <c r="R23" i="129"/>
  <c r="R24" i="129" s="1"/>
  <c r="R21" i="129"/>
  <c r="R10" i="129"/>
  <c r="R8" i="129"/>
  <c r="R16" i="129" s="1"/>
  <c r="R4" i="129"/>
  <c r="R2" i="129"/>
  <c r="AA59" i="50"/>
  <c r="AX59" i="50" s="1"/>
  <c r="AA37" i="56"/>
  <c r="AD42" i="56"/>
  <c r="AD39" i="56"/>
  <c r="AD37" i="56"/>
  <c r="AD23" i="56"/>
  <c r="AD20" i="56"/>
  <c r="AD13" i="56"/>
  <c r="AD6" i="56"/>
  <c r="AD19" i="56" s="1"/>
  <c r="AD5" i="56"/>
  <c r="AD4" i="56"/>
  <c r="AA133" i="50"/>
  <c r="AA180" i="50" s="1"/>
  <c r="S33" i="56"/>
  <c r="S42" i="56" s="1"/>
  <c r="AA116" i="50"/>
  <c r="AA110" i="50"/>
  <c r="AA109" i="50"/>
  <c r="AA17" i="50"/>
  <c r="AB54" i="129"/>
  <c r="AB53" i="129"/>
  <c r="AB52" i="129"/>
  <c r="AB51" i="129"/>
  <c r="AB49" i="129"/>
  <c r="AB48" i="129"/>
  <c r="F50" i="129"/>
  <c r="G50" i="129"/>
  <c r="H50" i="129"/>
  <c r="I50" i="129"/>
  <c r="I57" i="129" s="1"/>
  <c r="J50" i="129"/>
  <c r="J57" i="129" s="1"/>
  <c r="K50" i="129"/>
  <c r="L50" i="129"/>
  <c r="L57" i="129" s="1"/>
  <c r="M50" i="129"/>
  <c r="M57" i="129" s="1"/>
  <c r="N50" i="129"/>
  <c r="N57" i="129" s="1"/>
  <c r="O50" i="129"/>
  <c r="O57" i="129" s="1"/>
  <c r="P50" i="129"/>
  <c r="P57" i="129" s="1"/>
  <c r="Q50" i="129"/>
  <c r="Q57" i="129" s="1"/>
  <c r="E50" i="129"/>
  <c r="F55" i="129"/>
  <c r="G55" i="129"/>
  <c r="H55" i="129"/>
  <c r="I55" i="129"/>
  <c r="J55" i="129"/>
  <c r="K55" i="129"/>
  <c r="L55" i="129"/>
  <c r="M55" i="129"/>
  <c r="N55" i="129"/>
  <c r="O55" i="129"/>
  <c r="P55" i="129"/>
  <c r="Q55" i="129"/>
  <c r="E55" i="129"/>
  <c r="Q31" i="129"/>
  <c r="P31" i="129"/>
  <c r="O31" i="129"/>
  <c r="N31" i="129"/>
  <c r="M31" i="129"/>
  <c r="L31" i="129"/>
  <c r="K31" i="129"/>
  <c r="J31" i="129"/>
  <c r="I31" i="129"/>
  <c r="H31" i="129"/>
  <c r="G31" i="129"/>
  <c r="F31" i="129"/>
  <c r="E31" i="129"/>
  <c r="D31" i="129"/>
  <c r="C31" i="129"/>
  <c r="D24" i="129"/>
  <c r="D25" i="129" s="1"/>
  <c r="C24" i="129"/>
  <c r="Q23" i="129"/>
  <c r="Q24" i="129" s="1"/>
  <c r="P23" i="129"/>
  <c r="P24" i="129" s="1"/>
  <c r="P25" i="129" s="1"/>
  <c r="O23" i="129"/>
  <c r="O24" i="129" s="1"/>
  <c r="N23" i="129"/>
  <c r="N24" i="129" s="1"/>
  <c r="N25" i="129" s="1"/>
  <c r="M23" i="129"/>
  <c r="M24" i="129" s="1"/>
  <c r="L23" i="129"/>
  <c r="L24" i="129" s="1"/>
  <c r="K23" i="129"/>
  <c r="K24" i="129" s="1"/>
  <c r="K25" i="129" s="1"/>
  <c r="J23" i="129"/>
  <c r="J24" i="129" s="1"/>
  <c r="I23" i="129"/>
  <c r="I24" i="129" s="1"/>
  <c r="H23" i="129"/>
  <c r="H24" i="129" s="1"/>
  <c r="H25" i="129" s="1"/>
  <c r="G23" i="129"/>
  <c r="G24" i="129" s="1"/>
  <c r="F23" i="129"/>
  <c r="F24" i="129" s="1"/>
  <c r="E23" i="129"/>
  <c r="E24" i="129" s="1"/>
  <c r="E25" i="129" s="1"/>
  <c r="Q21" i="129"/>
  <c r="P21" i="129"/>
  <c r="O21" i="129"/>
  <c r="N21" i="129"/>
  <c r="M21" i="129"/>
  <c r="L21" i="129"/>
  <c r="K21" i="129"/>
  <c r="J21" i="129"/>
  <c r="I21" i="129"/>
  <c r="H21" i="129"/>
  <c r="G21" i="129"/>
  <c r="F21" i="129"/>
  <c r="E21" i="129"/>
  <c r="D21" i="129"/>
  <c r="C21" i="129"/>
  <c r="Q10" i="129"/>
  <c r="P10" i="129"/>
  <c r="O10" i="129"/>
  <c r="N10" i="129"/>
  <c r="M10" i="129"/>
  <c r="L10" i="129"/>
  <c r="K10" i="129"/>
  <c r="J10" i="129"/>
  <c r="H10" i="129"/>
  <c r="G10" i="129"/>
  <c r="F10" i="129"/>
  <c r="E10" i="129"/>
  <c r="D10" i="129"/>
  <c r="C10" i="129"/>
  <c r="AB9" i="129"/>
  <c r="Q8" i="129"/>
  <c r="P8" i="129"/>
  <c r="O8" i="129"/>
  <c r="O16" i="129" s="1"/>
  <c r="N8" i="129"/>
  <c r="M8" i="129"/>
  <c r="M16" i="129" s="1"/>
  <c r="M18" i="129" s="1"/>
  <c r="L8" i="129"/>
  <c r="K8" i="129"/>
  <c r="K16" i="129" s="1"/>
  <c r="J16" i="129"/>
  <c r="I8" i="129"/>
  <c r="H8" i="129"/>
  <c r="H38" i="129" s="1"/>
  <c r="H33" i="129" s="1"/>
  <c r="H36" i="129" s="1"/>
  <c r="G8" i="129"/>
  <c r="G16" i="129" s="1"/>
  <c r="G18" i="129" s="1"/>
  <c r="F8" i="129"/>
  <c r="E8" i="129"/>
  <c r="E16" i="129" s="1"/>
  <c r="D8" i="129"/>
  <c r="C8" i="129"/>
  <c r="A8" i="129"/>
  <c r="Q4" i="129"/>
  <c r="P4" i="129"/>
  <c r="O4" i="129"/>
  <c r="N4" i="129"/>
  <c r="M4" i="129"/>
  <c r="L4" i="129"/>
  <c r="K4" i="129"/>
  <c r="J4" i="129"/>
  <c r="I4" i="129"/>
  <c r="H4" i="129"/>
  <c r="G4" i="129"/>
  <c r="F4" i="129"/>
  <c r="E4" i="129"/>
  <c r="D4" i="129"/>
  <c r="C4" i="129"/>
  <c r="Q2" i="129"/>
  <c r="P2" i="129"/>
  <c r="O2" i="129"/>
  <c r="N2" i="129"/>
  <c r="M2" i="129"/>
  <c r="L2" i="129"/>
  <c r="K2" i="129"/>
  <c r="J2" i="129"/>
  <c r="I2" i="129"/>
  <c r="H2" i="129"/>
  <c r="G2" i="129"/>
  <c r="F2" i="129"/>
  <c r="E2" i="129"/>
  <c r="D2" i="129"/>
  <c r="C2" i="129"/>
  <c r="BY17" i="111"/>
  <c r="BY20" i="111"/>
  <c r="BY2" i="111"/>
  <c r="AM189" i="50"/>
  <c r="AM188" i="50"/>
  <c r="AM187" i="50"/>
  <c r="AM186" i="50"/>
  <c r="AM185" i="50"/>
  <c r="AM184" i="50"/>
  <c r="AM183" i="50"/>
  <c r="AM178" i="50"/>
  <c r="AD12" i="56" s="1"/>
  <c r="AM176" i="50"/>
  <c r="AD10" i="56" s="1"/>
  <c r="AM195" i="50"/>
  <c r="AM194" i="50"/>
  <c r="AM108" i="50"/>
  <c r="AM77" i="50"/>
  <c r="AM76" i="50"/>
  <c r="AM75" i="50"/>
  <c r="AM74" i="50"/>
  <c r="AM72" i="50"/>
  <c r="AM68" i="50"/>
  <c r="AM67" i="50"/>
  <c r="AM65" i="50"/>
  <c r="AM56" i="50"/>
  <c r="AM54" i="50"/>
  <c r="AM52" i="50"/>
  <c r="AM41" i="50"/>
  <c r="AM34" i="50"/>
  <c r="AM27" i="50"/>
  <c r="AM21" i="50"/>
  <c r="AM13" i="50"/>
  <c r="AX117" i="50"/>
  <c r="Z119" i="50"/>
  <c r="Z87" i="50" s="1"/>
  <c r="Z133" i="50"/>
  <c r="AB56" i="50"/>
  <c r="AB69" i="50" s="1"/>
  <c r="AC56" i="50"/>
  <c r="AC69" i="50" s="1"/>
  <c r="AE56" i="50"/>
  <c r="AF69" i="50"/>
  <c r="AG56" i="50"/>
  <c r="AH56" i="50"/>
  <c r="AI56" i="50"/>
  <c r="AJ56" i="50"/>
  <c r="AK56" i="50"/>
  <c r="AL56" i="50"/>
  <c r="AL34" i="50"/>
  <c r="AK34" i="50"/>
  <c r="AJ34" i="50"/>
  <c r="AI34" i="50"/>
  <c r="AH34" i="50"/>
  <c r="AG34" i="50"/>
  <c r="AF34" i="50"/>
  <c r="AE34" i="50"/>
  <c r="AD34" i="50"/>
  <c r="AC34" i="50"/>
  <c r="AB34" i="50"/>
  <c r="AA34" i="50"/>
  <c r="Z34" i="50"/>
  <c r="Q33" i="50"/>
  <c r="P33" i="50"/>
  <c r="O33" i="50"/>
  <c r="N33" i="50"/>
  <c r="M33" i="50"/>
  <c r="L33" i="50"/>
  <c r="AL27" i="50"/>
  <c r="AK27" i="50"/>
  <c r="AJ27" i="50"/>
  <c r="AI27" i="50"/>
  <c r="AH27" i="50"/>
  <c r="AG27" i="50"/>
  <c r="AF27" i="50"/>
  <c r="AE27" i="50"/>
  <c r="AD27" i="50"/>
  <c r="AC27" i="50"/>
  <c r="AB27" i="50"/>
  <c r="AA27" i="50"/>
  <c r="Z27" i="50"/>
  <c r="Q26" i="50"/>
  <c r="P26" i="50"/>
  <c r="O26" i="50"/>
  <c r="N26" i="50"/>
  <c r="M26" i="50"/>
  <c r="L26" i="50"/>
  <c r="Z167" i="50"/>
  <c r="Z62" i="50"/>
  <c r="Z75" i="50" s="1"/>
  <c r="BW20" i="111"/>
  <c r="BU20" i="111"/>
  <c r="BS20" i="111"/>
  <c r="BR13" i="111"/>
  <c r="BO8" i="111"/>
  <c r="BO20" i="111" s="1"/>
  <c r="BP8" i="111"/>
  <c r="AJ174" i="50"/>
  <c r="AF19" i="50"/>
  <c r="AC42" i="56"/>
  <c r="AC39" i="56"/>
  <c r="AC37" i="56"/>
  <c r="AC23" i="56"/>
  <c r="AC20" i="56"/>
  <c r="AC13" i="56"/>
  <c r="AC6" i="56"/>
  <c r="AC19" i="56" s="1"/>
  <c r="AC5" i="56"/>
  <c r="AC4" i="56"/>
  <c r="AE174" i="50"/>
  <c r="AH174" i="50"/>
  <c r="AG174" i="50"/>
  <c r="AD174" i="50"/>
  <c r="AC174" i="50"/>
  <c r="Z115" i="50"/>
  <c r="Z174" i="50" s="1"/>
  <c r="Z123" i="50"/>
  <c r="Z183" i="50" s="1"/>
  <c r="BM7" i="111"/>
  <c r="BM19" i="111" s="1"/>
  <c r="BL7" i="111"/>
  <c r="BL19" i="111" s="1"/>
  <c r="AA79" i="50"/>
  <c r="AA83" i="50" s="1"/>
  <c r="AC79" i="50"/>
  <c r="AD79" i="50"/>
  <c r="AL189" i="50"/>
  <c r="AL188" i="50"/>
  <c r="AL187" i="50"/>
  <c r="AL186" i="50"/>
  <c r="AL185" i="50"/>
  <c r="AL184" i="50"/>
  <c r="AL183" i="50"/>
  <c r="AL178" i="50"/>
  <c r="AC12" i="56" s="1"/>
  <c r="AL176" i="50"/>
  <c r="AC10" i="56" s="1"/>
  <c r="AL194" i="50"/>
  <c r="AL108" i="50"/>
  <c r="AL77" i="50"/>
  <c r="AL76" i="50"/>
  <c r="AL75" i="50"/>
  <c r="AL72" i="50"/>
  <c r="AL68" i="50"/>
  <c r="AL67" i="50"/>
  <c r="AL65" i="50"/>
  <c r="AL54" i="50"/>
  <c r="AL52" i="50"/>
  <c r="AL41" i="50"/>
  <c r="AL21" i="50"/>
  <c r="AL13" i="50"/>
  <c r="BX17" i="111"/>
  <c r="BX2" i="111"/>
  <c r="Z110" i="50"/>
  <c r="Z111" i="50"/>
  <c r="Z101" i="50" s="1"/>
  <c r="Y8" i="50"/>
  <c r="P6" i="56" s="1"/>
  <c r="P19" i="56" s="1"/>
  <c r="BL25" i="111"/>
  <c r="Y119" i="50"/>
  <c r="O33" i="56"/>
  <c r="O42" i="56" s="1"/>
  <c r="P43" i="56"/>
  <c r="Q43" i="56"/>
  <c r="R43" i="56"/>
  <c r="P44" i="56"/>
  <c r="Q44" i="56"/>
  <c r="R44" i="56"/>
  <c r="S43" i="56"/>
  <c r="T43" i="56"/>
  <c r="U43" i="56"/>
  <c r="S44" i="56"/>
  <c r="T44" i="56"/>
  <c r="U44" i="56"/>
  <c r="Z61" i="50"/>
  <c r="Z145" i="50"/>
  <c r="Z146" i="50" s="1"/>
  <c r="Z21" i="50"/>
  <c r="AA21" i="50"/>
  <c r="AB21" i="50"/>
  <c r="AC21" i="50"/>
  <c r="AD21" i="50"/>
  <c r="AE21" i="50"/>
  <c r="AF21" i="50"/>
  <c r="AG21" i="50"/>
  <c r="AH21" i="50"/>
  <c r="AI21" i="50"/>
  <c r="AJ21" i="50"/>
  <c r="AK21" i="50"/>
  <c r="Y21" i="50"/>
  <c r="Z13" i="50"/>
  <c r="AA13" i="50"/>
  <c r="AB13" i="50"/>
  <c r="AC13" i="50"/>
  <c r="AD13" i="50"/>
  <c r="AE13" i="50"/>
  <c r="AF13" i="50"/>
  <c r="AG13" i="50"/>
  <c r="AH13" i="50"/>
  <c r="AI13" i="50"/>
  <c r="AJ13" i="50"/>
  <c r="AK13" i="50"/>
  <c r="Y13" i="50"/>
  <c r="Z4" i="56"/>
  <c r="AA4" i="56"/>
  <c r="Z5" i="56"/>
  <c r="AA5" i="56"/>
  <c r="Z6" i="56"/>
  <c r="Z19" i="56" s="1"/>
  <c r="AA6" i="56"/>
  <c r="AA19" i="56" s="1"/>
  <c r="Z13" i="56"/>
  <c r="AA13" i="56"/>
  <c r="AB42" i="56"/>
  <c r="AB39" i="56"/>
  <c r="AB37" i="56"/>
  <c r="AB23" i="56"/>
  <c r="AB20" i="56"/>
  <c r="AB13" i="56"/>
  <c r="AB6" i="56"/>
  <c r="AB19" i="56" s="1"/>
  <c r="AB5" i="56"/>
  <c r="AB4" i="56"/>
  <c r="Z113" i="50"/>
  <c r="AA146" i="50"/>
  <c r="Y146" i="50"/>
  <c r="BK7" i="111"/>
  <c r="AA32" i="50"/>
  <c r="BN24" i="111"/>
  <c r="AB32" i="50"/>
  <c r="BP25" i="111"/>
  <c r="BQ24" i="111" s="1"/>
  <c r="BR24" i="111" s="1"/>
  <c r="BM8" i="111"/>
  <c r="BM20" i="111" s="1"/>
  <c r="AC32" i="50"/>
  <c r="Y110" i="50"/>
  <c r="AB176" i="50"/>
  <c r="S10" i="56" s="1"/>
  <c r="AC176" i="50"/>
  <c r="T10" i="56" s="1"/>
  <c r="AD176" i="50"/>
  <c r="U10" i="56" s="1"/>
  <c r="AE176" i="50"/>
  <c r="V10" i="56" s="1"/>
  <c r="AF176" i="50"/>
  <c r="W10" i="56" s="1"/>
  <c r="AG176" i="50"/>
  <c r="X10" i="56" s="1"/>
  <c r="AH176" i="50"/>
  <c r="Y10" i="56" s="1"/>
  <c r="AI176" i="50"/>
  <c r="Z10" i="56" s="1"/>
  <c r="AJ176" i="50"/>
  <c r="AA10" i="56" s="1"/>
  <c r="AK176" i="50"/>
  <c r="AB10" i="56" s="1"/>
  <c r="Y176" i="50"/>
  <c r="P10" i="56" s="1"/>
  <c r="Z56" i="50"/>
  <c r="Z69" i="50" s="1"/>
  <c r="Y56" i="50"/>
  <c r="Y69" i="50" s="1"/>
  <c r="BW17" i="111"/>
  <c r="BW2" i="111"/>
  <c r="AK189" i="50"/>
  <c r="AK188" i="50"/>
  <c r="AK187" i="50"/>
  <c r="AK186" i="50"/>
  <c r="AK185" i="50"/>
  <c r="AK184" i="50"/>
  <c r="AK183" i="50"/>
  <c r="AK178" i="50"/>
  <c r="AB12" i="56" s="1"/>
  <c r="AK194" i="50"/>
  <c r="AK193" i="50"/>
  <c r="AK108" i="50"/>
  <c r="AK77" i="50"/>
  <c r="AK76" i="50"/>
  <c r="AK75" i="50"/>
  <c r="AK74" i="50"/>
  <c r="AK72" i="50"/>
  <c r="AK68" i="50"/>
  <c r="AK67" i="50"/>
  <c r="AK65" i="50"/>
  <c r="AK54" i="50"/>
  <c r="AK52" i="50"/>
  <c r="AK41" i="50"/>
  <c r="BK17" i="111"/>
  <c r="Y115" i="50"/>
  <c r="BJ8" i="111"/>
  <c r="BJ20" i="111" s="1"/>
  <c r="AX124" i="50"/>
  <c r="X133" i="50"/>
  <c r="X145" i="50"/>
  <c r="Y147" i="50"/>
  <c r="Y192" i="50" s="1"/>
  <c r="Y101" i="50"/>
  <c r="AA101" i="50"/>
  <c r="AG101" i="50"/>
  <c r="AH101" i="50"/>
  <c r="AB101" i="50"/>
  <c r="AA38" i="50"/>
  <c r="Z184" i="50"/>
  <c r="AA184" i="50"/>
  <c r="AB184" i="50"/>
  <c r="AC184" i="50"/>
  <c r="AD184" i="50"/>
  <c r="AE184" i="50"/>
  <c r="AF184" i="50"/>
  <c r="AG184" i="50"/>
  <c r="AH184" i="50"/>
  <c r="AI184" i="50"/>
  <c r="AJ184" i="50"/>
  <c r="Y184" i="50"/>
  <c r="Y165" i="50"/>
  <c r="Y193" i="50" s="1"/>
  <c r="AA165" i="50"/>
  <c r="AA193" i="50" s="1"/>
  <c r="AB165" i="50"/>
  <c r="AC165" i="50"/>
  <c r="AD193" i="50"/>
  <c r="AF193" i="50"/>
  <c r="AG193" i="50"/>
  <c r="AH193" i="50"/>
  <c r="AI193" i="50"/>
  <c r="AB38" i="50"/>
  <c r="AA114" i="50"/>
  <c r="AC38" i="50"/>
  <c r="X115" i="50"/>
  <c r="Q37" i="56"/>
  <c r="R37" i="56"/>
  <c r="V37" i="56"/>
  <c r="X37" i="56"/>
  <c r="Y37" i="56"/>
  <c r="Z37" i="56"/>
  <c r="P37" i="56"/>
  <c r="X56" i="50"/>
  <c r="X69" i="50" s="1"/>
  <c r="W8" i="50"/>
  <c r="N6" i="56" s="1"/>
  <c r="BJ7" i="111"/>
  <c r="BJ19" i="111" s="1"/>
  <c r="X156" i="50"/>
  <c r="X147" i="50" s="1"/>
  <c r="BI8" i="111"/>
  <c r="BI7" i="111"/>
  <c r="BI19" i="111" s="1"/>
  <c r="BI25" i="111"/>
  <c r="BJ23" i="111" s="1"/>
  <c r="BK23" i="111" s="1"/>
  <c r="BL23" i="111" s="1"/>
  <c r="W109" i="50"/>
  <c r="W56" i="50"/>
  <c r="W69" i="50" s="1"/>
  <c r="BT20" i="111"/>
  <c r="Y114" i="50"/>
  <c r="AX114" i="50" s="1"/>
  <c r="Z109" i="50"/>
  <c r="X187" i="50"/>
  <c r="Y187" i="50"/>
  <c r="Z187" i="50"/>
  <c r="AA187" i="50"/>
  <c r="AB187" i="50"/>
  <c r="AC187" i="50"/>
  <c r="AD187" i="50"/>
  <c r="AE187" i="50"/>
  <c r="AF187" i="50"/>
  <c r="AG187" i="50"/>
  <c r="AH187" i="50"/>
  <c r="AI187" i="50"/>
  <c r="AJ187" i="50"/>
  <c r="X188" i="50"/>
  <c r="Y188" i="50"/>
  <c r="Z188" i="50"/>
  <c r="AA188" i="50"/>
  <c r="AB188" i="50"/>
  <c r="AC188" i="50"/>
  <c r="AD188" i="50"/>
  <c r="AE188" i="50"/>
  <c r="AF188" i="50"/>
  <c r="AG188" i="50"/>
  <c r="AH188" i="50"/>
  <c r="AI188" i="50"/>
  <c r="AJ188" i="50"/>
  <c r="X189" i="50"/>
  <c r="Y189" i="50"/>
  <c r="Z189" i="50"/>
  <c r="AA189" i="50"/>
  <c r="AB189" i="50"/>
  <c r="AC189" i="50"/>
  <c r="AD189" i="50"/>
  <c r="AE189" i="50"/>
  <c r="AF189" i="50"/>
  <c r="AG189" i="50"/>
  <c r="AH189" i="50"/>
  <c r="AI189" i="50"/>
  <c r="AJ189" i="50"/>
  <c r="W189" i="50"/>
  <c r="W188" i="50"/>
  <c r="W187" i="50"/>
  <c r="W133" i="50"/>
  <c r="W176" i="50" s="1"/>
  <c r="N10" i="56" s="1"/>
  <c r="V121" i="50"/>
  <c r="V176" i="50" s="1"/>
  <c r="M10" i="56" s="1"/>
  <c r="V62" i="50"/>
  <c r="V75" i="50" s="1"/>
  <c r="Z39" i="56"/>
  <c r="AA39" i="56"/>
  <c r="Z20" i="56"/>
  <c r="AA20" i="56"/>
  <c r="AA23" i="56"/>
  <c r="V119" i="50"/>
  <c r="V87" i="50" s="1"/>
  <c r="V184" i="50"/>
  <c r="X184" i="50"/>
  <c r="W184" i="50"/>
  <c r="W147" i="50"/>
  <c r="W177" i="50" s="1"/>
  <c r="N11" i="56" s="1"/>
  <c r="N22" i="56" s="1"/>
  <c r="W165" i="50"/>
  <c r="W193" i="50" s="1"/>
  <c r="X165" i="50"/>
  <c r="W169" i="50"/>
  <c r="W194" i="50" s="1"/>
  <c r="X169" i="50"/>
  <c r="X194" i="50" s="1"/>
  <c r="Y169" i="50"/>
  <c r="Y194" i="50" s="1"/>
  <c r="Z169" i="50"/>
  <c r="Z194" i="50" s="1"/>
  <c r="AA169" i="50"/>
  <c r="AA194" i="50" s="1"/>
  <c r="AB169" i="50"/>
  <c r="AB194" i="50" s="1"/>
  <c r="AC169" i="50"/>
  <c r="AC194" i="50" s="1"/>
  <c r="AD169" i="50"/>
  <c r="AD194" i="50" s="1"/>
  <c r="AF194" i="50"/>
  <c r="AG194" i="50"/>
  <c r="W170" i="50"/>
  <c r="W195" i="50" s="1"/>
  <c r="X170" i="50"/>
  <c r="X195" i="50" s="1"/>
  <c r="Y170" i="50"/>
  <c r="Z170" i="50"/>
  <c r="Z195" i="50" s="1"/>
  <c r="AA170" i="50"/>
  <c r="AB170" i="50"/>
  <c r="AB195" i="50" s="1"/>
  <c r="AC170" i="50"/>
  <c r="AC195" i="50" s="1"/>
  <c r="AE195" i="50"/>
  <c r="AF195" i="50"/>
  <c r="AG195" i="50"/>
  <c r="W114" i="50"/>
  <c r="W174" i="50" s="1"/>
  <c r="V114" i="50"/>
  <c r="AB180" i="50"/>
  <c r="AC180" i="50"/>
  <c r="AD180" i="50"/>
  <c r="AE180" i="50"/>
  <c r="BL20" i="111"/>
  <c r="BN20" i="111"/>
  <c r="BQ20" i="111"/>
  <c r="W4" i="56"/>
  <c r="X4" i="56"/>
  <c r="W5" i="56"/>
  <c r="X5" i="56"/>
  <c r="W6" i="56"/>
  <c r="W19" i="56" s="1"/>
  <c r="X6" i="56"/>
  <c r="X19" i="56" s="1"/>
  <c r="Y42" i="56"/>
  <c r="Y39" i="56"/>
  <c r="Y23" i="56"/>
  <c r="Y20" i="56"/>
  <c r="Y13" i="56"/>
  <c r="Y6" i="56"/>
  <c r="Y19" i="56" s="1"/>
  <c r="Y5" i="56"/>
  <c r="Y4" i="56"/>
  <c r="BV17" i="111"/>
  <c r="BV2" i="111"/>
  <c r="BU17" i="111"/>
  <c r="BU2" i="111"/>
  <c r="BH7" i="111"/>
  <c r="BH19" i="111" s="1"/>
  <c r="BT31" i="111"/>
  <c r="BT17" i="111"/>
  <c r="BT2" i="111"/>
  <c r="U180" i="50"/>
  <c r="O193" i="50"/>
  <c r="E192" i="50"/>
  <c r="F192" i="50"/>
  <c r="J176" i="50"/>
  <c r="K176" i="50"/>
  <c r="L176" i="50"/>
  <c r="N176" i="50"/>
  <c r="E10" i="56" s="1"/>
  <c r="O176" i="50"/>
  <c r="F10" i="56" s="1"/>
  <c r="P176" i="50"/>
  <c r="G10" i="56" s="1"/>
  <c r="Q176" i="50"/>
  <c r="H10" i="56" s="1"/>
  <c r="R176" i="50"/>
  <c r="I10" i="56" s="1"/>
  <c r="T176" i="50"/>
  <c r="K10" i="56" s="1"/>
  <c r="U176" i="50"/>
  <c r="L10" i="56" s="1"/>
  <c r="I176" i="50"/>
  <c r="I147" i="50"/>
  <c r="I192" i="50" s="1"/>
  <c r="J147" i="50"/>
  <c r="J177" i="50" s="1"/>
  <c r="K147" i="50"/>
  <c r="K96" i="50" s="1"/>
  <c r="L147" i="50"/>
  <c r="L192" i="50" s="1"/>
  <c r="N147" i="50"/>
  <c r="N192" i="50" s="1"/>
  <c r="O147" i="50"/>
  <c r="P147" i="50"/>
  <c r="P177" i="50" s="1"/>
  <c r="G11" i="56" s="1"/>
  <c r="G17" i="56" s="1"/>
  <c r="Q147" i="50"/>
  <c r="Q96" i="50" s="1"/>
  <c r="R147" i="50"/>
  <c r="R192" i="50" s="1"/>
  <c r="T147" i="50"/>
  <c r="T96" i="50" s="1"/>
  <c r="U147" i="50"/>
  <c r="U192" i="50" s="1"/>
  <c r="V147" i="50"/>
  <c r="H147" i="50"/>
  <c r="H192" i="50" s="1"/>
  <c r="G147" i="50"/>
  <c r="G192" i="50" s="1"/>
  <c r="U186" i="50"/>
  <c r="V186" i="50"/>
  <c r="W186" i="50"/>
  <c r="X186" i="50"/>
  <c r="Y186" i="50"/>
  <c r="Z186" i="50"/>
  <c r="AA186" i="50"/>
  <c r="AB186" i="50"/>
  <c r="AC186" i="50"/>
  <c r="AD186" i="50"/>
  <c r="AE186" i="50"/>
  <c r="AF186" i="50"/>
  <c r="AG186" i="50"/>
  <c r="AH186" i="50"/>
  <c r="AI186" i="50"/>
  <c r="AJ186" i="50"/>
  <c r="T186" i="50"/>
  <c r="U165" i="50"/>
  <c r="U193" i="50" s="1"/>
  <c r="Y109" i="50"/>
  <c r="AJ185" i="50"/>
  <c r="AI185" i="50"/>
  <c r="AH185" i="50"/>
  <c r="AJ183" i="50"/>
  <c r="AI183" i="50"/>
  <c r="AH183" i="50"/>
  <c r="AJ178" i="50"/>
  <c r="AA12" i="56" s="1"/>
  <c r="AI178" i="50"/>
  <c r="Z12" i="56" s="1"/>
  <c r="AH178" i="50"/>
  <c r="Y12" i="56" s="1"/>
  <c r="AJ195" i="50"/>
  <c r="AI195" i="50"/>
  <c r="AJ194" i="50"/>
  <c r="AI194" i="50"/>
  <c r="AI108" i="50"/>
  <c r="AH108" i="50"/>
  <c r="AH53" i="50"/>
  <c r="AJ77" i="50"/>
  <c r="AI77" i="50"/>
  <c r="AH77" i="50"/>
  <c r="AJ76" i="50"/>
  <c r="AI76" i="50"/>
  <c r="AH76" i="50"/>
  <c r="AJ75" i="50"/>
  <c r="AI75" i="50"/>
  <c r="AH75" i="50"/>
  <c r="AJ74" i="50"/>
  <c r="AI74" i="50"/>
  <c r="AH74" i="50"/>
  <c r="AJ72" i="50"/>
  <c r="AI72" i="50"/>
  <c r="AH72" i="50"/>
  <c r="AJ68" i="50"/>
  <c r="AI68" i="50"/>
  <c r="AH68" i="50"/>
  <c r="AJ67" i="50"/>
  <c r="AI67" i="50"/>
  <c r="AH67" i="50"/>
  <c r="AJ65" i="50"/>
  <c r="AI65" i="50"/>
  <c r="AH65" i="50"/>
  <c r="AJ54" i="50"/>
  <c r="AI54" i="50"/>
  <c r="AH54" i="50"/>
  <c r="AJ52" i="50"/>
  <c r="AI52" i="50"/>
  <c r="AH52" i="50"/>
  <c r="AJ41" i="50"/>
  <c r="AI41" i="50"/>
  <c r="AH41" i="50"/>
  <c r="AH19" i="50"/>
  <c r="X42" i="56"/>
  <c r="X39" i="56"/>
  <c r="X23" i="56"/>
  <c r="X20" i="56"/>
  <c r="X13" i="56"/>
  <c r="BS31" i="111"/>
  <c r="BS17" i="111"/>
  <c r="BS2" i="111"/>
  <c r="U56" i="50"/>
  <c r="U69" i="50" s="1"/>
  <c r="AG185" i="50"/>
  <c r="AG183" i="50"/>
  <c r="AG178" i="50"/>
  <c r="X12" i="56" s="1"/>
  <c r="AG108" i="50"/>
  <c r="AG53" i="50"/>
  <c r="AG77" i="50"/>
  <c r="AG76" i="50"/>
  <c r="AG75" i="50"/>
  <c r="AG74" i="50"/>
  <c r="AG72" i="50"/>
  <c r="AG68" i="50"/>
  <c r="AG67" i="50"/>
  <c r="AG54" i="50"/>
  <c r="AG52" i="50"/>
  <c r="AG41" i="50"/>
  <c r="AG19" i="50"/>
  <c r="BG7" i="111"/>
  <c r="BG19" i="111" s="1"/>
  <c r="V56" i="50"/>
  <c r="V69" i="50" s="1"/>
  <c r="AA25" i="50"/>
  <c r="AB25" i="50"/>
  <c r="W39" i="56"/>
  <c r="W23" i="56"/>
  <c r="W20" i="56"/>
  <c r="W13" i="56"/>
  <c r="AC25" i="50"/>
  <c r="T110" i="50"/>
  <c r="T107" i="50" s="1"/>
  <c r="BF24" i="111"/>
  <c r="BR31" i="111"/>
  <c r="BR17" i="111"/>
  <c r="BK20" i="111"/>
  <c r="AF185" i="50"/>
  <c r="AF183" i="50"/>
  <c r="AF178" i="50"/>
  <c r="W12" i="56" s="1"/>
  <c r="AF108" i="50"/>
  <c r="AF77" i="50"/>
  <c r="AF76" i="50"/>
  <c r="AF75" i="50"/>
  <c r="AF74" i="50"/>
  <c r="AF68" i="50"/>
  <c r="AF67" i="50"/>
  <c r="AF65" i="50"/>
  <c r="AF54" i="50"/>
  <c r="AF52" i="50"/>
  <c r="AF41" i="50"/>
  <c r="S59" i="50"/>
  <c r="J4" i="56" s="1"/>
  <c r="S8" i="50"/>
  <c r="S87" i="50" s="1"/>
  <c r="T56" i="50"/>
  <c r="T69" i="50" s="1"/>
  <c r="BG8" i="111"/>
  <c r="BG20" i="111" s="1"/>
  <c r="BF7" i="111"/>
  <c r="T165" i="50"/>
  <c r="T193" i="50" s="1"/>
  <c r="V39" i="56"/>
  <c r="V23" i="56"/>
  <c r="V20" i="56"/>
  <c r="V13" i="56"/>
  <c r="V6" i="56"/>
  <c r="V19" i="56" s="1"/>
  <c r="V5" i="56"/>
  <c r="V4" i="56"/>
  <c r="S43" i="50"/>
  <c r="BQ31" i="111"/>
  <c r="BQ17" i="111"/>
  <c r="BQ2" i="111"/>
  <c r="AE183" i="50"/>
  <c r="AE178" i="50"/>
  <c r="V12" i="56" s="1"/>
  <c r="AE108" i="50"/>
  <c r="AE53" i="50"/>
  <c r="AE77" i="50"/>
  <c r="AE76" i="50"/>
  <c r="AE75" i="50"/>
  <c r="AE74" i="50"/>
  <c r="AE72" i="50"/>
  <c r="AE68" i="50"/>
  <c r="AE67" i="50"/>
  <c r="AE65" i="50"/>
  <c r="AE54" i="50"/>
  <c r="AE52" i="50"/>
  <c r="AE41" i="50"/>
  <c r="BQ16" i="111"/>
  <c r="BQ19" i="111"/>
  <c r="BQ13" i="111"/>
  <c r="BQ14" i="111" s="1"/>
  <c r="AE185" i="50"/>
  <c r="BG17" i="111"/>
  <c r="R8" i="50"/>
  <c r="R87" i="50" s="1"/>
  <c r="S148" i="50"/>
  <c r="S147" i="50" s="1"/>
  <c r="S110" i="50"/>
  <c r="S107" i="50" s="1"/>
  <c r="BE7" i="111"/>
  <c r="BE16" i="111" s="1"/>
  <c r="AY34" i="111"/>
  <c r="BP31" i="111"/>
  <c r="BO31" i="111"/>
  <c r="BN31" i="111"/>
  <c r="BM31" i="111"/>
  <c r="BL31" i="111"/>
  <c r="BK31" i="111"/>
  <c r="BJ31" i="111"/>
  <c r="BI31" i="111"/>
  <c r="BH31" i="111"/>
  <c r="BG31" i="111"/>
  <c r="BF31" i="111"/>
  <c r="BE31" i="111"/>
  <c r="BD31" i="111"/>
  <c r="BC31" i="111"/>
  <c r="BB31" i="111"/>
  <c r="BA31" i="111"/>
  <c r="AZ31" i="111"/>
  <c r="AY31" i="111"/>
  <c r="AE28" i="111"/>
  <c r="AD28" i="111"/>
  <c r="AC28" i="111"/>
  <c r="AB28" i="111"/>
  <c r="AA28" i="111"/>
  <c r="Z28" i="111"/>
  <c r="BG27" i="111"/>
  <c r="BC27" i="111"/>
  <c r="AE27" i="111"/>
  <c r="AD27" i="111"/>
  <c r="AC27" i="111"/>
  <c r="AB27" i="111"/>
  <c r="AA27" i="111"/>
  <c r="Z27" i="111"/>
  <c r="AI23" i="111"/>
  <c r="BC20" i="111"/>
  <c r="AX19" i="111"/>
  <c r="AJ19" i="111"/>
  <c r="AI19" i="111"/>
  <c r="AH19" i="111"/>
  <c r="AG19" i="111"/>
  <c r="AF19" i="111"/>
  <c r="AE19" i="111"/>
  <c r="AD19" i="111"/>
  <c r="AC19" i="111"/>
  <c r="Y19" i="111"/>
  <c r="W19" i="111"/>
  <c r="V19" i="111"/>
  <c r="U19" i="111"/>
  <c r="T19" i="111"/>
  <c r="S19" i="111"/>
  <c r="R19" i="111"/>
  <c r="Q19" i="111"/>
  <c r="P19" i="111"/>
  <c r="O19" i="111"/>
  <c r="N19" i="111"/>
  <c r="M19" i="111"/>
  <c r="L19" i="111"/>
  <c r="K19" i="111"/>
  <c r="J19" i="111"/>
  <c r="I19" i="111"/>
  <c r="H19" i="111"/>
  <c r="G19" i="111"/>
  <c r="F19" i="111"/>
  <c r="E19" i="111"/>
  <c r="D19" i="111"/>
  <c r="C19" i="111"/>
  <c r="BD18" i="111"/>
  <c r="BC18" i="111"/>
  <c r="BP17" i="111"/>
  <c r="BO17" i="111"/>
  <c r="BN17" i="111"/>
  <c r="BM17" i="111"/>
  <c r="BL17" i="111"/>
  <c r="BJ17" i="111"/>
  <c r="BI17" i="111"/>
  <c r="BH17" i="111"/>
  <c r="BF17" i="111"/>
  <c r="BE17" i="111"/>
  <c r="BD17" i="111"/>
  <c r="BC17" i="111"/>
  <c r="BB17" i="111"/>
  <c r="BA17" i="111"/>
  <c r="AZ17" i="111"/>
  <c r="AY17" i="111"/>
  <c r="AX17" i="111"/>
  <c r="AW17" i="111"/>
  <c r="AV17" i="111"/>
  <c r="AU17" i="111"/>
  <c r="AT17" i="111"/>
  <c r="AS17" i="111"/>
  <c r="AR17" i="111"/>
  <c r="AQ17" i="111"/>
  <c r="AP17" i="111"/>
  <c r="AO17" i="111"/>
  <c r="AN17" i="111"/>
  <c r="AM17" i="111"/>
  <c r="AL17" i="111"/>
  <c r="AK17" i="111"/>
  <c r="AJ17" i="111"/>
  <c r="AI17" i="111"/>
  <c r="AH17" i="111"/>
  <c r="AG17" i="111"/>
  <c r="AF17" i="111"/>
  <c r="AE17" i="111"/>
  <c r="AD17" i="111"/>
  <c r="AC17" i="111"/>
  <c r="Z17" i="111"/>
  <c r="Y17" i="111"/>
  <c r="X17" i="111"/>
  <c r="W17" i="111"/>
  <c r="V17" i="111"/>
  <c r="U17" i="111"/>
  <c r="S17" i="111"/>
  <c r="R17" i="111"/>
  <c r="P17" i="111"/>
  <c r="O17" i="111"/>
  <c r="M17" i="111"/>
  <c r="L17" i="111"/>
  <c r="J17" i="111"/>
  <c r="I17" i="111"/>
  <c r="H17" i="111"/>
  <c r="G17" i="111"/>
  <c r="F17" i="111"/>
  <c r="E17" i="111"/>
  <c r="D17" i="111"/>
  <c r="C17" i="111"/>
  <c r="AX16" i="111"/>
  <c r="AJ16" i="111"/>
  <c r="AI16" i="111"/>
  <c r="Y16" i="111"/>
  <c r="W16" i="111"/>
  <c r="V16" i="111"/>
  <c r="U16" i="111"/>
  <c r="T16" i="111"/>
  <c r="S16" i="111"/>
  <c r="R16" i="111"/>
  <c r="Q16" i="111"/>
  <c r="P16" i="111"/>
  <c r="O16" i="111"/>
  <c r="N16" i="111"/>
  <c r="M16" i="111"/>
  <c r="L16" i="111"/>
  <c r="K16" i="111"/>
  <c r="J16" i="111"/>
  <c r="I16" i="111"/>
  <c r="H16" i="111"/>
  <c r="G16" i="111"/>
  <c r="F16" i="111"/>
  <c r="E16" i="111"/>
  <c r="D16" i="111"/>
  <c r="C16" i="111"/>
  <c r="AX13" i="111"/>
  <c r="AX14" i="111" s="1"/>
  <c r="AJ13" i="111"/>
  <c r="AJ14" i="111" s="1"/>
  <c r="AI13" i="111"/>
  <c r="AI14" i="111" s="1"/>
  <c r="Y13" i="111"/>
  <c r="Y14" i="111" s="1"/>
  <c r="W13" i="111"/>
  <c r="W14" i="111" s="1"/>
  <c r="V13" i="111"/>
  <c r="V14" i="111" s="1"/>
  <c r="U13" i="111"/>
  <c r="U14" i="111" s="1"/>
  <c r="S13" i="111"/>
  <c r="S14" i="111" s="1"/>
  <c r="R13" i="111"/>
  <c r="R14" i="111" s="1"/>
  <c r="P13" i="111"/>
  <c r="P14" i="111" s="1"/>
  <c r="O13" i="111"/>
  <c r="O14" i="111" s="1"/>
  <c r="M13" i="111"/>
  <c r="M14" i="111" s="1"/>
  <c r="L13" i="111"/>
  <c r="L14" i="111" s="1"/>
  <c r="J13" i="111"/>
  <c r="J14" i="111" s="1"/>
  <c r="I13" i="111"/>
  <c r="I14" i="111" s="1"/>
  <c r="H13" i="111"/>
  <c r="H14" i="111" s="1"/>
  <c r="G13" i="111"/>
  <c r="G14" i="111" s="1"/>
  <c r="F13" i="111"/>
  <c r="F14" i="111" s="1"/>
  <c r="E13" i="111"/>
  <c r="E14" i="111" s="1"/>
  <c r="D13" i="111"/>
  <c r="D14" i="111" s="1"/>
  <c r="C13" i="111"/>
  <c r="C14" i="111" s="1"/>
  <c r="BC12" i="111"/>
  <c r="BB12" i="111"/>
  <c r="BA12" i="111"/>
  <c r="AZ12" i="111"/>
  <c r="AY12" i="111"/>
  <c r="AX12" i="111"/>
  <c r="AW12" i="111"/>
  <c r="AV12" i="111"/>
  <c r="AU12" i="111"/>
  <c r="AT12" i="111"/>
  <c r="AS12" i="111"/>
  <c r="AR12" i="111"/>
  <c r="AQ12" i="111"/>
  <c r="AP12" i="111"/>
  <c r="AO12" i="111"/>
  <c r="AN12" i="111"/>
  <c r="AM12" i="111"/>
  <c r="AL12" i="111"/>
  <c r="AK12" i="111"/>
  <c r="AJ12" i="111"/>
  <c r="AI12" i="111"/>
  <c r="AH12" i="111"/>
  <c r="AF12" i="111"/>
  <c r="AE12" i="111"/>
  <c r="AD12" i="111"/>
  <c r="AC12" i="111"/>
  <c r="AB12" i="111"/>
  <c r="AA12" i="111"/>
  <c r="Z12" i="111"/>
  <c r="Y12" i="111"/>
  <c r="X12" i="111"/>
  <c r="W12" i="111"/>
  <c r="V12" i="111"/>
  <c r="U12" i="111"/>
  <c r="T12" i="111"/>
  <c r="S12" i="111"/>
  <c r="R12" i="111"/>
  <c r="Q12" i="111"/>
  <c r="P12" i="111"/>
  <c r="O12" i="111"/>
  <c r="N12" i="111"/>
  <c r="M12" i="111"/>
  <c r="L12" i="111"/>
  <c r="K12" i="111"/>
  <c r="J12" i="111"/>
  <c r="I12" i="111"/>
  <c r="H12" i="111"/>
  <c r="G12" i="111"/>
  <c r="F12" i="111"/>
  <c r="E12" i="111"/>
  <c r="D12" i="111"/>
  <c r="C12" i="111"/>
  <c r="BA10" i="111"/>
  <c r="AZ10" i="111"/>
  <c r="T10" i="111"/>
  <c r="N10" i="111"/>
  <c r="N13" i="111" s="1"/>
  <c r="N14" i="111" s="1"/>
  <c r="K10" i="111"/>
  <c r="K13" i="111" s="1"/>
  <c r="K14" i="111" s="1"/>
  <c r="BH8" i="111"/>
  <c r="BF8" i="111"/>
  <c r="BE20" i="111"/>
  <c r="BD8" i="111"/>
  <c r="BD20" i="111" s="1"/>
  <c r="AZ8" i="111"/>
  <c r="AY8" i="111"/>
  <c r="AW8" i="111"/>
  <c r="AV8" i="111"/>
  <c r="AM8" i="111"/>
  <c r="AL8" i="111"/>
  <c r="AH8" i="111"/>
  <c r="AH16" i="111" s="1"/>
  <c r="AG8" i="111"/>
  <c r="AG16" i="111" s="1"/>
  <c r="AF8" i="111"/>
  <c r="AF13" i="111" s="1"/>
  <c r="AF14" i="111" s="1"/>
  <c r="AE8" i="111"/>
  <c r="AE16" i="111" s="1"/>
  <c r="AD8" i="111"/>
  <c r="AC8" i="111"/>
  <c r="AC13" i="111" s="1"/>
  <c r="AC14" i="111" s="1"/>
  <c r="AB8" i="111"/>
  <c r="AB17" i="111" s="1"/>
  <c r="AA8" i="111"/>
  <c r="AA17" i="111" s="1"/>
  <c r="Q8" i="111"/>
  <c r="Q13" i="111" s="1"/>
  <c r="Q14" i="111" s="1"/>
  <c r="BD7" i="111"/>
  <c r="BD19" i="111" s="1"/>
  <c r="BC7" i="111"/>
  <c r="BB7" i="111"/>
  <c r="BA7" i="111"/>
  <c r="BA16" i="111" s="1"/>
  <c r="AZ7" i="111"/>
  <c r="AY7" i="111"/>
  <c r="AW7" i="111"/>
  <c r="AW19" i="111" s="1"/>
  <c r="AV7" i="111"/>
  <c r="AU7" i="111"/>
  <c r="AT7" i="111"/>
  <c r="AT19" i="111" s="1"/>
  <c r="AS7" i="111"/>
  <c r="AS19" i="111" s="1"/>
  <c r="AR7" i="111"/>
  <c r="AR19" i="111" s="1"/>
  <c r="AQ7" i="111"/>
  <c r="AQ19" i="111" s="1"/>
  <c r="AP7" i="111"/>
  <c r="AP19" i="111" s="1"/>
  <c r="AO7" i="111"/>
  <c r="AO16" i="111" s="1"/>
  <c r="AN7" i="111"/>
  <c r="AN13" i="111" s="1"/>
  <c r="AN14" i="111" s="1"/>
  <c r="AM7" i="111"/>
  <c r="AL7" i="111"/>
  <c r="AK7" i="111"/>
  <c r="AB7" i="111"/>
  <c r="AB19" i="111" s="1"/>
  <c r="AA7" i="111"/>
  <c r="AA16" i="111" s="1"/>
  <c r="Z7" i="111"/>
  <c r="Z19" i="111" s="1"/>
  <c r="X7" i="111"/>
  <c r="CJ6" i="111"/>
  <c r="CK6" i="111" s="1"/>
  <c r="X6" i="111"/>
  <c r="BP2" i="111"/>
  <c r="BO2" i="111"/>
  <c r="BM2" i="111"/>
  <c r="BL2" i="111"/>
  <c r="BK2" i="111"/>
  <c r="BJ2" i="111"/>
  <c r="BI2" i="111"/>
  <c r="BH2" i="111"/>
  <c r="BG2" i="111"/>
  <c r="BF2" i="111"/>
  <c r="BE2" i="111"/>
  <c r="BD2" i="111"/>
  <c r="BC2" i="111"/>
  <c r="BB2" i="111"/>
  <c r="BA2" i="111"/>
  <c r="AZ2" i="111"/>
  <c r="AY2" i="111"/>
  <c r="AX2" i="111"/>
  <c r="AW2" i="111"/>
  <c r="AV2" i="111"/>
  <c r="AU2" i="111"/>
  <c r="AT2" i="111"/>
  <c r="AS2" i="111"/>
  <c r="AR2" i="111"/>
  <c r="AQ2" i="111"/>
  <c r="AP2" i="111"/>
  <c r="AO2" i="111"/>
  <c r="AN2" i="111"/>
  <c r="AM2" i="111"/>
  <c r="BD12" i="111"/>
  <c r="BE12" i="111"/>
  <c r="BF12" i="111"/>
  <c r="BG12" i="111"/>
  <c r="BH12" i="111"/>
  <c r="BI12" i="111"/>
  <c r="BJ12" i="111"/>
  <c r="BK12" i="111"/>
  <c r="BL12" i="111"/>
  <c r="BM12" i="111"/>
  <c r="BN12" i="111"/>
  <c r="BO12" i="111"/>
  <c r="E180" i="50"/>
  <c r="S167" i="50"/>
  <c r="U87" i="50"/>
  <c r="X87" i="50"/>
  <c r="T87" i="50"/>
  <c r="I180" i="50"/>
  <c r="J180" i="50"/>
  <c r="K180" i="50"/>
  <c r="L180" i="50"/>
  <c r="O180" i="50"/>
  <c r="P180" i="50"/>
  <c r="I183" i="50"/>
  <c r="J183" i="50"/>
  <c r="K183" i="50"/>
  <c r="L183" i="50"/>
  <c r="M183" i="50"/>
  <c r="N183" i="50"/>
  <c r="O183" i="50"/>
  <c r="P183" i="50"/>
  <c r="I184" i="50"/>
  <c r="J184" i="50"/>
  <c r="K184" i="50"/>
  <c r="L184" i="50"/>
  <c r="M184" i="50"/>
  <c r="N184" i="50"/>
  <c r="O184" i="50"/>
  <c r="P184" i="50"/>
  <c r="I185" i="50"/>
  <c r="J185" i="50"/>
  <c r="K185" i="50"/>
  <c r="L185" i="50"/>
  <c r="O185" i="50"/>
  <c r="P185" i="50"/>
  <c r="Q180" i="50"/>
  <c r="Q183" i="50"/>
  <c r="Q184" i="50"/>
  <c r="Q185" i="50"/>
  <c r="S183" i="50"/>
  <c r="T183" i="50"/>
  <c r="U183" i="50"/>
  <c r="V183" i="50"/>
  <c r="W183" i="50"/>
  <c r="X183" i="50"/>
  <c r="Y183" i="50"/>
  <c r="AA183" i="50"/>
  <c r="AB183" i="50"/>
  <c r="AC183" i="50"/>
  <c r="R183" i="50"/>
  <c r="S184" i="50"/>
  <c r="T184" i="50"/>
  <c r="U184" i="50"/>
  <c r="T185" i="50"/>
  <c r="U185" i="50"/>
  <c r="V185" i="50"/>
  <c r="Y185" i="50"/>
  <c r="AB185" i="50"/>
  <c r="AC185" i="50"/>
  <c r="R185" i="50"/>
  <c r="R184" i="50"/>
  <c r="J173" i="50"/>
  <c r="M173" i="50"/>
  <c r="N173" i="50"/>
  <c r="I174" i="50"/>
  <c r="J174" i="50"/>
  <c r="K174" i="50"/>
  <c r="L174" i="50"/>
  <c r="M174" i="50"/>
  <c r="P174" i="50"/>
  <c r="Q174" i="50"/>
  <c r="I178" i="50"/>
  <c r="J178" i="50"/>
  <c r="K178" i="50"/>
  <c r="L178" i="50"/>
  <c r="M178" i="50"/>
  <c r="D12" i="56" s="1"/>
  <c r="N178" i="50"/>
  <c r="E12" i="56" s="1"/>
  <c r="O178" i="50"/>
  <c r="F12" i="56" s="1"/>
  <c r="P178" i="50"/>
  <c r="G12" i="56" s="1"/>
  <c r="Q178" i="50"/>
  <c r="H12" i="56" s="1"/>
  <c r="S180" i="50"/>
  <c r="T180" i="50"/>
  <c r="R180" i="50"/>
  <c r="U39" i="56"/>
  <c r="U23" i="56"/>
  <c r="U20" i="56"/>
  <c r="U13" i="56"/>
  <c r="U6" i="56"/>
  <c r="U19" i="56" s="1"/>
  <c r="U5" i="56"/>
  <c r="U4" i="56"/>
  <c r="S174" i="50"/>
  <c r="T174" i="50"/>
  <c r="U174" i="50"/>
  <c r="S178" i="50"/>
  <c r="J12" i="56" s="1"/>
  <c r="T178" i="50"/>
  <c r="K12" i="56" s="1"/>
  <c r="U178" i="50"/>
  <c r="L12" i="56" s="1"/>
  <c r="V178" i="50"/>
  <c r="M12" i="56" s="1"/>
  <c r="W178" i="50"/>
  <c r="N12" i="56" s="1"/>
  <c r="X178" i="50"/>
  <c r="O12" i="56" s="1"/>
  <c r="Y178" i="50"/>
  <c r="P12" i="56" s="1"/>
  <c r="Z178" i="50"/>
  <c r="Q12" i="56" s="1"/>
  <c r="AA178" i="50"/>
  <c r="R12" i="56" s="1"/>
  <c r="AB178" i="50"/>
  <c r="S12" i="56" s="1"/>
  <c r="AC178" i="50"/>
  <c r="T12" i="56" s="1"/>
  <c r="AD178" i="50"/>
  <c r="U12" i="56" s="1"/>
  <c r="V173" i="50"/>
  <c r="X173" i="50"/>
  <c r="S23" i="50"/>
  <c r="S25" i="50" s="1"/>
  <c r="R23" i="50"/>
  <c r="R25" i="50" s="1"/>
  <c r="AC53" i="50"/>
  <c r="X7" i="50"/>
  <c r="W7" i="50"/>
  <c r="V7" i="50"/>
  <c r="S19" i="50"/>
  <c r="T19" i="50"/>
  <c r="U19" i="50"/>
  <c r="R19" i="50"/>
  <c r="R56" i="50"/>
  <c r="R69" i="50" s="1"/>
  <c r="Y7" i="50"/>
  <c r="Q69" i="50"/>
  <c r="AD68" i="50"/>
  <c r="AC68" i="50"/>
  <c r="AB68" i="50"/>
  <c r="AA68" i="50"/>
  <c r="Z68" i="50"/>
  <c r="Y68" i="50"/>
  <c r="X68" i="50"/>
  <c r="W68" i="50"/>
  <c r="V68" i="50"/>
  <c r="U68" i="50"/>
  <c r="T68" i="50"/>
  <c r="S68" i="50"/>
  <c r="R68" i="50"/>
  <c r="Q68" i="50"/>
  <c r="Q25" i="50"/>
  <c r="Q12" i="50"/>
  <c r="E18" i="50"/>
  <c r="F18" i="50"/>
  <c r="G18" i="50"/>
  <c r="H18" i="50"/>
  <c r="I18" i="50"/>
  <c r="J18" i="50"/>
  <c r="K18" i="50"/>
  <c r="L18" i="50"/>
  <c r="M18" i="50"/>
  <c r="N18" i="50"/>
  <c r="O18" i="50"/>
  <c r="P18" i="50"/>
  <c r="Q18" i="50"/>
  <c r="R18" i="50"/>
  <c r="S18" i="50"/>
  <c r="T18" i="50"/>
  <c r="U18" i="50"/>
  <c r="P12" i="50"/>
  <c r="O12" i="50"/>
  <c r="N12" i="50"/>
  <c r="M12" i="50"/>
  <c r="L12" i="50"/>
  <c r="P25" i="50"/>
  <c r="O25" i="50"/>
  <c r="N25" i="50"/>
  <c r="M25" i="50"/>
  <c r="L25" i="50"/>
  <c r="K25" i="50"/>
  <c r="J25" i="50"/>
  <c r="I25" i="50"/>
  <c r="H25" i="50"/>
  <c r="G25" i="50"/>
  <c r="F25" i="50"/>
  <c r="E25" i="50"/>
  <c r="Q20" i="50"/>
  <c r="P20" i="50"/>
  <c r="O20" i="50"/>
  <c r="N20" i="50"/>
  <c r="M20" i="50"/>
  <c r="L20" i="50"/>
  <c r="AD108" i="50"/>
  <c r="AD77" i="50"/>
  <c r="AD76" i="50"/>
  <c r="AD75" i="50"/>
  <c r="AD74" i="50"/>
  <c r="AD72" i="50"/>
  <c r="AD67" i="50"/>
  <c r="AD65" i="50"/>
  <c r="AD54" i="50"/>
  <c r="AD52" i="50"/>
  <c r="AD41" i="50"/>
  <c r="AD195" i="50"/>
  <c r="W25" i="50"/>
  <c r="X25" i="50"/>
  <c r="M23" i="56"/>
  <c r="N23" i="56"/>
  <c r="O23" i="56"/>
  <c r="P23" i="56"/>
  <c r="Q23" i="56"/>
  <c r="R23" i="56"/>
  <c r="S23" i="56"/>
  <c r="T23" i="56"/>
  <c r="M20" i="56"/>
  <c r="N20" i="56"/>
  <c r="O20" i="56"/>
  <c r="P20" i="56"/>
  <c r="Q20" i="56"/>
  <c r="R20" i="56"/>
  <c r="S20" i="56"/>
  <c r="T20" i="56"/>
  <c r="N13" i="56"/>
  <c r="O13" i="56"/>
  <c r="P13" i="56"/>
  <c r="Q13" i="56"/>
  <c r="R13" i="56"/>
  <c r="S13" i="56"/>
  <c r="T13" i="56"/>
  <c r="N4" i="56"/>
  <c r="O4" i="56"/>
  <c r="P4" i="56"/>
  <c r="Q4" i="56"/>
  <c r="S4" i="56"/>
  <c r="T4" i="56"/>
  <c r="N5" i="56"/>
  <c r="O5" i="56"/>
  <c r="P5" i="56"/>
  <c r="R5" i="56"/>
  <c r="S5" i="56"/>
  <c r="T5" i="56"/>
  <c r="O6" i="56"/>
  <c r="O19" i="56" s="1"/>
  <c r="Q6" i="56"/>
  <c r="Q19" i="56" s="1"/>
  <c r="R6" i="56"/>
  <c r="R19" i="56" s="1"/>
  <c r="T6" i="56"/>
  <c r="T19" i="56" s="1"/>
  <c r="T39" i="56"/>
  <c r="S39" i="56"/>
  <c r="AC108" i="50"/>
  <c r="AC77" i="50"/>
  <c r="AC76" i="50"/>
  <c r="AC75" i="50"/>
  <c r="AC74" i="50"/>
  <c r="AC72" i="50"/>
  <c r="AC67" i="50"/>
  <c r="AC65" i="50"/>
  <c r="AC54" i="50"/>
  <c r="AC52" i="50"/>
  <c r="AC41" i="50"/>
  <c r="P113" i="50"/>
  <c r="R53" i="50"/>
  <c r="Q173" i="50"/>
  <c r="P108" i="50"/>
  <c r="Q108" i="50"/>
  <c r="R108" i="50"/>
  <c r="S108" i="50"/>
  <c r="T108" i="50"/>
  <c r="U108" i="50"/>
  <c r="V108" i="50"/>
  <c r="W108" i="50"/>
  <c r="X108" i="50"/>
  <c r="Y108" i="50"/>
  <c r="Z108" i="50"/>
  <c r="AA108" i="50"/>
  <c r="AB108" i="50"/>
  <c r="AB77" i="50"/>
  <c r="AB76" i="50"/>
  <c r="AB75" i="50"/>
  <c r="AB74" i="50"/>
  <c r="AB72" i="50"/>
  <c r="AB67" i="50"/>
  <c r="AB65" i="50"/>
  <c r="AB54" i="50"/>
  <c r="AB52" i="50"/>
  <c r="AB41" i="50"/>
  <c r="O115" i="50"/>
  <c r="O174" i="50" s="1"/>
  <c r="Q165" i="50"/>
  <c r="R165" i="50"/>
  <c r="R193" i="50" s="1"/>
  <c r="P165" i="50"/>
  <c r="P193" i="50" s="1"/>
  <c r="P169" i="50"/>
  <c r="P194" i="50" s="1"/>
  <c r="Q169" i="50"/>
  <c r="Q194" i="50" s="1"/>
  <c r="R169" i="50"/>
  <c r="R194" i="50" s="1"/>
  <c r="S169" i="50"/>
  <c r="S194" i="50" s="1"/>
  <c r="T169" i="50"/>
  <c r="T194" i="50" s="1"/>
  <c r="U169" i="50"/>
  <c r="U194" i="50" s="1"/>
  <c r="V169" i="50"/>
  <c r="V194" i="50" s="1"/>
  <c r="P170" i="50"/>
  <c r="P195" i="50" s="1"/>
  <c r="Q170" i="50"/>
  <c r="Q195" i="50" s="1"/>
  <c r="R170" i="50"/>
  <c r="S170" i="50"/>
  <c r="S195" i="50" s="1"/>
  <c r="T170" i="50"/>
  <c r="T195" i="50" s="1"/>
  <c r="U170" i="50"/>
  <c r="U195" i="50" s="1"/>
  <c r="V170" i="50"/>
  <c r="V195" i="50" s="1"/>
  <c r="R42" i="56"/>
  <c r="R39" i="56"/>
  <c r="AA77" i="50"/>
  <c r="AA76" i="50"/>
  <c r="AA75" i="50"/>
  <c r="AA74" i="50"/>
  <c r="AA67" i="50"/>
  <c r="AA54" i="50"/>
  <c r="AA52" i="50"/>
  <c r="AA41" i="50"/>
  <c r="N115" i="50"/>
  <c r="N174" i="50" s="1"/>
  <c r="O113" i="50"/>
  <c r="O173" i="50" s="1"/>
  <c r="N119" i="50"/>
  <c r="E20" i="56"/>
  <c r="F20" i="56"/>
  <c r="G20" i="56"/>
  <c r="H20" i="56"/>
  <c r="I20" i="56"/>
  <c r="J20" i="56"/>
  <c r="K20" i="56"/>
  <c r="L20" i="56"/>
  <c r="O144" i="50"/>
  <c r="O169" i="50"/>
  <c r="O170" i="50"/>
  <c r="O195" i="50" s="1"/>
  <c r="I42" i="56"/>
  <c r="E42" i="56"/>
  <c r="F42" i="56"/>
  <c r="G42" i="56"/>
  <c r="H42" i="56"/>
  <c r="J42" i="56"/>
  <c r="K42" i="56"/>
  <c r="L42" i="56"/>
  <c r="M42" i="56"/>
  <c r="N42" i="56"/>
  <c r="P42" i="56"/>
  <c r="Q42" i="56"/>
  <c r="C20" i="56"/>
  <c r="E13" i="56"/>
  <c r="F13" i="56"/>
  <c r="G13" i="56"/>
  <c r="H13" i="56"/>
  <c r="I13" i="56"/>
  <c r="J13" i="56"/>
  <c r="K13" i="56"/>
  <c r="L13" i="56"/>
  <c r="M13" i="56"/>
  <c r="D13" i="56"/>
  <c r="E6" i="56"/>
  <c r="E19" i="56" s="1"/>
  <c r="F6" i="56"/>
  <c r="G6" i="56"/>
  <c r="G19" i="56" s="1"/>
  <c r="H6" i="56"/>
  <c r="H19" i="56" s="1"/>
  <c r="K6" i="56"/>
  <c r="K19" i="56" s="1"/>
  <c r="L6" i="56"/>
  <c r="L19" i="56" s="1"/>
  <c r="M6" i="56"/>
  <c r="M19" i="56" s="1"/>
  <c r="D6" i="56"/>
  <c r="D19" i="56" s="1"/>
  <c r="E4" i="56"/>
  <c r="F4" i="56"/>
  <c r="G4" i="56"/>
  <c r="H4" i="56"/>
  <c r="I4" i="56"/>
  <c r="K4" i="56"/>
  <c r="L4" i="56"/>
  <c r="M4" i="56"/>
  <c r="E5" i="56"/>
  <c r="F5" i="56"/>
  <c r="G5" i="56"/>
  <c r="H5" i="56"/>
  <c r="I5" i="56"/>
  <c r="J5" i="56"/>
  <c r="K5" i="56"/>
  <c r="L5" i="56"/>
  <c r="M5" i="56"/>
  <c r="D4" i="56"/>
  <c r="Q39" i="56"/>
  <c r="Z77" i="50"/>
  <c r="Z76" i="50"/>
  <c r="Z72" i="50"/>
  <c r="Z67" i="50"/>
  <c r="Z54" i="50"/>
  <c r="Z52" i="50"/>
  <c r="Z41" i="50"/>
  <c r="M133" i="50"/>
  <c r="M180" i="50" s="1"/>
  <c r="D42" i="56"/>
  <c r="P39" i="56"/>
  <c r="O39" i="56"/>
  <c r="N39" i="56"/>
  <c r="M39" i="56"/>
  <c r="L39" i="56"/>
  <c r="K39" i="56"/>
  <c r="J39" i="56"/>
  <c r="I39" i="56"/>
  <c r="H39" i="56"/>
  <c r="G39" i="56"/>
  <c r="F39" i="56"/>
  <c r="E39" i="56"/>
  <c r="D39" i="56"/>
  <c r="Z27" i="56"/>
  <c r="AA27" i="56" s="1"/>
  <c r="AB27" i="56" s="1"/>
  <c r="AC27" i="56" s="1"/>
  <c r="AD27" i="56" s="1"/>
  <c r="AE27" i="56" s="1"/>
  <c r="AF27" i="56" s="1"/>
  <c r="AG27" i="56" s="1"/>
  <c r="AH27" i="56" s="1"/>
  <c r="AI27" i="56" s="1"/>
  <c r="AJ27" i="56" s="1"/>
  <c r="AK27" i="56" s="1"/>
  <c r="AL27" i="56" s="1"/>
  <c r="AM27" i="56" s="1"/>
  <c r="L23" i="56"/>
  <c r="K23" i="56"/>
  <c r="J23" i="56"/>
  <c r="I23" i="56"/>
  <c r="H23" i="56"/>
  <c r="G23" i="56"/>
  <c r="F23" i="56"/>
  <c r="E23" i="56"/>
  <c r="D23" i="56"/>
  <c r="C23" i="56"/>
  <c r="C22" i="56"/>
  <c r="D20" i="56"/>
  <c r="C19" i="56"/>
  <c r="C17" i="56"/>
  <c r="C9" i="56"/>
  <c r="C7" i="56" s="1"/>
  <c r="C3" i="56"/>
  <c r="Z28" i="56"/>
  <c r="AA28" i="56" s="1"/>
  <c r="AB28" i="56" s="1"/>
  <c r="AC28" i="56" s="1"/>
  <c r="AD28" i="56" s="1"/>
  <c r="AE28" i="56" s="1"/>
  <c r="AF28" i="56" s="1"/>
  <c r="AG28" i="56" s="1"/>
  <c r="AH28" i="56" s="1"/>
  <c r="AI28" i="56" s="1"/>
  <c r="AJ28" i="56" s="1"/>
  <c r="AK28" i="56" s="1"/>
  <c r="AL28" i="56" s="1"/>
  <c r="AM28" i="56" s="1"/>
  <c r="R178" i="50"/>
  <c r="I12" i="56" s="1"/>
  <c r="L2" i="50"/>
  <c r="N169" i="50"/>
  <c r="N170" i="50"/>
  <c r="N195" i="50" s="1"/>
  <c r="N167" i="50"/>
  <c r="N193" i="50" s="1"/>
  <c r="M167" i="50"/>
  <c r="M193" i="50" s="1"/>
  <c r="M169" i="50"/>
  <c r="M194" i="50" s="1"/>
  <c r="M170" i="50"/>
  <c r="M195" i="50" s="1"/>
  <c r="R174" i="50"/>
  <c r="H174" i="50"/>
  <c r="F174" i="50"/>
  <c r="E174" i="50"/>
  <c r="E173" i="50"/>
  <c r="L170" i="50"/>
  <c r="L195" i="50" s="1"/>
  <c r="K170" i="50"/>
  <c r="J170" i="50"/>
  <c r="J195" i="50" s="1"/>
  <c r="I170" i="50"/>
  <c r="I195" i="50" s="1"/>
  <c r="H170" i="50"/>
  <c r="H195" i="50" s="1"/>
  <c r="G170" i="50"/>
  <c r="G195" i="50" s="1"/>
  <c r="F170" i="50"/>
  <c r="F195" i="50" s="1"/>
  <c r="E170" i="50"/>
  <c r="E195" i="50" s="1"/>
  <c r="L169" i="50"/>
  <c r="L194" i="50" s="1"/>
  <c r="K169" i="50"/>
  <c r="K194" i="50" s="1"/>
  <c r="J169" i="50"/>
  <c r="J194" i="50" s="1"/>
  <c r="I169" i="50"/>
  <c r="I194" i="50" s="1"/>
  <c r="H169" i="50"/>
  <c r="H194" i="50" s="1"/>
  <c r="G169" i="50"/>
  <c r="G194" i="50" s="1"/>
  <c r="F169" i="50"/>
  <c r="F194" i="50" s="1"/>
  <c r="E169" i="50"/>
  <c r="E194" i="50" s="1"/>
  <c r="L165" i="50"/>
  <c r="L193" i="50" s="1"/>
  <c r="K165" i="50"/>
  <c r="J165" i="50"/>
  <c r="J193" i="50" s="1"/>
  <c r="I165" i="50"/>
  <c r="H165" i="50"/>
  <c r="H193" i="50" s="1"/>
  <c r="G165" i="50"/>
  <c r="G193" i="50" s="1"/>
  <c r="F165" i="50"/>
  <c r="F193" i="50" s="1"/>
  <c r="E165" i="50"/>
  <c r="E193" i="50" s="1"/>
  <c r="H120" i="50"/>
  <c r="H180" i="50" s="1"/>
  <c r="G119" i="50"/>
  <c r="G180" i="50" s="1"/>
  <c r="F119" i="50"/>
  <c r="F180" i="50" s="1"/>
  <c r="G115" i="50"/>
  <c r="G174" i="50" s="1"/>
  <c r="I113" i="50"/>
  <c r="H113" i="50"/>
  <c r="G113" i="50"/>
  <c r="G173" i="50" s="1"/>
  <c r="L173" i="50"/>
  <c r="K173" i="50"/>
  <c r="F173" i="50"/>
  <c r="O108" i="50"/>
  <c r="N108" i="50"/>
  <c r="M108" i="50"/>
  <c r="L108" i="50"/>
  <c r="K108" i="50"/>
  <c r="J108" i="50"/>
  <c r="I108" i="50"/>
  <c r="H108" i="50"/>
  <c r="G108" i="50"/>
  <c r="F108" i="50"/>
  <c r="E108" i="50"/>
  <c r="O87" i="50"/>
  <c r="K87" i="50"/>
  <c r="Y77" i="50"/>
  <c r="X77" i="50"/>
  <c r="W77" i="50"/>
  <c r="V77" i="50"/>
  <c r="U77" i="50"/>
  <c r="T77" i="50"/>
  <c r="S77" i="50"/>
  <c r="R77" i="50"/>
  <c r="Q77" i="50"/>
  <c r="P77" i="50"/>
  <c r="O77" i="50"/>
  <c r="N77" i="50"/>
  <c r="M77" i="50"/>
  <c r="L77" i="50"/>
  <c r="K77" i="50"/>
  <c r="J77" i="50"/>
  <c r="I77" i="50"/>
  <c r="H77" i="50"/>
  <c r="G77" i="50"/>
  <c r="F77" i="50"/>
  <c r="E77" i="50"/>
  <c r="Y76" i="50"/>
  <c r="X76" i="50"/>
  <c r="W76" i="50"/>
  <c r="V76" i="50"/>
  <c r="U76" i="50"/>
  <c r="T76" i="50"/>
  <c r="S76" i="50"/>
  <c r="R76" i="50"/>
  <c r="Q76" i="50"/>
  <c r="P76" i="50"/>
  <c r="O76" i="50"/>
  <c r="N76" i="50"/>
  <c r="M76" i="50"/>
  <c r="L76" i="50"/>
  <c r="K76" i="50"/>
  <c r="J76" i="50"/>
  <c r="I76" i="50"/>
  <c r="H76" i="50"/>
  <c r="G76" i="50"/>
  <c r="F76" i="50"/>
  <c r="E76" i="50"/>
  <c r="Y75" i="50"/>
  <c r="X75" i="50"/>
  <c r="W75" i="50"/>
  <c r="U75" i="50"/>
  <c r="T75" i="50"/>
  <c r="S75" i="50"/>
  <c r="R75" i="50"/>
  <c r="Q75" i="50"/>
  <c r="P75" i="50"/>
  <c r="O75" i="50"/>
  <c r="N75" i="50"/>
  <c r="M75" i="50"/>
  <c r="L75" i="50"/>
  <c r="K75" i="50"/>
  <c r="J75" i="50"/>
  <c r="I75" i="50"/>
  <c r="H75" i="50"/>
  <c r="G75" i="50"/>
  <c r="F75" i="50"/>
  <c r="E75" i="50"/>
  <c r="Y74" i="50"/>
  <c r="X74" i="50"/>
  <c r="W74" i="50"/>
  <c r="V74" i="50"/>
  <c r="U74" i="50"/>
  <c r="T74" i="50"/>
  <c r="S74" i="50"/>
  <c r="R74" i="50"/>
  <c r="Q74" i="50"/>
  <c r="P74" i="50"/>
  <c r="O74" i="50"/>
  <c r="N74" i="50"/>
  <c r="L74" i="50"/>
  <c r="K74" i="50"/>
  <c r="J74" i="50"/>
  <c r="I74" i="50"/>
  <c r="H74" i="50"/>
  <c r="G74" i="50"/>
  <c r="F74" i="50"/>
  <c r="E74" i="50"/>
  <c r="Y72" i="50"/>
  <c r="X72" i="50"/>
  <c r="W72" i="50"/>
  <c r="V72" i="50"/>
  <c r="U72" i="50"/>
  <c r="T72" i="50"/>
  <c r="R72" i="50"/>
  <c r="Q72" i="50"/>
  <c r="P72" i="50"/>
  <c r="O72" i="50"/>
  <c r="N72" i="50"/>
  <c r="M72" i="50"/>
  <c r="L72" i="50"/>
  <c r="K72" i="50"/>
  <c r="J72" i="50"/>
  <c r="I72" i="50"/>
  <c r="H72" i="50"/>
  <c r="G72" i="50"/>
  <c r="F72" i="50"/>
  <c r="E72" i="50"/>
  <c r="Y67" i="50"/>
  <c r="X67" i="50"/>
  <c r="W67" i="50"/>
  <c r="V67" i="50"/>
  <c r="U67" i="50"/>
  <c r="T67" i="50"/>
  <c r="S67" i="50"/>
  <c r="R67" i="50"/>
  <c r="Q67" i="50"/>
  <c r="P67" i="50"/>
  <c r="O67" i="50"/>
  <c r="N67" i="50"/>
  <c r="M67" i="50"/>
  <c r="L67" i="50"/>
  <c r="K67" i="50"/>
  <c r="J67" i="50"/>
  <c r="I67" i="50"/>
  <c r="H67" i="50"/>
  <c r="G67" i="50"/>
  <c r="F67" i="50"/>
  <c r="E67" i="50"/>
  <c r="Y65" i="50"/>
  <c r="X65" i="50"/>
  <c r="W65" i="50"/>
  <c r="U65" i="50"/>
  <c r="T65" i="50"/>
  <c r="R65" i="50"/>
  <c r="Q65" i="50"/>
  <c r="P65" i="50"/>
  <c r="O65" i="50"/>
  <c r="N65" i="50"/>
  <c r="L65" i="50"/>
  <c r="K65" i="50"/>
  <c r="J65" i="50"/>
  <c r="I65" i="50"/>
  <c r="H65" i="50"/>
  <c r="G65" i="50"/>
  <c r="F65" i="50"/>
  <c r="E65" i="50"/>
  <c r="M61" i="50"/>
  <c r="D5" i="56" s="1"/>
  <c r="Y54" i="50"/>
  <c r="X54" i="50"/>
  <c r="W54" i="50"/>
  <c r="V54" i="50"/>
  <c r="U54" i="50"/>
  <c r="T54" i="50"/>
  <c r="S54" i="50"/>
  <c r="R54" i="50"/>
  <c r="Q54" i="50"/>
  <c r="P54" i="50"/>
  <c r="O54" i="50"/>
  <c r="N54" i="50"/>
  <c r="M54" i="50"/>
  <c r="L54" i="50"/>
  <c r="K54" i="50"/>
  <c r="J54" i="50"/>
  <c r="I54" i="50"/>
  <c r="H54" i="50"/>
  <c r="G54" i="50"/>
  <c r="F54" i="50"/>
  <c r="E54" i="50"/>
  <c r="Y52" i="50"/>
  <c r="X52" i="50"/>
  <c r="W52" i="50"/>
  <c r="V52" i="50"/>
  <c r="U52" i="50"/>
  <c r="T52" i="50"/>
  <c r="S52" i="50"/>
  <c r="R52" i="50"/>
  <c r="Q52" i="50"/>
  <c r="P52" i="50"/>
  <c r="O52" i="50"/>
  <c r="N52" i="50"/>
  <c r="M52" i="50"/>
  <c r="L52" i="50"/>
  <c r="K52" i="50"/>
  <c r="J52" i="50"/>
  <c r="I52" i="50"/>
  <c r="H52" i="50"/>
  <c r="G52" i="50"/>
  <c r="F52" i="50"/>
  <c r="E52" i="50"/>
  <c r="Y41" i="50"/>
  <c r="X41" i="50"/>
  <c r="W41" i="50"/>
  <c r="V41" i="50"/>
  <c r="U41" i="50"/>
  <c r="T41" i="50"/>
  <c r="S41" i="50"/>
  <c r="R41" i="50"/>
  <c r="Q41" i="50"/>
  <c r="P41" i="50"/>
  <c r="O41" i="50"/>
  <c r="N41" i="50"/>
  <c r="M41" i="50"/>
  <c r="L41" i="50"/>
  <c r="K41" i="50"/>
  <c r="J41" i="50"/>
  <c r="I41" i="50"/>
  <c r="H41" i="50"/>
  <c r="G41" i="50"/>
  <c r="F41" i="50"/>
  <c r="E41" i="50"/>
  <c r="L9" i="50"/>
  <c r="L8" i="50"/>
  <c r="H8" i="50"/>
  <c r="L7" i="50"/>
  <c r="K7" i="50"/>
  <c r="J7" i="50"/>
  <c r="I7" i="50"/>
  <c r="H7" i="50"/>
  <c r="G7" i="50"/>
  <c r="F7" i="50"/>
  <c r="E7" i="50"/>
  <c r="M87" i="50"/>
  <c r="M7" i="50"/>
  <c r="M2" i="50"/>
  <c r="D14" i="56" s="1"/>
  <c r="D34" i="56" s="1"/>
  <c r="D40" i="56" s="1"/>
  <c r="O7" i="50"/>
  <c r="N2" i="50"/>
  <c r="E14" i="56" s="1"/>
  <c r="E34" i="56" s="1"/>
  <c r="E40" i="56" s="1"/>
  <c r="N7" i="50"/>
  <c r="O2" i="50"/>
  <c r="F14" i="56" s="1"/>
  <c r="F34" i="56" s="1"/>
  <c r="F40" i="56" s="1"/>
  <c r="P87" i="50"/>
  <c r="Q87" i="50"/>
  <c r="P2" i="50"/>
  <c r="G14" i="56" s="1"/>
  <c r="G34" i="56" s="1"/>
  <c r="G40" i="56" s="1"/>
  <c r="P7" i="50"/>
  <c r="Q7" i="50"/>
  <c r="Q2" i="50"/>
  <c r="H14" i="56" s="1"/>
  <c r="H34" i="56" s="1"/>
  <c r="H40" i="56" s="1"/>
  <c r="R7" i="50"/>
  <c r="R2" i="50"/>
  <c r="I14" i="56" s="1"/>
  <c r="I34" i="56" s="1"/>
  <c r="I40" i="56" s="1"/>
  <c r="S7" i="50"/>
  <c r="S2" i="50"/>
  <c r="J14" i="56" s="1"/>
  <c r="J34" i="56" s="1"/>
  <c r="J40" i="56" s="1"/>
  <c r="T7" i="50"/>
  <c r="T2" i="50"/>
  <c r="K14" i="56" s="1"/>
  <c r="K34" i="56" s="1"/>
  <c r="K40" i="56" s="1"/>
  <c r="T25" i="50"/>
  <c r="U7" i="50"/>
  <c r="U2" i="50"/>
  <c r="L14" i="56" s="1"/>
  <c r="L34" i="56" s="1"/>
  <c r="L40" i="56" s="1"/>
  <c r="U25" i="50"/>
  <c r="V2" i="50"/>
  <c r="M14" i="56" s="1"/>
  <c r="M34" i="56" s="1"/>
  <c r="M40" i="56" s="1"/>
  <c r="V25" i="50"/>
  <c r="W2" i="50"/>
  <c r="N14" i="56" s="1"/>
  <c r="N34" i="56" s="1"/>
  <c r="N40" i="56" s="1"/>
  <c r="X2" i="50"/>
  <c r="O14" i="56" s="1"/>
  <c r="O34" i="56" s="1"/>
  <c r="O40" i="56" s="1"/>
  <c r="V18" i="50"/>
  <c r="X18" i="50"/>
  <c r="W18" i="50"/>
  <c r="Y18" i="50"/>
  <c r="Y25" i="50"/>
  <c r="Y2" i="50"/>
  <c r="P14" i="56" s="1"/>
  <c r="P34" i="56" s="1"/>
  <c r="P40" i="56" s="1"/>
  <c r="AC19" i="50"/>
  <c r="Z7" i="50"/>
  <c r="Z2" i="50"/>
  <c r="Q14" i="56" s="1"/>
  <c r="Q34" i="56" s="1"/>
  <c r="Q40" i="56" s="1"/>
  <c r="AA2" i="50"/>
  <c r="R14" i="56" s="1"/>
  <c r="R34" i="56" s="1"/>
  <c r="R40" i="56" s="1"/>
  <c r="AA18" i="50"/>
  <c r="AA7" i="50"/>
  <c r="AB18" i="50"/>
  <c r="AB2" i="50"/>
  <c r="S14" i="56" s="1"/>
  <c r="S34" i="56" s="1"/>
  <c r="S40" i="56" s="1"/>
  <c r="AB7" i="50"/>
  <c r="AC2" i="50"/>
  <c r="T14" i="56" s="1"/>
  <c r="T34" i="56" s="1"/>
  <c r="T40" i="56" s="1"/>
  <c r="AC7" i="50"/>
  <c r="AC18" i="50"/>
  <c r="AZ56" i="50" l="1"/>
  <c r="AD81" i="50"/>
  <c r="AD85" i="50" s="1"/>
  <c r="AD83" i="50"/>
  <c r="Z91" i="50"/>
  <c r="Z89" i="50"/>
  <c r="AC81" i="50"/>
  <c r="AC85" i="50" s="1"/>
  <c r="AC83" i="50"/>
  <c r="Y180" i="50"/>
  <c r="Y87" i="50"/>
  <c r="S6" i="56"/>
  <c r="S19" i="56" s="1"/>
  <c r="S18" i="56" s="1"/>
  <c r="AB87" i="50"/>
  <c r="AI78" i="50"/>
  <c r="AX113" i="50"/>
  <c r="CL7" i="111"/>
  <c r="AX116" i="50"/>
  <c r="AX115" i="50"/>
  <c r="AX110" i="50"/>
  <c r="Y107" i="50"/>
  <c r="AX109" i="50"/>
  <c r="T33" i="56"/>
  <c r="T37" i="56" s="1"/>
  <c r="AX98" i="50"/>
  <c r="Y195" i="50"/>
  <c r="AA107" i="50"/>
  <c r="AA53" i="50" s="1"/>
  <c r="W107" i="50"/>
  <c r="W173" i="50" s="1"/>
  <c r="W172" i="50" s="1"/>
  <c r="N8" i="56" s="1"/>
  <c r="Z107" i="50"/>
  <c r="Z53" i="50" s="1"/>
  <c r="Z32" i="56"/>
  <c r="Z29" i="56"/>
  <c r="AA29" i="56" s="1"/>
  <c r="AB29" i="56" s="1"/>
  <c r="AC29" i="56" s="1"/>
  <c r="AD29" i="56" s="1"/>
  <c r="AE29" i="56" s="1"/>
  <c r="AF29" i="56" s="1"/>
  <c r="AG29" i="56" s="1"/>
  <c r="AH29" i="56" s="1"/>
  <c r="AI29" i="56" s="1"/>
  <c r="AJ29" i="56" s="1"/>
  <c r="AK29" i="56" s="1"/>
  <c r="AL29" i="56" s="1"/>
  <c r="AM29" i="56" s="1"/>
  <c r="AH215" i="50"/>
  <c r="BR14" i="111"/>
  <c r="BK19" i="111"/>
  <c r="CJ7" i="111"/>
  <c r="CK7" i="111" s="1"/>
  <c r="M15" i="111"/>
  <c r="AA29" i="111"/>
  <c r="AE29" i="111"/>
  <c r="AO192" i="50"/>
  <c r="AO175" i="50"/>
  <c r="AE181" i="50"/>
  <c r="AE182" i="50" s="1"/>
  <c r="AE197" i="50" s="1"/>
  <c r="AE175" i="50"/>
  <c r="AD175" i="50"/>
  <c r="AB177" i="50"/>
  <c r="S11" i="56" s="1"/>
  <c r="S22" i="56" s="1"/>
  <c r="S21" i="56" s="1"/>
  <c r="AD29" i="111"/>
  <c r="I25" i="129"/>
  <c r="AD37" i="50"/>
  <c r="AE37" i="50" s="1"/>
  <c r="AE38" i="50" s="1"/>
  <c r="L16" i="129"/>
  <c r="L19" i="129" s="1"/>
  <c r="L28" i="129" s="1"/>
  <c r="L37" i="129" s="1"/>
  <c r="L32" i="129" s="1"/>
  <c r="L35" i="129" s="1"/>
  <c r="L38" i="129"/>
  <c r="L33" i="129" s="1"/>
  <c r="L36" i="129" s="1"/>
  <c r="AK69" i="50"/>
  <c r="AJ69" i="50"/>
  <c r="AL69" i="50"/>
  <c r="AH69" i="50"/>
  <c r="AN69" i="50"/>
  <c r="AI69" i="50"/>
  <c r="AO69" i="50"/>
  <c r="AG69" i="50"/>
  <c r="AM69" i="50"/>
  <c r="AX119" i="50"/>
  <c r="AP69" i="50"/>
  <c r="R4" i="56"/>
  <c r="R3" i="56" s="1"/>
  <c r="AA96" i="50"/>
  <c r="AE192" i="50"/>
  <c r="N96" i="50"/>
  <c r="V19" i="50"/>
  <c r="AC95" i="50"/>
  <c r="AK192" i="50"/>
  <c r="AC96" i="50"/>
  <c r="BK16" i="111"/>
  <c r="BK15" i="111" s="1"/>
  <c r="AC177" i="50"/>
  <c r="T11" i="56" s="1"/>
  <c r="T22" i="56" s="1"/>
  <c r="T21" i="56" s="1"/>
  <c r="Z30" i="50"/>
  <c r="Z32" i="50" s="1"/>
  <c r="Z19" i="50"/>
  <c r="AD19" i="50"/>
  <c r="AA42" i="56"/>
  <c r="BA23" i="111"/>
  <c r="AE172" i="50"/>
  <c r="V8" i="56" s="1"/>
  <c r="K172" i="50"/>
  <c r="K41" i="56"/>
  <c r="BN2" i="111"/>
  <c r="J41" i="56"/>
  <c r="AA65" i="50"/>
  <c r="AB95" i="50"/>
  <c r="AM16" i="111"/>
  <c r="AM15" i="111" s="1"/>
  <c r="AB96" i="50"/>
  <c r="AA72" i="50"/>
  <c r="AA78" i="50" s="1"/>
  <c r="AA56" i="50"/>
  <c r="AA69" i="50" s="1"/>
  <c r="AA185" i="50"/>
  <c r="AJ192" i="50"/>
  <c r="BA19" i="111"/>
  <c r="AA19" i="50"/>
  <c r="M18" i="56"/>
  <c r="BK13" i="111"/>
  <c r="BK14" i="111" s="1"/>
  <c r="AC97" i="50"/>
  <c r="G3" i="56"/>
  <c r="F15" i="111"/>
  <c r="O15" i="111"/>
  <c r="AI15" i="111"/>
  <c r="S176" i="50"/>
  <c r="J10" i="56" s="1"/>
  <c r="AL192" i="50"/>
  <c r="AD192" i="50"/>
  <c r="AB19" i="50"/>
  <c r="V174" i="50"/>
  <c r="V172" i="50" s="1"/>
  <c r="M8" i="56" s="1"/>
  <c r="AD177" i="50"/>
  <c r="U11" i="56" s="1"/>
  <c r="U17" i="56" s="1"/>
  <c r="G41" i="56"/>
  <c r="I175" i="50"/>
  <c r="AD97" i="50"/>
  <c r="S72" i="50"/>
  <c r="S78" i="50" s="1"/>
  <c r="AD95" i="50"/>
  <c r="AR16" i="111"/>
  <c r="AR15" i="111" s="1"/>
  <c r="AD96" i="50"/>
  <c r="AA174" i="50"/>
  <c r="AB79" i="50"/>
  <c r="AB83" i="50" s="1"/>
  <c r="AF174" i="50"/>
  <c r="AB29" i="111"/>
  <c r="L96" i="50"/>
  <c r="AB97" i="50"/>
  <c r="Z16" i="50"/>
  <c r="Z18" i="50" s="1"/>
  <c r="R41" i="56"/>
  <c r="AB53" i="50"/>
  <c r="AB175" i="50"/>
  <c r="AF18" i="50"/>
  <c r="AC16" i="111"/>
  <c r="AC15" i="111" s="1"/>
  <c r="AF18" i="56"/>
  <c r="AH13" i="111"/>
  <c r="AH14" i="111" s="1"/>
  <c r="AP53" i="50"/>
  <c r="M41" i="56"/>
  <c r="J181" i="50"/>
  <c r="U179" i="50"/>
  <c r="Q18" i="56"/>
  <c r="AX8" i="50"/>
  <c r="W97" i="50"/>
  <c r="F172" i="50"/>
  <c r="BA15" i="111"/>
  <c r="BN14" i="111"/>
  <c r="AX15" i="111"/>
  <c r="AE96" i="50"/>
  <c r="P95" i="50"/>
  <c r="P41" i="56"/>
  <c r="N172" i="50"/>
  <c r="E8" i="56" s="1"/>
  <c r="W185" i="50"/>
  <c r="AF16" i="111"/>
  <c r="AF15" i="111" s="1"/>
  <c r="Q41" i="56"/>
  <c r="AZ13" i="111"/>
  <c r="AZ14" i="111" s="1"/>
  <c r="AA18" i="56"/>
  <c r="G19" i="129"/>
  <c r="BO16" i="111"/>
  <c r="BO15" i="111" s="1"/>
  <c r="BM16" i="111"/>
  <c r="BM15" i="111" s="1"/>
  <c r="BI16" i="111"/>
  <c r="BI15" i="111" s="1"/>
  <c r="G38" i="129"/>
  <c r="G33" i="129" s="1"/>
  <c r="G36" i="129" s="1"/>
  <c r="BP13" i="111"/>
  <c r="BP14" i="111" s="1"/>
  <c r="AC29" i="111"/>
  <c r="O53" i="50"/>
  <c r="H15" i="111"/>
  <c r="AA181" i="50"/>
  <c r="AA182" i="50" s="1"/>
  <c r="X19" i="50"/>
  <c r="K17" i="111"/>
  <c r="K15" i="111" s="1"/>
  <c r="D41" i="56"/>
  <c r="AO19" i="111"/>
  <c r="AC181" i="50"/>
  <c r="AC182" i="50" s="1"/>
  <c r="AC197" i="50" s="1"/>
  <c r="T18" i="56"/>
  <c r="S97" i="50"/>
  <c r="R97" i="50"/>
  <c r="BI20" i="111"/>
  <c r="BI13" i="111"/>
  <c r="BI14" i="111" s="1"/>
  <c r="AY13" i="111"/>
  <c r="AY14" i="111" s="1"/>
  <c r="D15" i="111"/>
  <c r="W15" i="111"/>
  <c r="V11" i="56"/>
  <c r="V17" i="56" s="1"/>
  <c r="U190" i="50"/>
  <c r="AB3" i="56"/>
  <c r="Q38" i="129"/>
  <c r="Q33" i="129" s="1"/>
  <c r="Q36" i="129" s="1"/>
  <c r="AE18" i="56"/>
  <c r="AB174" i="50"/>
  <c r="AB172" i="50" s="1"/>
  <c r="S8" i="56" s="1"/>
  <c r="AD53" i="50"/>
  <c r="AP195" i="50"/>
  <c r="U78" i="50"/>
  <c r="T181" i="50"/>
  <c r="T182" i="50" s="1"/>
  <c r="BN16" i="111"/>
  <c r="BN15" i="111" s="1"/>
  <c r="L177" i="50"/>
  <c r="Y174" i="50"/>
  <c r="D3" i="56"/>
  <c r="V65" i="50"/>
  <c r="X174" i="50"/>
  <c r="X172" i="50" s="1"/>
  <c r="O8" i="56" s="1"/>
  <c r="BN19" i="111"/>
  <c r="AE97" i="50"/>
  <c r="BJ16" i="111"/>
  <c r="BJ15" i="111" s="1"/>
  <c r="AC179" i="50"/>
  <c r="T97" i="50"/>
  <c r="V165" i="50"/>
  <c r="V193" i="50" s="1"/>
  <c r="N97" i="50"/>
  <c r="N95" i="50"/>
  <c r="Y179" i="50"/>
  <c r="Q172" i="50"/>
  <c r="H8" i="56" s="1"/>
  <c r="BD13" i="111"/>
  <c r="BD14" i="111" s="1"/>
  <c r="BG25" i="111"/>
  <c r="AN16" i="111"/>
  <c r="AN15" i="111" s="1"/>
  <c r="Y15" i="111"/>
  <c r="R96" i="50"/>
  <c r="AE95" i="50"/>
  <c r="BT13" i="111"/>
  <c r="AM192" i="50"/>
  <c r="H41" i="56"/>
  <c r="N87" i="50"/>
  <c r="AM13" i="111"/>
  <c r="AM14" i="111" s="1"/>
  <c r="BG13" i="111"/>
  <c r="BG14" i="111" s="1"/>
  <c r="Q17" i="111"/>
  <c r="Q15" i="111" s="1"/>
  <c r="W192" i="50"/>
  <c r="W180" i="50"/>
  <c r="AC173" i="50"/>
  <c r="AC172" i="50" s="1"/>
  <c r="AC171" i="50" s="1"/>
  <c r="L18" i="56"/>
  <c r="T95" i="50"/>
  <c r="BJ13" i="111"/>
  <c r="BJ14" i="111" s="1"/>
  <c r="BG16" i="111"/>
  <c r="BG15" i="111" s="1"/>
  <c r="AS16" i="111"/>
  <c r="AS15" i="111" s="1"/>
  <c r="BJ24" i="111"/>
  <c r="BK24" i="111" s="1"/>
  <c r="AX17" i="50"/>
  <c r="X177" i="50"/>
  <c r="O11" i="56" s="1"/>
  <c r="O22" i="56" s="1"/>
  <c r="O21" i="56" s="1"/>
  <c r="X181" i="50"/>
  <c r="X182" i="50" s="1"/>
  <c r="X197" i="50" s="1"/>
  <c r="X97" i="50"/>
  <c r="R95" i="50"/>
  <c r="I6" i="56"/>
  <c r="I19" i="56" s="1"/>
  <c r="I18" i="56" s="1"/>
  <c r="W95" i="50"/>
  <c r="AY23" i="111"/>
  <c r="BY16" i="111"/>
  <c r="BY15" i="111" s="1"/>
  <c r="R78" i="50"/>
  <c r="R195" i="50"/>
  <c r="H190" i="50"/>
  <c r="N21" i="56"/>
  <c r="J179" i="50"/>
  <c r="Z65" i="50"/>
  <c r="BD23" i="111"/>
  <c r="AG13" i="111"/>
  <c r="AG11" i="111" s="1"/>
  <c r="AG12" i="111" s="1"/>
  <c r="S15" i="111"/>
  <c r="V15" i="111"/>
  <c r="AP192" i="50"/>
  <c r="CB16" i="111"/>
  <c r="CB15" i="111" s="1"/>
  <c r="K181" i="50"/>
  <c r="N53" i="50"/>
  <c r="Y19" i="50"/>
  <c r="AZ23" i="111"/>
  <c r="AB16" i="111"/>
  <c r="AB15" i="111" s="1"/>
  <c r="AP19" i="50"/>
  <c r="I181" i="50"/>
  <c r="I41" i="56"/>
  <c r="U97" i="50"/>
  <c r="K95" i="50"/>
  <c r="T3" i="56"/>
  <c r="X53" i="50"/>
  <c r="Z13" i="111"/>
  <c r="Z14" i="111" s="1"/>
  <c r="E15" i="111"/>
  <c r="S190" i="50"/>
  <c r="I177" i="50"/>
  <c r="X95" i="50"/>
  <c r="Z173" i="50"/>
  <c r="Z172" i="50" s="1"/>
  <c r="Q8" i="56" s="1"/>
  <c r="AG172" i="50"/>
  <c r="G172" i="50"/>
  <c r="U95" i="50"/>
  <c r="BO13" i="111"/>
  <c r="BO14" i="111" s="1"/>
  <c r="K177" i="50"/>
  <c r="AG179" i="50"/>
  <c r="AL195" i="50"/>
  <c r="BM13" i="111"/>
  <c r="BM14" i="111" s="1"/>
  <c r="AG18" i="56"/>
  <c r="K195" i="50"/>
  <c r="H173" i="50"/>
  <c r="H172" i="50" s="1"/>
  <c r="AD181" i="50"/>
  <c r="AD182" i="50" s="1"/>
  <c r="AD197" i="50" s="1"/>
  <c r="BD16" i="111"/>
  <c r="BD15" i="111" s="1"/>
  <c r="AW16" i="111"/>
  <c r="AW15" i="111" s="1"/>
  <c r="BE19" i="111"/>
  <c r="G15" i="111"/>
  <c r="P15" i="111"/>
  <c r="AB181" i="50"/>
  <c r="AB182" i="50" s="1"/>
  <c r="AB197" i="50" s="1"/>
  <c r="AC101" i="50"/>
  <c r="BQ23" i="111"/>
  <c r="BR23" i="111" s="1"/>
  <c r="BS23" i="111" s="1"/>
  <c r="AA81" i="50"/>
  <c r="P38" i="129"/>
  <c r="P33" i="129" s="1"/>
  <c r="P36" i="129" s="1"/>
  <c r="AD18" i="56"/>
  <c r="BU16" i="111"/>
  <c r="BU15" i="111" s="1"/>
  <c r="K19" i="129"/>
  <c r="K28" i="129" s="1"/>
  <c r="K29" i="129" s="1"/>
  <c r="K18" i="129"/>
  <c r="N19" i="56"/>
  <c r="N18" i="56" s="1"/>
  <c r="N3" i="56"/>
  <c r="L15" i="111"/>
  <c r="AE193" i="50"/>
  <c r="Y96" i="50"/>
  <c r="U37" i="56"/>
  <c r="AH172" i="50"/>
  <c r="BY13" i="111"/>
  <c r="BY14" i="111" s="1"/>
  <c r="E38" i="129"/>
  <c r="E33" i="129" s="1"/>
  <c r="E36" i="129" s="1"/>
  <c r="H28" i="129"/>
  <c r="H29" i="129" s="1"/>
  <c r="AP172" i="50"/>
  <c r="O3" i="56"/>
  <c r="X190" i="50"/>
  <c r="W96" i="50"/>
  <c r="BU13" i="111"/>
  <c r="BU14" i="111" s="1"/>
  <c r="AX189" i="50"/>
  <c r="AX123" i="50"/>
  <c r="Q97" i="50"/>
  <c r="Q95" i="50"/>
  <c r="U175" i="50"/>
  <c r="U171" i="50" s="1"/>
  <c r="AM19" i="111"/>
  <c r="AY19" i="111"/>
  <c r="AF179" i="50"/>
  <c r="AH195" i="50"/>
  <c r="Q192" i="50"/>
  <c r="AA192" i="50"/>
  <c r="BT16" i="111"/>
  <c r="BT15" i="111" s="1"/>
  <c r="S37" i="56"/>
  <c r="E28" i="129"/>
  <c r="E37" i="129" s="1"/>
  <c r="T38" i="129"/>
  <c r="T33" i="129" s="1"/>
  <c r="T36" i="129" s="1"/>
  <c r="H18" i="56"/>
  <c r="J175" i="50"/>
  <c r="O78" i="50"/>
  <c r="W78" i="50"/>
  <c r="K190" i="50"/>
  <c r="N185" i="50"/>
  <c r="G18" i="56"/>
  <c r="G16" i="56" s="1"/>
  <c r="Y175" i="50"/>
  <c r="U181" i="50"/>
  <c r="U182" i="50" s="1"/>
  <c r="AB179" i="50"/>
  <c r="AC175" i="50"/>
  <c r="P3" i="56"/>
  <c r="U18" i="56"/>
  <c r="AN19" i="111"/>
  <c r="AR13" i="111"/>
  <c r="AR14" i="111" s="1"/>
  <c r="AO13" i="111"/>
  <c r="AO14" i="111" s="1"/>
  <c r="N17" i="111"/>
  <c r="N15" i="111" s="1"/>
  <c r="AI179" i="50"/>
  <c r="BU19" i="111"/>
  <c r="Y3" i="56"/>
  <c r="AA176" i="50"/>
  <c r="R10" i="56" s="1"/>
  <c r="R9" i="56" s="1"/>
  <c r="AB18" i="56"/>
  <c r="Q16" i="129"/>
  <c r="Q18" i="129" s="1"/>
  <c r="Y97" i="50"/>
  <c r="Q53" i="50"/>
  <c r="P97" i="50"/>
  <c r="Y95" i="50"/>
  <c r="AD18" i="50"/>
  <c r="L41" i="56"/>
  <c r="J190" i="50"/>
  <c r="X78" i="50"/>
  <c r="M185" i="50"/>
  <c r="C18" i="56"/>
  <c r="C16" i="56" s="1"/>
  <c r="X175" i="50"/>
  <c r="V95" i="50"/>
  <c r="W87" i="50"/>
  <c r="Z16" i="111"/>
  <c r="Z15" i="111" s="1"/>
  <c r="AS13" i="111"/>
  <c r="AS14" i="111" s="1"/>
  <c r="AO15" i="111"/>
  <c r="AF78" i="50"/>
  <c r="AH192" i="50"/>
  <c r="AI192" i="50"/>
  <c r="AG192" i="50"/>
  <c r="D28" i="129"/>
  <c r="N9" i="56"/>
  <c r="S41" i="56"/>
  <c r="AF53" i="50"/>
  <c r="V97" i="50"/>
  <c r="R175" i="50"/>
  <c r="F41" i="56"/>
  <c r="L172" i="50"/>
  <c r="O172" i="50"/>
  <c r="F8" i="56" s="1"/>
  <c r="Y181" i="50"/>
  <c r="Y182" i="50" s="1"/>
  <c r="Y197" i="50" s="1"/>
  <c r="R173" i="50"/>
  <c r="R172" i="50" s="1"/>
  <c r="I8" i="56" s="1"/>
  <c r="P18" i="56"/>
  <c r="M172" i="50"/>
  <c r="D8" i="56" s="1"/>
  <c r="BG23" i="111"/>
  <c r="AW13" i="111"/>
  <c r="AW14" i="111" s="1"/>
  <c r="V18" i="56"/>
  <c r="X18" i="56"/>
  <c r="Q177" i="50"/>
  <c r="H11" i="56" s="1"/>
  <c r="H22" i="56" s="1"/>
  <c r="H21" i="56" s="1"/>
  <c r="Z18" i="56"/>
  <c r="L190" i="50"/>
  <c r="Y190" i="50"/>
  <c r="X185" i="50"/>
  <c r="BH23" i="111"/>
  <c r="C15" i="111"/>
  <c r="Y177" i="50"/>
  <c r="P11" i="56" s="1"/>
  <c r="P9" i="56" s="1"/>
  <c r="X3" i="56"/>
  <c r="W3" i="56"/>
  <c r="AE18" i="50"/>
  <c r="AB13" i="111"/>
  <c r="AB14" i="111" s="1"/>
  <c r="AU13" i="111"/>
  <c r="AU14" i="111" s="1"/>
  <c r="AU19" i="111"/>
  <c r="BB23" i="111"/>
  <c r="BB19" i="111"/>
  <c r="O96" i="50"/>
  <c r="O177" i="50"/>
  <c r="F11" i="56" s="1"/>
  <c r="F9" i="56" s="1"/>
  <c r="O192" i="50"/>
  <c r="AK195" i="50"/>
  <c r="AK179" i="50"/>
  <c r="CA20" i="111"/>
  <c r="CA16" i="111"/>
  <c r="CA15" i="111" s="1"/>
  <c r="L181" i="50"/>
  <c r="L175" i="50"/>
  <c r="L179" i="50"/>
  <c r="M53" i="50"/>
  <c r="M176" i="50"/>
  <c r="D10" i="56" s="1"/>
  <c r="M3" i="56"/>
  <c r="E3" i="56"/>
  <c r="AA179" i="50"/>
  <c r="AA13" i="111"/>
  <c r="AA14" i="111" s="1"/>
  <c r="AA19" i="111"/>
  <c r="AV16" i="111"/>
  <c r="AV15" i="111" s="1"/>
  <c r="AV19" i="111"/>
  <c r="BC23" i="111"/>
  <c r="BC13" i="111"/>
  <c r="BC14" i="111" s="1"/>
  <c r="V192" i="50"/>
  <c r="V177" i="50"/>
  <c r="M11" i="56" s="1"/>
  <c r="M22" i="56" s="1"/>
  <c r="M21" i="56" s="1"/>
  <c r="X193" i="50"/>
  <c r="X179" i="50"/>
  <c r="T190" i="50"/>
  <c r="AE194" i="50"/>
  <c r="AE179" i="50"/>
  <c r="W181" i="50"/>
  <c r="W182" i="50" s="1"/>
  <c r="W197" i="50" s="1"/>
  <c r="W179" i="50"/>
  <c r="AA175" i="50"/>
  <c r="AA95" i="50"/>
  <c r="I173" i="50"/>
  <c r="I172" i="50" s="1"/>
  <c r="V53" i="50"/>
  <c r="U173" i="50"/>
  <c r="U172" i="50" s="1"/>
  <c r="U53" i="50"/>
  <c r="AE78" i="50"/>
  <c r="AD30" i="50"/>
  <c r="AE30" i="50" s="1"/>
  <c r="AF30" i="50" s="1"/>
  <c r="AD24" i="50"/>
  <c r="AD25" i="50" s="1"/>
  <c r="BZ19" i="111"/>
  <c r="BZ13" i="111"/>
  <c r="BZ14" i="111" s="1"/>
  <c r="BZ16" i="111"/>
  <c r="BZ15" i="111" s="1"/>
  <c r="R22" i="56"/>
  <c r="R21" i="56" s="1"/>
  <c r="AA97" i="50"/>
  <c r="E41" i="56"/>
  <c r="F190" i="50"/>
  <c r="K179" i="50"/>
  <c r="I190" i="50"/>
  <c r="I193" i="50"/>
  <c r="I179" i="50"/>
  <c r="E172" i="50"/>
  <c r="K18" i="56"/>
  <c r="Q193" i="50"/>
  <c r="Q190" i="50"/>
  <c r="J172" i="50"/>
  <c r="BL13" i="111"/>
  <c r="BL14" i="111" s="1"/>
  <c r="BC19" i="111"/>
  <c r="BE15" i="111"/>
  <c r="X19" i="111"/>
  <c r="X16" i="111"/>
  <c r="X15" i="111" s="1"/>
  <c r="X13" i="111"/>
  <c r="X14" i="111" s="1"/>
  <c r="AD16" i="111"/>
  <c r="AD15" i="111" s="1"/>
  <c r="AD13" i="111"/>
  <c r="AD14" i="111" s="1"/>
  <c r="S177" i="50"/>
  <c r="J11" i="56" s="1"/>
  <c r="S181" i="50"/>
  <c r="S182" i="50" s="1"/>
  <c r="S96" i="50"/>
  <c r="S192" i="50"/>
  <c r="S175" i="50"/>
  <c r="S95" i="50"/>
  <c r="J6" i="56"/>
  <c r="AJ179" i="50"/>
  <c r="O19" i="129"/>
  <c r="O28" i="129" s="1"/>
  <c r="O18" i="129"/>
  <c r="O41" i="56"/>
  <c r="G190" i="50"/>
  <c r="P78" i="50"/>
  <c r="T78" i="50"/>
  <c r="O97" i="50"/>
  <c r="R18" i="56"/>
  <c r="R16" i="56" s="1"/>
  <c r="BL16" i="111"/>
  <c r="BL15" i="111" s="1"/>
  <c r="BF23" i="111"/>
  <c r="BF20" i="111"/>
  <c r="N41" i="56"/>
  <c r="W175" i="50"/>
  <c r="BC16" i="111"/>
  <c r="BC15" i="111" s="1"/>
  <c r="AV13" i="111"/>
  <c r="AV14" i="111" s="1"/>
  <c r="S56" i="50"/>
  <c r="S69" i="50" s="1"/>
  <c r="S65" i="50"/>
  <c r="G78" i="50"/>
  <c r="J78" i="50"/>
  <c r="K193" i="50"/>
  <c r="K175" i="50"/>
  <c r="AA195" i="50"/>
  <c r="S193" i="50"/>
  <c r="S185" i="50"/>
  <c r="S179" i="50"/>
  <c r="BB16" i="111"/>
  <c r="BB15" i="111" s="1"/>
  <c r="BE13" i="111"/>
  <c r="BE14" i="111" s="1"/>
  <c r="BE23" i="111"/>
  <c r="Z147" i="50"/>
  <c r="Z37" i="50" s="1"/>
  <c r="Z38" i="50" s="1"/>
  <c r="Q5" i="56"/>
  <c r="Q3" i="56" s="1"/>
  <c r="Z74" i="50"/>
  <c r="Z78" i="50" s="1"/>
  <c r="AA190" i="50"/>
  <c r="AA173" i="50"/>
  <c r="I78" i="50"/>
  <c r="Q78" i="50"/>
  <c r="Y78" i="50"/>
  <c r="L78" i="50"/>
  <c r="H78" i="50"/>
  <c r="F78" i="50"/>
  <c r="N78" i="50"/>
  <c r="V78" i="50"/>
  <c r="E190" i="50"/>
  <c r="H3" i="56"/>
  <c r="W190" i="50"/>
  <c r="P190" i="50"/>
  <c r="O18" i="56"/>
  <c r="AD78" i="50"/>
  <c r="AQ16" i="111"/>
  <c r="AQ15" i="111" s="1"/>
  <c r="AX188" i="50"/>
  <c r="AX187" i="50"/>
  <c r="Z185" i="50"/>
  <c r="Z176" i="50"/>
  <c r="Q10" i="56" s="1"/>
  <c r="AN192" i="50"/>
  <c r="AF192" i="50"/>
  <c r="AP179" i="50"/>
  <c r="AP193" i="50"/>
  <c r="AD179" i="50"/>
  <c r="AA15" i="111"/>
  <c r="AY16" i="111"/>
  <c r="AY15" i="111" s="1"/>
  <c r="W18" i="56"/>
  <c r="BV13" i="111"/>
  <c r="BV14" i="111" s="1"/>
  <c r="BV16" i="111"/>
  <c r="BV15" i="111" s="1"/>
  <c r="BV20" i="111"/>
  <c r="BQ15" i="111"/>
  <c r="O95" i="50"/>
  <c r="E18" i="56"/>
  <c r="W19" i="50"/>
  <c r="AX183" i="50"/>
  <c r="AG15" i="111"/>
  <c r="C21" i="56"/>
  <c r="K3" i="56"/>
  <c r="L3" i="56"/>
  <c r="D18" i="56"/>
  <c r="F3" i="56"/>
  <c r="AC78" i="50"/>
  <c r="CJ8" i="111"/>
  <c r="CK8" i="111" s="1"/>
  <c r="BA13" i="111"/>
  <c r="BA14" i="111" s="1"/>
  <c r="AH15" i="111"/>
  <c r="J15" i="111"/>
  <c r="R15" i="111"/>
  <c r="AJ15" i="111"/>
  <c r="I15" i="111"/>
  <c r="U15" i="111"/>
  <c r="AY35" i="111"/>
  <c r="CA13" i="111"/>
  <c r="CA14" i="111" s="1"/>
  <c r="AA3" i="56"/>
  <c r="AP78" i="50"/>
  <c r="AK78" i="50"/>
  <c r="BW13" i="111"/>
  <c r="BW14" i="111" s="1"/>
  <c r="BR16" i="111"/>
  <c r="BR15" i="111" s="1"/>
  <c r="AF3" i="56"/>
  <c r="AE190" i="50"/>
  <c r="AC3" i="56"/>
  <c r="Z165" i="50"/>
  <c r="AE3" i="56"/>
  <c r="BW16" i="111"/>
  <c r="BW15" i="111" s="1"/>
  <c r="AD173" i="50"/>
  <c r="AD172" i="50" s="1"/>
  <c r="U8" i="56" s="1"/>
  <c r="CB13" i="111"/>
  <c r="CB14" i="111" s="1"/>
  <c r="AC18" i="56"/>
  <c r="AB55" i="129"/>
  <c r="R177" i="50"/>
  <c r="I11" i="56" s="1"/>
  <c r="AX186" i="50"/>
  <c r="Z3" i="56"/>
  <c r="AM179" i="50"/>
  <c r="AO78" i="50"/>
  <c r="H16" i="129"/>
  <c r="H18" i="129" s="1"/>
  <c r="O38" i="129"/>
  <c r="O33" i="129" s="1"/>
  <c r="O36" i="129" s="1"/>
  <c r="N38" i="129"/>
  <c r="N33" i="129" s="1"/>
  <c r="N36" i="129" s="1"/>
  <c r="J38" i="129"/>
  <c r="J33" i="129" s="1"/>
  <c r="J36" i="129" s="1"/>
  <c r="R19" i="129"/>
  <c r="R28" i="129" s="1"/>
  <c r="R18" i="129"/>
  <c r="T19" i="129"/>
  <c r="T28" i="129" s="1"/>
  <c r="T18" i="129"/>
  <c r="P16" i="129"/>
  <c r="S38" i="129"/>
  <c r="S33" i="129" s="1"/>
  <c r="S36" i="129" s="1"/>
  <c r="N16" i="129"/>
  <c r="N19" i="129" s="1"/>
  <c r="N28" i="129" s="1"/>
  <c r="K38" i="129"/>
  <c r="K33" i="129" s="1"/>
  <c r="R38" i="129"/>
  <c r="R33" i="129" s="1"/>
  <c r="R36" i="129" s="1"/>
  <c r="M19" i="129"/>
  <c r="M28" i="129" s="1"/>
  <c r="M38" i="129"/>
  <c r="M33" i="129" s="1"/>
  <c r="M36" i="129" s="1"/>
  <c r="U3" i="56"/>
  <c r="AD69" i="50"/>
  <c r="V3" i="56"/>
  <c r="AL78" i="50"/>
  <c r="AG78" i="50"/>
  <c r="N17" i="56"/>
  <c r="Q175" i="50"/>
  <c r="O181" i="50"/>
  <c r="O179" i="50"/>
  <c r="M65" i="50"/>
  <c r="E78" i="50"/>
  <c r="L87" i="50"/>
  <c r="L95" i="50"/>
  <c r="F19" i="56"/>
  <c r="F18" i="56" s="1"/>
  <c r="Q179" i="50"/>
  <c r="Q181" i="50"/>
  <c r="M74" i="50"/>
  <c r="M78" i="50" s="1"/>
  <c r="R181" i="50"/>
  <c r="R182" i="50" s="1"/>
  <c r="R179" i="50"/>
  <c r="R190" i="50"/>
  <c r="G22" i="56"/>
  <c r="G21" i="56" s="1"/>
  <c r="G9" i="56"/>
  <c r="M147" i="50"/>
  <c r="M192" i="50" s="1"/>
  <c r="O194" i="50"/>
  <c r="K78" i="50"/>
  <c r="O190" i="50"/>
  <c r="P53" i="50"/>
  <c r="P173" i="50"/>
  <c r="P172" i="50" s="1"/>
  <c r="G8" i="56" s="1"/>
  <c r="O175" i="50"/>
  <c r="N179" i="50"/>
  <c r="N194" i="50"/>
  <c r="N190" i="50"/>
  <c r="AB78" i="50"/>
  <c r="M179" i="50"/>
  <c r="T175" i="50"/>
  <c r="P175" i="50"/>
  <c r="AH194" i="50"/>
  <c r="AH179" i="50"/>
  <c r="F38" i="129"/>
  <c r="F33" i="129" s="1"/>
  <c r="F36" i="129" s="1"/>
  <c r="F16" i="129"/>
  <c r="M25" i="129"/>
  <c r="K57" i="129"/>
  <c r="AB50" i="129"/>
  <c r="AI19" i="50"/>
  <c r="AI174" i="50"/>
  <c r="AI172" i="50" s="1"/>
  <c r="N181" i="50"/>
  <c r="AT13" i="111"/>
  <c r="AT14" i="111" s="1"/>
  <c r="Z29" i="111"/>
  <c r="BF16" i="111"/>
  <c r="BF15" i="111" s="1"/>
  <c r="BF13" i="111"/>
  <c r="BF14" i="111" s="1"/>
  <c r="BF19" i="111"/>
  <c r="AO195" i="50"/>
  <c r="AL193" i="50"/>
  <c r="AL179" i="50"/>
  <c r="N175" i="50"/>
  <c r="N180" i="50"/>
  <c r="T179" i="50"/>
  <c r="AP13" i="111"/>
  <c r="AP14" i="111" s="1"/>
  <c r="AK19" i="111"/>
  <c r="AK16" i="111"/>
  <c r="AK15" i="111" s="1"/>
  <c r="AK13" i="111"/>
  <c r="AK14" i="111" s="1"/>
  <c r="AE15" i="111"/>
  <c r="AJ78" i="50"/>
  <c r="BX20" i="111"/>
  <c r="BX13" i="111"/>
  <c r="BX14" i="111" s="1"/>
  <c r="BX16" i="111"/>
  <c r="BX15" i="111" s="1"/>
  <c r="Z180" i="50"/>
  <c r="Z79" i="50"/>
  <c r="Z83" i="50" s="1"/>
  <c r="N177" i="50"/>
  <c r="E11" i="56" s="1"/>
  <c r="E9" i="56" s="1"/>
  <c r="P181" i="50"/>
  <c r="AT16" i="111"/>
  <c r="AT15" i="111" s="1"/>
  <c r="AL16" i="111"/>
  <c r="AL15" i="111" s="1"/>
  <c r="AL13" i="111"/>
  <c r="AL14" i="111" s="1"/>
  <c r="AL19" i="111"/>
  <c r="BH20" i="111"/>
  <c r="BH25" i="111" s="1"/>
  <c r="BH13" i="111"/>
  <c r="BH14" i="111" s="1"/>
  <c r="BH16" i="111"/>
  <c r="BH15" i="111" s="1"/>
  <c r="T17" i="111"/>
  <c r="T15" i="111" s="1"/>
  <c r="T13" i="111"/>
  <c r="T14" i="111" s="1"/>
  <c r="CL8" i="111"/>
  <c r="CM8" i="111" s="1"/>
  <c r="BP20" i="111"/>
  <c r="BP16" i="111"/>
  <c r="BP15" i="111" s="1"/>
  <c r="BS19" i="111"/>
  <c r="BS16" i="111"/>
  <c r="BS15" i="111" s="1"/>
  <c r="BS13" i="111"/>
  <c r="BS14" i="111" s="1"/>
  <c r="AE69" i="50"/>
  <c r="P179" i="50"/>
  <c r="T192" i="50"/>
  <c r="T177" i="50"/>
  <c r="K11" i="56" s="1"/>
  <c r="AP16" i="111"/>
  <c r="AP15" i="111" s="1"/>
  <c r="AZ19" i="111"/>
  <c r="AZ16" i="111"/>
  <c r="AZ15" i="111" s="1"/>
  <c r="AU16" i="111"/>
  <c r="AU15" i="111" s="1"/>
  <c r="AD190" i="50"/>
  <c r="AC193" i="50"/>
  <c r="AC190" i="50"/>
  <c r="X176" i="50"/>
  <c r="O10" i="56" s="1"/>
  <c r="X180" i="50"/>
  <c r="J18" i="129"/>
  <c r="J19" i="129"/>
  <c r="J28" i="129" s="1"/>
  <c r="J26" i="129" s="1"/>
  <c r="R25" i="129"/>
  <c r="K192" i="50"/>
  <c r="J192" i="50"/>
  <c r="AJ193" i="50"/>
  <c r="AB193" i="50"/>
  <c r="AB190" i="50"/>
  <c r="J25" i="129"/>
  <c r="AE13" i="111"/>
  <c r="AE14" i="111" s="1"/>
  <c r="BB13" i="111"/>
  <c r="BB14" i="111" s="1"/>
  <c r="P96" i="50"/>
  <c r="P192" i="50"/>
  <c r="Y18" i="56"/>
  <c r="V180" i="50"/>
  <c r="V96" i="50"/>
  <c r="F25" i="129"/>
  <c r="F28" i="129"/>
  <c r="AH78" i="50"/>
  <c r="AI53" i="50"/>
  <c r="X96" i="50"/>
  <c r="X192" i="50"/>
  <c r="G28" i="129"/>
  <c r="G25" i="129"/>
  <c r="AQ13" i="111"/>
  <c r="AQ14" i="111" s="1"/>
  <c r="U96" i="50"/>
  <c r="U177" i="50"/>
  <c r="L11" i="56" s="1"/>
  <c r="AX184" i="50"/>
  <c r="AD3" i="56"/>
  <c r="O25" i="129"/>
  <c r="D38" i="129"/>
  <c r="D33" i="129" s="1"/>
  <c r="D36" i="129" s="1"/>
  <c r="I16" i="129"/>
  <c r="I38" i="129"/>
  <c r="L25" i="129"/>
  <c r="S28" i="129"/>
  <c r="AM193" i="50"/>
  <c r="AM78" i="50"/>
  <c r="E18" i="129"/>
  <c r="E19" i="129"/>
  <c r="AN179" i="50"/>
  <c r="AN193" i="50"/>
  <c r="Q25" i="129"/>
  <c r="AN78" i="50"/>
  <c r="AO179" i="50"/>
  <c r="AO194" i="50"/>
  <c r="S18" i="129"/>
  <c r="AD82" i="50" l="1"/>
  <c r="AD86" i="50" s="1"/>
  <c r="S3" i="56"/>
  <c r="AC82" i="50"/>
  <c r="AC86" i="50" s="1"/>
  <c r="AX87" i="50"/>
  <c r="Y89" i="50"/>
  <c r="Y91" i="50"/>
  <c r="Z93" i="50"/>
  <c r="Z90" i="50"/>
  <c r="Z94" i="50" s="1"/>
  <c r="AA85" i="50"/>
  <c r="AA82" i="50" s="1"/>
  <c r="AA86" i="50" s="1"/>
  <c r="AB89" i="50"/>
  <c r="AB91" i="50"/>
  <c r="T42" i="56"/>
  <c r="T41" i="56" s="1"/>
  <c r="CM7" i="111"/>
  <c r="O44" i="129"/>
  <c r="P44" i="129" s="1"/>
  <c r="Q44" i="129" s="1"/>
  <c r="S37" i="129"/>
  <c r="S32" i="129" s="1"/>
  <c r="AG8" i="56"/>
  <c r="BT14" i="111"/>
  <c r="Z8" i="56"/>
  <c r="Y8" i="56"/>
  <c r="X8" i="56"/>
  <c r="AF172" i="50"/>
  <c r="I33" i="129"/>
  <c r="I36" i="129" s="1"/>
  <c r="S17" i="56"/>
  <c r="S16" i="56" s="1"/>
  <c r="S9" i="56"/>
  <c r="S7" i="56" s="1"/>
  <c r="AD38" i="50"/>
  <c r="L18" i="129"/>
  <c r="H37" i="129"/>
  <c r="H32" i="129" s="1"/>
  <c r="H35" i="129" s="1"/>
  <c r="K45" i="129"/>
  <c r="AD2" i="50"/>
  <c r="U14" i="56" s="1"/>
  <c r="U34" i="56" s="1"/>
  <c r="U40" i="56" s="1"/>
  <c r="U41" i="56" s="1"/>
  <c r="AI18" i="50"/>
  <c r="T17" i="56"/>
  <c r="T16" i="56" s="1"/>
  <c r="T9" i="56"/>
  <c r="AE191" i="50"/>
  <c r="U9" i="56"/>
  <c r="U7" i="56" s="1"/>
  <c r="U22" i="56"/>
  <c r="U21" i="56" s="1"/>
  <c r="J9" i="56"/>
  <c r="AG14" i="111"/>
  <c r="V22" i="56"/>
  <c r="V21" i="56" s="1"/>
  <c r="V9" i="56"/>
  <c r="V7" i="56" s="1"/>
  <c r="E7" i="56"/>
  <c r="N191" i="50"/>
  <c r="AX185" i="50"/>
  <c r="N18" i="129"/>
  <c r="R191" i="50"/>
  <c r="V16" i="56"/>
  <c r="BP12" i="111"/>
  <c r="O17" i="56"/>
  <c r="O16" i="56" s="1"/>
  <c r="O9" i="56"/>
  <c r="O7" i="56" s="1"/>
  <c r="I3" i="56"/>
  <c r="H9" i="56"/>
  <c r="H7" i="56" s="1"/>
  <c r="H17" i="56"/>
  <c r="H16" i="56" s="1"/>
  <c r="U16" i="56"/>
  <c r="X191" i="50"/>
  <c r="W191" i="50"/>
  <c r="AA172" i="50"/>
  <c r="R8" i="56" s="1"/>
  <c r="R7" i="56" s="1"/>
  <c r="W53" i="50"/>
  <c r="AB81" i="50"/>
  <c r="N7" i="56"/>
  <c r="O191" i="50"/>
  <c r="H26" i="129"/>
  <c r="H27" i="129" s="1"/>
  <c r="F7" i="56"/>
  <c r="AC191" i="50"/>
  <c r="Q191" i="50"/>
  <c r="V175" i="50"/>
  <c r="V181" i="50"/>
  <c r="V182" i="50" s="1"/>
  <c r="V197" i="50" s="1"/>
  <c r="V179" i="50"/>
  <c r="T8" i="56"/>
  <c r="V190" i="50"/>
  <c r="V191" i="50" s="1"/>
  <c r="H19" i="129"/>
  <c r="Z177" i="50"/>
  <c r="Q11" i="56" s="1"/>
  <c r="Q17" i="56" s="1"/>
  <c r="Q16" i="56" s="1"/>
  <c r="Z96" i="50"/>
  <c r="Z190" i="50"/>
  <c r="Z191" i="50" s="1"/>
  <c r="AB191" i="50"/>
  <c r="E29" i="129"/>
  <c r="E26" i="129"/>
  <c r="E27" i="129" s="1"/>
  <c r="Z192" i="50"/>
  <c r="D29" i="129"/>
  <c r="D26" i="129"/>
  <c r="D27" i="129" s="1"/>
  <c r="S173" i="50"/>
  <c r="S172" i="50" s="1"/>
  <c r="S53" i="50"/>
  <c r="P17" i="56"/>
  <c r="P16" i="56" s="1"/>
  <c r="P22" i="56"/>
  <c r="P21" i="56" s="1"/>
  <c r="D37" i="129"/>
  <c r="D32" i="129" s="1"/>
  <c r="D35" i="129" s="1"/>
  <c r="G7" i="56"/>
  <c r="Q19" i="129"/>
  <c r="Q28" i="129" s="1"/>
  <c r="AD7" i="50"/>
  <c r="AF32" i="50"/>
  <c r="AE32" i="50"/>
  <c r="K26" i="129"/>
  <c r="K37" i="129"/>
  <c r="K32" i="129" s="1"/>
  <c r="Z193" i="50"/>
  <c r="Z179" i="50"/>
  <c r="Y173" i="50"/>
  <c r="Y172" i="50" s="1"/>
  <c r="Y53" i="50"/>
  <c r="P191" i="50"/>
  <c r="J17" i="56"/>
  <c r="J22" i="56"/>
  <c r="J21" i="56" s="1"/>
  <c r="Z181" i="50"/>
  <c r="Z182" i="50" s="1"/>
  <c r="Z197" i="50" s="1"/>
  <c r="Z97" i="50"/>
  <c r="Z95" i="50"/>
  <c r="Z175" i="50"/>
  <c r="AE24" i="50"/>
  <c r="AE25" i="50" s="1"/>
  <c r="Z24" i="50"/>
  <c r="Z25" i="50" s="1"/>
  <c r="BF25" i="111"/>
  <c r="M17" i="56"/>
  <c r="M16" i="56" s="1"/>
  <c r="T53" i="50"/>
  <c r="T173" i="50"/>
  <c r="T172" i="50" s="1"/>
  <c r="I17" i="56"/>
  <c r="I16" i="56" s="1"/>
  <c r="I22" i="56"/>
  <c r="I21" i="56" s="1"/>
  <c r="AD191" i="50"/>
  <c r="J3" i="56"/>
  <c r="J19" i="56"/>
  <c r="J18" i="56" s="1"/>
  <c r="U191" i="50"/>
  <c r="L8" i="56"/>
  <c r="AD32" i="50"/>
  <c r="M9" i="56"/>
  <c r="M7" i="56" s="1"/>
  <c r="I9" i="56"/>
  <c r="I7" i="56" s="1"/>
  <c r="F17" i="56"/>
  <c r="F16" i="56" s="1"/>
  <c r="F22" i="56"/>
  <c r="F21" i="56" s="1"/>
  <c r="T26" i="129"/>
  <c r="T27" i="129" s="1"/>
  <c r="T29" i="129"/>
  <c r="T37" i="129"/>
  <c r="P18" i="129"/>
  <c r="P19" i="129"/>
  <c r="P28" i="129" s="1"/>
  <c r="I19" i="129"/>
  <c r="I28" i="129" s="1"/>
  <c r="I18" i="129"/>
  <c r="N26" i="129"/>
  <c r="N29" i="129"/>
  <c r="N37" i="129"/>
  <c r="F26" i="129"/>
  <c r="F27" i="129" s="1"/>
  <c r="F29" i="129"/>
  <c r="L17" i="56"/>
  <c r="L16" i="56" s="1"/>
  <c r="L22" i="56"/>
  <c r="L21" i="56" s="1"/>
  <c r="L9" i="56"/>
  <c r="K22" i="56"/>
  <c r="K21" i="56" s="1"/>
  <c r="K17" i="56"/>
  <c r="K16" i="56" s="1"/>
  <c r="K9" i="56"/>
  <c r="E22" i="56"/>
  <c r="E21" i="56" s="1"/>
  <c r="E17" i="56"/>
  <c r="E16" i="56" s="1"/>
  <c r="E32" i="129"/>
  <c r="E39" i="129"/>
  <c r="G26" i="129"/>
  <c r="G27" i="129" s="1"/>
  <c r="G37" i="129"/>
  <c r="G29" i="129"/>
  <c r="L29" i="129"/>
  <c r="L26" i="129"/>
  <c r="J27" i="129"/>
  <c r="J37" i="129"/>
  <c r="J29" i="129"/>
  <c r="M29" i="129"/>
  <c r="M26" i="129"/>
  <c r="M37" i="129"/>
  <c r="R29" i="129"/>
  <c r="R26" i="129"/>
  <c r="R27" i="129" s="1"/>
  <c r="R37" i="129"/>
  <c r="F18" i="129"/>
  <c r="F19" i="129"/>
  <c r="F37" i="129"/>
  <c r="AA197" i="50"/>
  <c r="M175" i="50"/>
  <c r="M181" i="50"/>
  <c r="M96" i="50"/>
  <c r="M97" i="50"/>
  <c r="M177" i="50"/>
  <c r="D11" i="56" s="1"/>
  <c r="M190" i="50"/>
  <c r="M191" i="50" s="1"/>
  <c r="M95" i="50"/>
  <c r="AG32" i="50"/>
  <c r="S26" i="129"/>
  <c r="S27" i="129" s="1"/>
  <c r="S29" i="129"/>
  <c r="O29" i="129"/>
  <c r="O37" i="129"/>
  <c r="O26" i="129"/>
  <c r="Z81" i="50"/>
  <c r="Z85" i="50" s="1"/>
  <c r="N16" i="56"/>
  <c r="O27" i="129" l="1"/>
  <c r="AX91" i="50"/>
  <c r="Y90" i="50"/>
  <c r="AX89" i="50"/>
  <c r="Y93" i="50"/>
  <c r="AB85" i="50"/>
  <c r="AB82" i="50" s="1"/>
  <c r="AB86" i="50" s="1"/>
  <c r="AB90" i="50"/>
  <c r="AB94" i="50" s="1"/>
  <c r="AB93" i="50"/>
  <c r="N27" i="129"/>
  <c r="S39" i="129"/>
  <c r="P26" i="129"/>
  <c r="P27" i="129" s="1"/>
  <c r="Q37" i="129"/>
  <c r="Q32" i="129" s="1"/>
  <c r="M27" i="129"/>
  <c r="L27" i="129"/>
  <c r="K27" i="129"/>
  <c r="W8" i="56"/>
  <c r="AE2" i="50"/>
  <c r="V14" i="56" s="1"/>
  <c r="V34" i="56" s="1"/>
  <c r="V40" i="56" s="1"/>
  <c r="V41" i="56" s="1"/>
  <c r="H34" i="129"/>
  <c r="AH18" i="50"/>
  <c r="H39" i="129"/>
  <c r="H41" i="129"/>
  <c r="AE7" i="50"/>
  <c r="K36" i="129"/>
  <c r="AG18" i="50"/>
  <c r="T7" i="56"/>
  <c r="Q29" i="129"/>
  <c r="Q26" i="129"/>
  <c r="Q27" i="129" s="1"/>
  <c r="H42" i="129"/>
  <c r="AA191" i="50"/>
  <c r="Q9" i="56"/>
  <c r="Q7" i="56" s="1"/>
  <c r="Q22" i="56"/>
  <c r="Q21" i="56" s="1"/>
  <c r="D41" i="129"/>
  <c r="D39" i="129"/>
  <c r="P29" i="129"/>
  <c r="L7" i="56"/>
  <c r="J8" i="56"/>
  <c r="J7" i="56" s="1"/>
  <c r="S191" i="50"/>
  <c r="P8" i="56"/>
  <c r="P7" i="56" s="1"/>
  <c r="Y191" i="50"/>
  <c r="J16" i="56"/>
  <c r="K39" i="129"/>
  <c r="P37" i="129"/>
  <c r="P39" i="129" s="1"/>
  <c r="K8" i="56"/>
  <c r="K7" i="56" s="1"/>
  <c r="T191" i="50"/>
  <c r="T39" i="129"/>
  <c r="T32" i="129"/>
  <c r="E35" i="129"/>
  <c r="E41" i="129" s="1"/>
  <c r="E34" i="129"/>
  <c r="Z82" i="50"/>
  <c r="Z86" i="50" s="1"/>
  <c r="R32" i="129"/>
  <c r="R39" i="129"/>
  <c r="AH32" i="50"/>
  <c r="N39" i="129"/>
  <c r="N32" i="129"/>
  <c r="L39" i="129"/>
  <c r="F39" i="129"/>
  <c r="F32" i="129"/>
  <c r="J39" i="129"/>
  <c r="J32" i="129"/>
  <c r="G39" i="129"/>
  <c r="G32" i="129"/>
  <c r="S34" i="129"/>
  <c r="S35" i="129"/>
  <c r="S41" i="129" s="1"/>
  <c r="D22" i="56"/>
  <c r="D21" i="56" s="1"/>
  <c r="D17" i="56"/>
  <c r="D16" i="56" s="1"/>
  <c r="D9" i="56"/>
  <c r="D7" i="56" s="1"/>
  <c r="O32" i="129"/>
  <c r="O39" i="129"/>
  <c r="M39" i="129"/>
  <c r="M32" i="129"/>
  <c r="I26" i="129"/>
  <c r="I27" i="129" s="1"/>
  <c r="I37" i="129"/>
  <c r="I29" i="129"/>
  <c r="AC26" i="129" l="1"/>
  <c r="AX93" i="50"/>
  <c r="Y94" i="50"/>
  <c r="AX94" i="50" s="1"/>
  <c r="AX90" i="50"/>
  <c r="Q39" i="129"/>
  <c r="BR12" i="111"/>
  <c r="I32" i="129"/>
  <c r="I34" i="129" s="1"/>
  <c r="BQ12" i="111"/>
  <c r="P32" i="129"/>
  <c r="P35" i="129" s="1"/>
  <c r="K35" i="129"/>
  <c r="K34" i="129"/>
  <c r="T35" i="129"/>
  <c r="T34" i="129"/>
  <c r="M35" i="129"/>
  <c r="M43" i="129" s="1"/>
  <c r="M34" i="129"/>
  <c r="F34" i="129"/>
  <c r="F35" i="129"/>
  <c r="N35" i="129"/>
  <c r="N43" i="129" s="1"/>
  <c r="N34" i="129"/>
  <c r="R35" i="129"/>
  <c r="R34" i="129"/>
  <c r="L34" i="129"/>
  <c r="G34" i="129"/>
  <c r="G35" i="129"/>
  <c r="AJ30" i="50"/>
  <c r="AI32" i="50"/>
  <c r="Q34" i="129"/>
  <c r="Q35" i="129"/>
  <c r="AB26" i="129"/>
  <c r="I39" i="129"/>
  <c r="S42" i="129"/>
  <c r="O35" i="129"/>
  <c r="O34" i="129"/>
  <c r="J34" i="129"/>
  <c r="J35" i="129"/>
  <c r="E42" i="129"/>
  <c r="L61" i="129" l="1"/>
  <c r="K61" i="129"/>
  <c r="J61" i="129"/>
  <c r="P34" i="129"/>
  <c r="K41" i="129"/>
  <c r="K42" i="129"/>
  <c r="T42" i="129"/>
  <c r="T41" i="129"/>
  <c r="O41" i="129"/>
  <c r="O42" i="129"/>
  <c r="AJ32" i="50"/>
  <c r="AK30" i="50"/>
  <c r="R41" i="129"/>
  <c r="R42" i="129"/>
  <c r="M41" i="129"/>
  <c r="M42" i="129"/>
  <c r="I35" i="129"/>
  <c r="G41" i="129"/>
  <c r="G42" i="129"/>
  <c r="N41" i="129"/>
  <c r="N42" i="129"/>
  <c r="Q41" i="129"/>
  <c r="Q42" i="129"/>
  <c r="J41" i="129"/>
  <c r="J42" i="129"/>
  <c r="F41" i="129"/>
  <c r="F42" i="129"/>
  <c r="L41" i="129"/>
  <c r="L42" i="129"/>
  <c r="P41" i="129"/>
  <c r="P42" i="129"/>
  <c r="BT12" i="111" l="1"/>
  <c r="BS12" i="111"/>
  <c r="BU12" i="111"/>
  <c r="BV11" i="111"/>
  <c r="AK32" i="50"/>
  <c r="AL30" i="50"/>
  <c r="I41" i="129"/>
  <c r="I42" i="129"/>
  <c r="BV12" i="111" l="1"/>
  <c r="BW11" i="111"/>
  <c r="AL32" i="50"/>
  <c r="AM30" i="50"/>
  <c r="BX11" i="111" l="1"/>
  <c r="BW12" i="111"/>
  <c r="AM32" i="50"/>
  <c r="AN30" i="50"/>
  <c r="AN32" i="50" l="1"/>
  <c r="BX12" i="111"/>
  <c r="BY11" i="111"/>
  <c r="BY12" i="111" l="1"/>
  <c r="BZ11" i="111"/>
  <c r="BZ12" i="111" l="1"/>
  <c r="CA11" i="111"/>
  <c r="CB11" i="111" s="1"/>
  <c r="CA12" i="111" l="1"/>
  <c r="CB12" i="111" l="1"/>
  <c r="CC11" i="111"/>
  <c r="CC12" i="111" l="1"/>
  <c r="CD11" i="111"/>
  <c r="CD12" i="111" l="1"/>
  <c r="CE11" i="111"/>
  <c r="AF95" i="50"/>
  <c r="AF96" i="50"/>
  <c r="AF97" i="50"/>
  <c r="AP180" i="50"/>
  <c r="AP196" i="50" s="1"/>
  <c r="AP97" i="50"/>
  <c r="AP96" i="50"/>
  <c r="AP95" i="50"/>
  <c r="AO96" i="50"/>
  <c r="AO180" i="50"/>
  <c r="AO95" i="50"/>
  <c r="AN95" i="50"/>
  <c r="AN180" i="50"/>
  <c r="AN96" i="50"/>
  <c r="AN97" i="50"/>
  <c r="AH180" i="50"/>
  <c r="AH96" i="50"/>
  <c r="AH97" i="50"/>
  <c r="AH95" i="50"/>
  <c r="AM96" i="50"/>
  <c r="AM180" i="50"/>
  <c r="AM95" i="50"/>
  <c r="AM97" i="50"/>
  <c r="AJ95" i="50"/>
  <c r="AJ180" i="50"/>
  <c r="AJ97" i="50"/>
  <c r="AJ96" i="50"/>
  <c r="AK96" i="50"/>
  <c r="AK95" i="50"/>
  <c r="AK97" i="50"/>
  <c r="AL97" i="50"/>
  <c r="AL180" i="50"/>
  <c r="AL96" i="50"/>
  <c r="AL95" i="50"/>
  <c r="AI180" i="50"/>
  <c r="AI95" i="50"/>
  <c r="AI97" i="50"/>
  <c r="AI96" i="50"/>
  <c r="AP181" i="50"/>
  <c r="AP182" i="50" s="1"/>
  <c r="AN181" i="50"/>
  <c r="AN182" i="50" s="1"/>
  <c r="AJ181" i="50"/>
  <c r="AJ182" i="50" s="1"/>
  <c r="AL181" i="50"/>
  <c r="AL182" i="50" s="1"/>
  <c r="AI181" i="50"/>
  <c r="AI182" i="50" s="1"/>
  <c r="AH182" i="50"/>
  <c r="AK181" i="50"/>
  <c r="AK182" i="50" s="1"/>
  <c r="AM177" i="50"/>
  <c r="AH191" i="50"/>
  <c r="AF190" i="50"/>
  <c r="AF191" i="50" s="1"/>
  <c r="AO85" i="50"/>
  <c r="AO181" i="50"/>
  <c r="AO182" i="50" s="1"/>
  <c r="AM181" i="50"/>
  <c r="AM182" i="50" s="1"/>
  <c r="AH177" i="50"/>
  <c r="Y11" i="56" s="1"/>
  <c r="AO87" i="50"/>
  <c r="AO177" i="50"/>
  <c r="AF177" i="50"/>
  <c r="W11" i="56" s="1"/>
  <c r="AP83" i="50"/>
  <c r="AI177" i="50"/>
  <c r="Z11" i="56" s="1"/>
  <c r="AG79" i="50"/>
  <c r="AP177" i="50"/>
  <c r="AN177" i="50"/>
  <c r="AI191" i="50"/>
  <c r="AL177" i="50"/>
  <c r="AK177" i="50"/>
  <c r="AF37" i="50"/>
  <c r="AF38" i="50" s="1"/>
  <c r="AJ177" i="50"/>
  <c r="AA11" i="56" s="1"/>
  <c r="AP87" i="50"/>
  <c r="AP91" i="50" s="1"/>
  <c r="AP190" i="50"/>
  <c r="AP191" i="50" s="1"/>
  <c r="AH79" i="50"/>
  <c r="AF79" i="50"/>
  <c r="AF83" i="50" s="1"/>
  <c r="AF180" i="50"/>
  <c r="AO89" i="50" l="1"/>
  <c r="AZ87" i="50"/>
  <c r="AH81" i="50"/>
  <c r="AH85" i="50" s="1"/>
  <c r="AH83" i="50"/>
  <c r="AG81" i="50"/>
  <c r="AG85" i="50" s="1"/>
  <c r="AG83" i="50"/>
  <c r="AZ177" i="50"/>
  <c r="AC11" i="56"/>
  <c r="AC22" i="56" s="1"/>
  <c r="AC21" i="56" s="1"/>
  <c r="AL205" i="50"/>
  <c r="AB11" i="56"/>
  <c r="AB17" i="56" s="1"/>
  <c r="AB16" i="56" s="1"/>
  <c r="AK205" i="50"/>
  <c r="AG11" i="56"/>
  <c r="AG9" i="56" s="1"/>
  <c r="AG7" i="56" s="1"/>
  <c r="AP205" i="50"/>
  <c r="AD11" i="56"/>
  <c r="AD22" i="56" s="1"/>
  <c r="AD21" i="56" s="1"/>
  <c r="AM205" i="50"/>
  <c r="AE11" i="56"/>
  <c r="AE17" i="56" s="1"/>
  <c r="AE16" i="56" s="1"/>
  <c r="AN205" i="50"/>
  <c r="AF11" i="56"/>
  <c r="AF17" i="56" s="1"/>
  <c r="AF16" i="56" s="1"/>
  <c r="AO205" i="50"/>
  <c r="AW180" i="50"/>
  <c r="CE12" i="111"/>
  <c r="CF11" i="111"/>
  <c r="AO197" i="50"/>
  <c r="AH197" i="50"/>
  <c r="AP197" i="50"/>
  <c r="AI197" i="50"/>
  <c r="AL197" i="50"/>
  <c r="AJ197" i="50"/>
  <c r="AM197" i="50"/>
  <c r="AK197" i="50"/>
  <c r="AN197" i="50"/>
  <c r="AP85" i="50"/>
  <c r="AP82" i="50" s="1"/>
  <c r="AP80" i="50" s="1"/>
  <c r="AF81" i="50"/>
  <c r="AA9" i="56"/>
  <c r="AA17" i="56"/>
  <c r="AA16" i="56" s="1"/>
  <c r="AA22" i="56"/>
  <c r="AA21" i="56" s="1"/>
  <c r="Z22" i="56"/>
  <c r="Z21" i="56" s="1"/>
  <c r="Z17" i="56"/>
  <c r="Z16" i="56" s="1"/>
  <c r="Z9" i="56"/>
  <c r="Z7" i="56" s="1"/>
  <c r="Y22" i="56"/>
  <c r="Y21" i="56" s="1"/>
  <c r="Y9" i="56"/>
  <c r="Y7" i="56" s="1"/>
  <c r="Y17" i="56"/>
  <c r="Y16" i="56" s="1"/>
  <c r="W9" i="56"/>
  <c r="W7" i="56" s="1"/>
  <c r="W17" i="56"/>
  <c r="W16" i="56" s="1"/>
  <c r="W22" i="56"/>
  <c r="W21" i="56" s="1"/>
  <c r="AO93" i="50"/>
  <c r="AO90" i="50"/>
  <c r="AO91" i="50"/>
  <c r="AZ91" i="50" s="1"/>
  <c r="AO83" i="50"/>
  <c r="AO82" i="50" s="1"/>
  <c r="AO80" i="50" s="1"/>
  <c r="AF2" i="50"/>
  <c r="W14" i="56" s="1"/>
  <c r="AP89" i="50"/>
  <c r="AF25" i="50"/>
  <c r="AH82" i="50" l="1"/>
  <c r="AH86" i="50" s="1"/>
  <c r="AX83" i="50"/>
  <c r="AG82" i="50"/>
  <c r="AG86" i="50" s="1"/>
  <c r="AZ85" i="50"/>
  <c r="AC9" i="56"/>
  <c r="AC17" i="56"/>
  <c r="AC16" i="56" s="1"/>
  <c r="AO94" i="50"/>
  <c r="AF85" i="50"/>
  <c r="AX85" i="50" s="1"/>
  <c r="AO86" i="50"/>
  <c r="AZ83" i="50"/>
  <c r="AG22" i="56"/>
  <c r="AG21" i="56" s="1"/>
  <c r="AZ89" i="50"/>
  <c r="AB9" i="56"/>
  <c r="AB22" i="56"/>
  <c r="AB21" i="56" s="1"/>
  <c r="AP86" i="50"/>
  <c r="AP84" i="50"/>
  <c r="AP88" i="50" s="1"/>
  <c r="AP92" i="50" s="1"/>
  <c r="AD9" i="56"/>
  <c r="AE9" i="56"/>
  <c r="AE22" i="56"/>
  <c r="AE21" i="56" s="1"/>
  <c r="AG17" i="56"/>
  <c r="AG16" i="56" s="1"/>
  <c r="AF22" i="56"/>
  <c r="AF21" i="56" s="1"/>
  <c r="AF9" i="56"/>
  <c r="AD17" i="56"/>
  <c r="AD16" i="56" s="1"/>
  <c r="CF12" i="111"/>
  <c r="CG11" i="111"/>
  <c r="AF197" i="50"/>
  <c r="AP93" i="50"/>
  <c r="AZ93" i="50" s="1"/>
  <c r="AP90" i="50"/>
  <c r="AP94" i="50" s="1"/>
  <c r="AO84" i="50" l="1"/>
  <c r="AO88" i="50" s="1"/>
  <c r="AF82" i="50"/>
  <c r="AF86" i="50" s="1"/>
  <c r="AX86" i="50" s="1"/>
  <c r="AZ86" i="50"/>
  <c r="AZ90" i="50"/>
  <c r="AZ94" i="50"/>
  <c r="CG12" i="111"/>
  <c r="CH11" i="111"/>
  <c r="AG215" i="50"/>
  <c r="AG177" i="50"/>
  <c r="X11" i="56" s="1"/>
  <c r="AG95" i="50"/>
  <c r="AG180" i="50"/>
  <c r="AZ69" i="50" s="1"/>
  <c r="AG190" i="50"/>
  <c r="AG191" i="50" s="1"/>
  <c r="AG181" i="50"/>
  <c r="AG96" i="50"/>
  <c r="AG97" i="50"/>
  <c r="AZ84" i="50" l="1"/>
  <c r="AO92" i="50"/>
  <c r="AZ92" i="50" s="1"/>
  <c r="AZ88" i="50"/>
  <c r="CH12" i="111"/>
  <c r="AX180" i="50"/>
  <c r="AG25" i="50"/>
  <c r="AG182" i="50"/>
  <c r="AX181" i="50"/>
  <c r="AG38" i="50"/>
  <c r="AH2" i="50"/>
  <c r="Y14" i="56" s="1"/>
  <c r="AG2" i="50"/>
  <c r="X14" i="56" s="1"/>
  <c r="X34" i="56" s="1"/>
  <c r="X40" i="56" s="1"/>
  <c r="AG7" i="50"/>
  <c r="X22" i="56"/>
  <c r="X21" i="56" s="1"/>
  <c r="X17" i="56"/>
  <c r="X16" i="56" s="1"/>
  <c r="X9" i="56"/>
  <c r="X7" i="56" s="1"/>
  <c r="AH7" i="50" l="1"/>
  <c r="AH38" i="50"/>
  <c r="AG197" i="50"/>
  <c r="AX182" i="50"/>
  <c r="AH25" i="50"/>
  <c r="AI25" i="50" l="1"/>
  <c r="AJ24" i="50"/>
  <c r="AI38" i="50"/>
  <c r="AJ37" i="50"/>
  <c r="AI7" i="50"/>
  <c r="AI2" i="50"/>
  <c r="Z14" i="56" s="1"/>
  <c r="AJ25" i="50" l="1"/>
  <c r="AK24" i="50"/>
  <c r="AJ38" i="50"/>
  <c r="AK37" i="50"/>
  <c r="AL24" i="50" l="1"/>
  <c r="AK25" i="50"/>
  <c r="AL37" i="50"/>
  <c r="AK38" i="50"/>
  <c r="AM37" i="50" l="1"/>
  <c r="AL38" i="50"/>
  <c r="AL25" i="50"/>
  <c r="AM24" i="50"/>
  <c r="AM25" i="50" l="1"/>
  <c r="AN24" i="50"/>
  <c r="AM38" i="50"/>
  <c r="AN37" i="50"/>
  <c r="AN25" i="50" l="1"/>
  <c r="AN38" i="50"/>
  <c r="AO37" i="50"/>
  <c r="AO38" i="50" l="1"/>
  <c r="AP37" i="50"/>
  <c r="AQ37" i="50" l="1"/>
  <c r="AP38" i="50"/>
  <c r="AE42" i="56"/>
  <c r="AQ38" i="50" l="1"/>
  <c r="AR37" i="50"/>
  <c r="AE37" i="56"/>
  <c r="AR38" i="50" l="1"/>
  <c r="AS37" i="50"/>
  <c r="AS38" i="50" l="1"/>
  <c r="AT37" i="50"/>
  <c r="AT38" i="50" l="1"/>
  <c r="AU37" i="50"/>
  <c r="AF101" i="50"/>
  <c r="W33" i="56"/>
  <c r="AU38" i="50" l="1"/>
  <c r="AV37" i="50"/>
  <c r="AV38" i="50" s="1"/>
  <c r="W42" i="56"/>
  <c r="W37" i="56"/>
  <c r="W34" i="56" l="1"/>
  <c r="W40" i="56" s="1"/>
  <c r="W41" i="56" s="1"/>
  <c r="Y34" i="56"/>
  <c r="X41" i="56"/>
  <c r="Y40" i="56" l="1"/>
  <c r="Y41" i="56" s="1"/>
  <c r="Z34" i="56" l="1"/>
  <c r="Z40" i="56" s="1"/>
  <c r="Z41" i="56" s="1"/>
  <c r="AA32" i="56"/>
  <c r="AB32" i="56" s="1"/>
  <c r="AC32" i="56" l="1"/>
  <c r="AD32" i="56" l="1"/>
  <c r="AE32" i="56" s="1"/>
  <c r="AF32" i="56" l="1"/>
  <c r="AG32" i="56" l="1"/>
  <c r="AH32" i="56" l="1"/>
  <c r="AI32" i="56" l="1"/>
  <c r="AI34" i="56" s="1"/>
  <c r="AJ32" i="56" l="1"/>
  <c r="AK32" i="56" s="1"/>
  <c r="AL32" i="56" s="1"/>
  <c r="AM32" i="56" l="1"/>
  <c r="AM19" i="50"/>
  <c r="AM53" i="50"/>
  <c r="AM101" i="50"/>
  <c r="AL19" i="50"/>
  <c r="AL53" i="50"/>
  <c r="AN53" i="50"/>
  <c r="AN19" i="50"/>
  <c r="AN101" i="50"/>
  <c r="AN190" i="50"/>
  <c r="AR53" i="50"/>
  <c r="AR19" i="50"/>
  <c r="AR190" i="50"/>
  <c r="AL172" i="50"/>
  <c r="AL196" i="50" s="1"/>
  <c r="AR172" i="50"/>
  <c r="AR196" i="50" s="1"/>
  <c r="AL190" i="50"/>
  <c r="AN172" i="50"/>
  <c r="AM190" i="50"/>
  <c r="AM172" i="50"/>
  <c r="AM196" i="50" s="1"/>
  <c r="AE8" i="56" l="1"/>
  <c r="AE7" i="56" s="1"/>
  <c r="AN196" i="50"/>
  <c r="AM191" i="50"/>
  <c r="AN191" i="50"/>
  <c r="AD8" i="56"/>
  <c r="AD7" i="56" s="1"/>
  <c r="AC8" i="56"/>
  <c r="AC7" i="56" s="1"/>
  <c r="AL191" i="50"/>
  <c r="AR191" i="50"/>
  <c r="AI8" i="56"/>
  <c r="AI7" i="56" s="1"/>
  <c r="AK19" i="50"/>
  <c r="AK53" i="50"/>
  <c r="AK101" i="50"/>
  <c r="AB8" i="56"/>
  <c r="AB7" i="56" s="1"/>
  <c r="AK190" i="50"/>
  <c r="AK191" i="50" l="1"/>
  <c r="AO30" i="50" l="1"/>
  <c r="AP30" i="50" s="1"/>
  <c r="AO24" i="50"/>
  <c r="AP24" i="50" s="1"/>
  <c r="AO53" i="50" l="1"/>
  <c r="AQ30" i="50"/>
  <c r="AP32" i="50"/>
  <c r="AQ24" i="50"/>
  <c r="AP25" i="50"/>
  <c r="AO19" i="50"/>
  <c r="AO32" i="50"/>
  <c r="AO172" i="50"/>
  <c r="AO25" i="50"/>
  <c r="AF8" i="56" l="1"/>
  <c r="AF7" i="56" s="1"/>
  <c r="AO196" i="50"/>
  <c r="AW196" i="50" s="1"/>
  <c r="AW172" i="50"/>
  <c r="AW197" i="50" s="1"/>
  <c r="AQ25" i="50"/>
  <c r="AR24" i="50"/>
  <c r="AO191" i="50"/>
  <c r="AR30" i="50"/>
  <c r="AQ32" i="50"/>
  <c r="AS24" i="50" l="1"/>
  <c r="AR25" i="50"/>
  <c r="AR32" i="50"/>
  <c r="AS30" i="50"/>
  <c r="AS32" i="50" l="1"/>
  <c r="AT30" i="50"/>
  <c r="AS25" i="50"/>
  <c r="AT24" i="50"/>
  <c r="AX111" i="50"/>
  <c r="AJ53" i="50"/>
  <c r="AJ101" i="50"/>
  <c r="AJ190" i="50"/>
  <c r="AJ16" i="50"/>
  <c r="AJ18" i="50" s="1"/>
  <c r="AJ173" i="50"/>
  <c r="AJ172" i="50" s="1"/>
  <c r="AJ19" i="50"/>
  <c r="AJ6" i="50"/>
  <c r="AJ7" i="50" s="1"/>
  <c r="AT25" i="50" l="1"/>
  <c r="AU24" i="50"/>
  <c r="AT32" i="50"/>
  <c r="AU30" i="50"/>
  <c r="AX172" i="50"/>
  <c r="AZ68" i="50"/>
  <c r="BA69" i="50" s="1"/>
  <c r="BD69" i="50" s="1"/>
  <c r="AJ191" i="50"/>
  <c r="AA8" i="56"/>
  <c r="AA7" i="56" s="1"/>
  <c r="AK6" i="50"/>
  <c r="AJ2" i="50"/>
  <c r="AA14" i="56" s="1"/>
  <c r="AA34" i="56" s="1"/>
  <c r="AA40" i="56" s="1"/>
  <c r="AA41" i="56" s="1"/>
  <c r="AK16" i="50"/>
  <c r="AL16" i="50" s="1"/>
  <c r="AM16" i="50" s="1"/>
  <c r="AN16" i="50" s="1"/>
  <c r="AO16" i="50" s="1"/>
  <c r="AP16" i="50" s="1"/>
  <c r="AU32" i="50" l="1"/>
  <c r="AV30" i="50"/>
  <c r="AV32" i="50" s="1"/>
  <c r="AU25" i="50"/>
  <c r="AV24" i="50"/>
  <c r="AV25" i="50" s="1"/>
  <c r="BC69" i="50"/>
  <c r="BA68" i="50"/>
  <c r="AZ60" i="50" s="1"/>
  <c r="AK18" i="50"/>
  <c r="AL6" i="50"/>
  <c r="AK2" i="50"/>
  <c r="AB14" i="56" s="1"/>
  <c r="AB34" i="56" s="1"/>
  <c r="AK7" i="50"/>
  <c r="AB40" i="56" l="1"/>
  <c r="AB41" i="56" s="1"/>
  <c r="AX60" i="50"/>
  <c r="BD68" i="50" s="1"/>
  <c r="BD71" i="50" s="1"/>
  <c r="BD72" i="50" s="1"/>
  <c r="BA60" i="50"/>
  <c r="BC68" i="50" s="1"/>
  <c r="BC71" i="50" s="1"/>
  <c r="BC72" i="50" s="1"/>
  <c r="AM6" i="50"/>
  <c r="AL2" i="50"/>
  <c r="AC14" i="56" s="1"/>
  <c r="AC34" i="56" s="1"/>
  <c r="AL7" i="50"/>
  <c r="AL18" i="50"/>
  <c r="AC40" i="56" l="1"/>
  <c r="AC41" i="56" s="1"/>
  <c r="BE68" i="50"/>
  <c r="AM18" i="50"/>
  <c r="AN6" i="50"/>
  <c r="AM7" i="50"/>
  <c r="AM2" i="50"/>
  <c r="AD14" i="56" s="1"/>
  <c r="AD34" i="56" s="1"/>
  <c r="AD40" i="56" l="1"/>
  <c r="AD41" i="56" s="1"/>
  <c r="AN2" i="50"/>
  <c r="AE14" i="56" s="1"/>
  <c r="AO6" i="50"/>
  <c r="AN7" i="50"/>
  <c r="AN18" i="50"/>
  <c r="AE34" i="56" l="1"/>
  <c r="AO18" i="50"/>
  <c r="AO7" i="50"/>
  <c r="AO2" i="50"/>
  <c r="AF14" i="56" s="1"/>
  <c r="AF34" i="56" s="1"/>
  <c r="AP6" i="50"/>
  <c r="AF40" i="56" l="1"/>
  <c r="AF41" i="56" s="1"/>
  <c r="AE40" i="56"/>
  <c r="AE41" i="56" s="1"/>
  <c r="AP2" i="50"/>
  <c r="AG14" i="56" s="1"/>
  <c r="AG34" i="56" s="1"/>
  <c r="AQ6" i="50"/>
  <c r="AP7" i="50"/>
  <c r="AP18" i="50"/>
  <c r="AQ16" i="50"/>
  <c r="AG40" i="56" l="1"/>
  <c r="AG41" i="56" s="1"/>
  <c r="AR6" i="50"/>
  <c r="AQ2" i="50"/>
  <c r="AH14" i="56" s="1"/>
  <c r="AH34" i="56" s="1"/>
  <c r="AQ7" i="50"/>
  <c r="AR16" i="50"/>
  <c r="AQ18" i="50"/>
  <c r="AH40" i="56" l="1"/>
  <c r="AH41" i="56" s="1"/>
  <c r="AR18" i="50"/>
  <c r="AS16" i="50"/>
  <c r="AR7" i="50"/>
  <c r="AR2" i="50"/>
  <c r="AI14" i="56" s="1"/>
  <c r="AS6" i="50"/>
  <c r="AI40" i="56" l="1"/>
  <c r="AI41" i="56" s="1"/>
  <c r="AS7" i="50"/>
  <c r="AS2" i="50"/>
  <c r="AT6" i="50"/>
  <c r="AU6" i="50" s="1"/>
  <c r="AV6" i="50" s="1"/>
  <c r="AT16" i="50"/>
  <c r="AS18" i="50"/>
  <c r="AJ14" i="56" l="1"/>
  <c r="AJ34" i="56" s="1"/>
  <c r="AV7" i="50"/>
  <c r="AV2" i="50"/>
  <c r="AM14" i="56" s="1"/>
  <c r="AM34" i="56" s="1"/>
  <c r="AU2" i="50"/>
  <c r="AL14" i="56" s="1"/>
  <c r="AL34" i="56" s="1"/>
  <c r="AU7" i="50"/>
  <c r="AT18" i="50"/>
  <c r="AU16" i="50"/>
  <c r="AT2" i="50"/>
  <c r="AT7" i="50"/>
  <c r="AJ40" i="56" l="1"/>
  <c r="AJ41" i="56" s="1"/>
  <c r="AL40" i="56"/>
  <c r="AL41" i="56" s="1"/>
  <c r="AM40" i="56"/>
  <c r="AM41" i="56" s="1"/>
  <c r="AK14" i="56"/>
  <c r="AK34" i="56" s="1"/>
  <c r="AU18" i="50"/>
  <c r="AV16" i="50"/>
  <c r="AV18" i="50" s="1"/>
  <c r="AK40" i="56" l="1"/>
  <c r="AK41" i="5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Quantumuser</author>
  </authors>
  <commentList>
    <comment ref="H24" authorId="0" shapeId="0" xr:uid="{00000000-0006-0000-0000-000001000000}">
      <text>
        <r>
          <rPr>
            <b/>
            <sz val="9"/>
            <color indexed="81"/>
            <rFont val="Tahoma"/>
            <family val="2"/>
          </rPr>
          <t>Windows User:</t>
        </r>
        <r>
          <rPr>
            <sz val="9"/>
            <color indexed="81"/>
            <rFont val="Tahoma"/>
            <family val="2"/>
          </rPr>
          <t xml:space="preserve">
rev0 = 10 Ton/hr.
rev1 = 15 Ton/hr.
rev2 = 16.2 Ton/hr.</t>
        </r>
      </text>
    </comment>
    <comment ref="I24" authorId="0" shapeId="0" xr:uid="{00000000-0006-0000-0000-000002000000}">
      <text>
        <r>
          <rPr>
            <b/>
            <sz val="9"/>
            <color indexed="81"/>
            <rFont val="Tahoma"/>
            <family val="2"/>
          </rPr>
          <t xml:space="preserve">Windows User:
</t>
        </r>
        <r>
          <rPr>
            <sz val="9"/>
            <color indexed="81"/>
            <rFont val="Tahoma"/>
            <family val="2"/>
          </rPr>
          <t>rev0 = 13.55 KT (10,080 Ton)
rev1 = 15 KT</t>
        </r>
      </text>
    </comment>
    <comment ref="L32" authorId="1" shapeId="0" xr:uid="{00000000-0006-0000-0000-000003000000}">
      <text>
        <r>
          <rPr>
            <b/>
            <sz val="9"/>
            <color indexed="81"/>
            <rFont val="Tahoma"/>
            <family val="2"/>
          </rPr>
          <t>Quantumuser:</t>
        </r>
        <r>
          <rPr>
            <sz val="9"/>
            <color indexed="81"/>
            <rFont val="Tahoma"/>
            <family val="2"/>
          </rPr>
          <t xml:space="preserve">
Oleflex: TA 10 Oct’21 - 15 Nov’21</t>
        </r>
      </text>
    </comment>
    <comment ref="S33" authorId="0" shapeId="0" xr:uid="{00000000-0006-0000-0000-000004000000}">
      <text>
        <r>
          <rPr>
            <b/>
            <sz val="9"/>
            <color indexed="81"/>
            <rFont val="Tahoma"/>
            <family val="2"/>
          </rPr>
          <t>Windows User:</t>
        </r>
        <r>
          <rPr>
            <sz val="9"/>
            <color indexed="81"/>
            <rFont val="Tahoma"/>
            <family val="2"/>
          </rPr>
          <t xml:space="preserve">
OLE3 มีแผน TA : 3 May'22-10 Jun'22
</t>
        </r>
      </text>
    </comment>
    <comment ref="T33" authorId="0" shapeId="0" xr:uid="{00000000-0006-0000-0000-000005000000}">
      <text>
        <r>
          <rPr>
            <b/>
            <sz val="9"/>
            <color indexed="81"/>
            <rFont val="Tahoma"/>
            <family val="2"/>
          </rPr>
          <t>Windows User:</t>
        </r>
        <r>
          <rPr>
            <sz val="9"/>
            <color indexed="81"/>
            <rFont val="Tahoma"/>
            <family val="2"/>
          </rPr>
          <t xml:space="preserve">
OLE3 มีแผน TA : 3 May'22-10 Jun'22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Quantumuser</author>
  </authors>
  <commentList>
    <comment ref="V24" authorId="0" shapeId="0" xr:uid="{00000000-0006-0000-0100-000001000000}">
      <text>
        <r>
          <rPr>
            <b/>
            <sz val="9"/>
            <color indexed="81"/>
            <rFont val="Tahoma"/>
            <family val="2"/>
          </rPr>
          <t>Quantumuser:</t>
        </r>
        <r>
          <rPr>
            <sz val="9"/>
            <color indexed="81"/>
            <rFont val="Tahoma"/>
            <family val="2"/>
          </rPr>
          <t xml:space="preserve">
rev0 = 1.5KT
rev1 = 0.55KT เขมร demand drop, lock down
rev2=1.25 demand increase
rev3 = 2.7 demand increase</t>
        </r>
      </text>
    </comment>
    <comment ref="W24" authorId="0" shapeId="0" xr:uid="{00000000-0006-0000-0100-000002000000}">
      <text>
        <r>
          <rPr>
            <b/>
            <sz val="9"/>
            <color indexed="81"/>
            <rFont val="Tahoma"/>
            <family val="2"/>
          </rPr>
          <t>Quantumuser:</t>
        </r>
        <r>
          <rPr>
            <sz val="9"/>
            <color indexed="81"/>
            <rFont val="Tahoma"/>
            <family val="2"/>
          </rPr>
          <t xml:space="preserve">
rev0 = 1.5
Rev1 = 5 cambodia demand increase (รอ confirm 26 jul)</t>
        </r>
      </text>
    </comment>
    <comment ref="X24" authorId="0" shapeId="0" xr:uid="{00000000-0006-0000-0100-000003000000}">
      <text>
        <r>
          <rPr>
            <b/>
            <sz val="9"/>
            <color indexed="81"/>
            <rFont val="Tahoma"/>
            <family val="2"/>
          </rPr>
          <t>Quantumuser:</t>
        </r>
        <r>
          <rPr>
            <sz val="9"/>
            <color indexed="81"/>
            <rFont val="Tahoma"/>
            <family val="2"/>
          </rPr>
          <t xml:space="preserve">
rev0 4.5
rev1 = 3.5 เวียดนาม demand drop เลยส่งของราคาถูกไปประเทศอื่นๆ
</t>
        </r>
      </text>
    </comment>
    <comment ref="Y24" authorId="0" shapeId="0" xr:uid="{00000000-0006-0000-0100-000004000000}">
      <text>
        <r>
          <rPr>
            <b/>
            <sz val="9"/>
            <color indexed="81"/>
            <rFont val="Tahoma"/>
            <family val="2"/>
          </rPr>
          <t>Quantumuser:
Rev0 =4
Rev1 =3.3
rev 2 4</t>
        </r>
      </text>
    </comment>
    <comment ref="Z24" authorId="0" shapeId="0" xr:uid="{00000000-0006-0000-0100-000005000000}">
      <text>
        <r>
          <rPr>
            <b/>
            <sz val="9"/>
            <color indexed="81"/>
            <rFont val="Tahoma"/>
            <family val="2"/>
          </rPr>
          <t>Quantumuser:</t>
        </r>
        <r>
          <rPr>
            <sz val="9"/>
            <color indexed="81"/>
            <rFont val="Tahoma"/>
            <family val="2"/>
          </rPr>
          <t xml:space="preserve">
rev0 =1.5
Rev1 = 4
Rev2 =5</t>
        </r>
      </text>
    </comment>
    <comment ref="AA24" authorId="0" shapeId="0" xr:uid="{00000000-0006-0000-0100-000006000000}">
      <text>
        <r>
          <rPr>
            <b/>
            <sz val="9"/>
            <color indexed="81"/>
            <rFont val="Tahoma"/>
            <family val="2"/>
          </rPr>
          <t>Quantumuser:</t>
        </r>
        <r>
          <rPr>
            <sz val="9"/>
            <color indexed="81"/>
            <rFont val="Tahoma"/>
            <family val="2"/>
          </rPr>
          <t xml:space="preserve">
rev0 1.5
rev2 5
Rev3 6</t>
        </r>
      </text>
    </comment>
    <comment ref="U26" authorId="0" shapeId="0" xr:uid="{00000000-0006-0000-0100-000007000000}">
      <text>
        <r>
          <rPr>
            <b/>
            <sz val="9"/>
            <color indexed="81"/>
            <rFont val="Tahoma"/>
            <family val="2"/>
          </rPr>
          <t>Quantumuser:</t>
        </r>
        <r>
          <rPr>
            <sz val="9"/>
            <color indexed="81"/>
            <rFont val="Tahoma"/>
            <family val="2"/>
          </rPr>
          <t xml:space="preserve">
rev0 = 0.6KT
rev1 = 1KT Demand increase
rev2 = 1.5KT demand increase</t>
        </r>
      </text>
    </comment>
    <comment ref="V26" authorId="0" shapeId="0" xr:uid="{00000000-0006-0000-0100-000008000000}">
      <text>
        <r>
          <rPr>
            <b/>
            <sz val="9"/>
            <color indexed="81"/>
            <rFont val="Tahoma"/>
            <family val="2"/>
          </rPr>
          <t>Quantumuser:
rev0 = 0.7
rev1 = 1 or demand increase</t>
        </r>
      </text>
    </comment>
    <comment ref="W26" authorId="0" shapeId="0" xr:uid="{00000000-0006-0000-0100-000009000000}">
      <text>
        <r>
          <rPr>
            <b/>
            <sz val="9"/>
            <color indexed="81"/>
            <rFont val="Tahoma"/>
            <family val="2"/>
          </rPr>
          <t>Quantumuser:</t>
        </r>
        <r>
          <rPr>
            <sz val="9"/>
            <color indexed="81"/>
            <rFont val="Tahoma"/>
            <family val="2"/>
          </rPr>
          <t xml:space="preserve">
rev0 = 1.050
Rev1 =1.4 demand increase</t>
        </r>
      </text>
    </comment>
    <comment ref="X26" authorId="0" shapeId="0" xr:uid="{00000000-0006-0000-0100-00000A000000}">
      <text>
        <r>
          <rPr>
            <b/>
            <sz val="9"/>
            <color indexed="81"/>
            <rFont val="Tahoma"/>
            <family val="2"/>
          </rPr>
          <t>Quantumuser:</t>
        </r>
        <r>
          <rPr>
            <sz val="9"/>
            <color indexed="81"/>
            <rFont val="Tahoma"/>
            <family val="2"/>
          </rPr>
          <t xml:space="preserve">
Rev0 =1.05
Rev1 = 1.65 Or requestd เพิ่ม</t>
        </r>
      </text>
    </comment>
    <comment ref="Y26" authorId="0" shapeId="0" xr:uid="{00000000-0006-0000-0100-00000B000000}">
      <text>
        <r>
          <rPr>
            <b/>
            <sz val="9"/>
            <color indexed="81"/>
            <rFont val="Tahoma"/>
            <family val="2"/>
          </rPr>
          <t>Quantumuser:</t>
        </r>
        <r>
          <rPr>
            <sz val="9"/>
            <color indexed="81"/>
            <rFont val="Tahoma"/>
            <family val="2"/>
          </rPr>
          <t xml:space="preserve">
Rev0 = 0.88
Rev1 = 1 OR ขอ 2.6 แต่ GSP invent low ก่อนเรือเข้า พย เลยไม่อยากให้
Rev2 = 1.8 OR โยกจาก BRP ในประเทศ</t>
        </r>
      </text>
    </comment>
    <comment ref="A34" authorId="0" shapeId="0" xr:uid="{00000000-0006-0000-0100-00000C000000}">
      <text>
        <r>
          <rPr>
            <b/>
            <sz val="9"/>
            <color indexed="81"/>
            <rFont val="Tahoma"/>
            <family val="2"/>
          </rPr>
          <t>Quantumuser:</t>
        </r>
        <r>
          <rPr>
            <sz val="9"/>
            <color indexed="81"/>
            <rFont val="Tahoma"/>
            <family val="2"/>
          </rPr>
          <t xml:space="preserve">
แต่ละจุดห้ามต่ำกว่า GSP 6 KT, MT 7 KT, BRP 1 KT = 14 KT
ประมาณ 50 จะไม่เกิด dem 
ถึง 30 มิ.ย. 64 : min กม. 19 KT/ internal LR 36 KT
ตั้งแต่ 1 ก.ค. 64 : min กม. 22.03 KT/ internal LR 39.03 KT
ตั้งแต่ 1 มค 65 min 37.6KT / inter 54.6</t>
        </r>
      </text>
    </comment>
    <comment ref="V34" authorId="0" shapeId="0" xr:uid="{00000000-0006-0000-0100-00000D000000}">
      <text>
        <r>
          <rPr>
            <b/>
            <sz val="9"/>
            <color indexed="81"/>
            <rFont val="Tahoma"/>
            <family val="2"/>
          </rPr>
          <t>Quantumuser:</t>
        </r>
        <r>
          <rPr>
            <sz val="9"/>
            <color indexed="81"/>
            <rFont val="Tahoma"/>
            <family val="2"/>
          </rPr>
          <t xml:space="preserve">
GSP เพิ่งปรับ LR</t>
        </r>
      </text>
    </comment>
    <comment ref="AE42" authorId="0" shapeId="0" xr:uid="{00000000-0006-0000-0100-00000E000000}">
      <text>
        <r>
          <rPr>
            <b/>
            <sz val="9"/>
            <color indexed="81"/>
            <rFont val="Tahoma"/>
            <family val="2"/>
          </rPr>
          <t>Quantumuser:</t>
        </r>
        <r>
          <rPr>
            <sz val="9"/>
            <color indexed="81"/>
            <rFont val="Tahoma"/>
            <family val="2"/>
          </rPr>
          <t xml:space="preserve">
C3 revserd pipeline to SCG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Quantumuser</author>
    <author>Windows User</author>
  </authors>
  <commentList>
    <comment ref="AF3" authorId="0" shapeId="0" xr:uid="{00000000-0006-0000-0200-000001000000}">
      <text>
        <r>
          <rPr>
            <b/>
            <sz val="9"/>
            <color indexed="81"/>
            <rFont val="Tahoma"/>
            <family val="2"/>
          </rPr>
          <t>Quantumuser:</t>
        </r>
        <r>
          <rPr>
            <sz val="9"/>
            <color indexed="81"/>
            <rFont val="Tahoma"/>
            <family val="2"/>
          </rPr>
          <t xml:space="preserve">
GSP 5 ปรับ mode Max petro ลด C3 ปรับแล้วกลับมาไม่ได้แล้ว</t>
        </r>
      </text>
    </comment>
    <comment ref="AH3" authorId="0" shapeId="0" xr:uid="{00000000-0006-0000-0200-000002000000}">
      <text>
        <r>
          <rPr>
            <b/>
            <sz val="9"/>
            <color indexed="81"/>
            <rFont val="Tahoma"/>
            <family val="2"/>
          </rPr>
          <t>Quantumuser:</t>
        </r>
        <r>
          <rPr>
            <sz val="9"/>
            <color indexed="81"/>
            <rFont val="Tahoma"/>
            <family val="2"/>
          </rPr>
          <t xml:space="preserve">
เปลี่ยนถ่ายสัปทาน ได้ก๊าซน้อย ต้องลด feed ทั้งปี 2022 เริ่มเยอะ พค
chervon --&gt; pttep</t>
        </r>
      </text>
    </comment>
    <comment ref="AH7" authorId="0" shapeId="0" xr:uid="{00000000-0006-0000-0200-000003000000}">
      <text>
        <r>
          <rPr>
            <b/>
            <sz val="9"/>
            <color indexed="81"/>
            <rFont val="Tahoma"/>
            <family val="2"/>
          </rPr>
          <t>Quantumuser:</t>
        </r>
        <r>
          <rPr>
            <sz val="9"/>
            <color indexed="81"/>
            <rFont val="Tahoma"/>
            <family val="2"/>
          </rPr>
          <t xml:space="preserve">
 25.10 กผ ต้องปิดเดือน 35%</t>
        </r>
      </text>
    </comment>
    <comment ref="AJ7" authorId="1" shapeId="0" xr:uid="{00000000-0006-0000-0200-000004000000}">
      <text>
        <r>
          <rPr>
            <b/>
            <sz val="9"/>
            <color indexed="81"/>
            <rFont val="Tahoma"/>
            <family val="2"/>
          </rPr>
          <t>Windows User:</t>
        </r>
        <r>
          <rPr>
            <sz val="9"/>
            <color indexed="81"/>
            <rFont val="Tahoma"/>
            <family val="2"/>
          </rPr>
          <t xml:space="preserve">
ต้องปิดขั้นต่ำ 50% เตรียมรับ LR 2% ในเดือน Jan'22</t>
        </r>
      </text>
    </comment>
    <comment ref="AK7" authorId="0" shapeId="0" xr:uid="{00000000-0006-0000-0200-000005000000}">
      <text>
        <r>
          <rPr>
            <b/>
            <sz val="9"/>
            <color indexed="81"/>
            <rFont val="Tahoma"/>
            <family val="2"/>
          </rPr>
          <t>Quantumuser:</t>
        </r>
        <r>
          <rPr>
            <sz val="9"/>
            <color indexed="81"/>
            <rFont val="Tahoma"/>
            <family val="2"/>
          </rPr>
          <t xml:space="preserve">
ต้องปิดขั้นต่ำ 50%
LR จาก 1% เป็น 2% เริ่ม 1 Jan'22</t>
        </r>
      </text>
    </comment>
    <comment ref="J8" authorId="0" shapeId="0" xr:uid="{00000000-0006-0000-0200-000006000000}">
      <text>
        <r>
          <rPr>
            <b/>
            <sz val="9"/>
            <color indexed="81"/>
            <rFont val="Tahoma"/>
            <family val="2"/>
          </rPr>
          <t>Quantumuser:</t>
        </r>
        <r>
          <rPr>
            <sz val="9"/>
            <color indexed="81"/>
            <rFont val="Tahoma"/>
            <family val="2"/>
          </rPr>
          <t xml:space="preserve">
rev0 = 26 KT
rev1 = 33 KT
</t>
        </r>
      </text>
    </comment>
    <comment ref="K8" authorId="0" shapeId="0" xr:uid="{00000000-0006-0000-0200-000007000000}">
      <text>
        <r>
          <rPr>
            <b/>
            <sz val="9"/>
            <color indexed="81"/>
            <rFont val="Tahoma"/>
            <family val="2"/>
          </rPr>
          <t>Quantumuser:</t>
        </r>
        <r>
          <rPr>
            <sz val="9"/>
            <color indexed="81"/>
            <rFont val="Tahoma"/>
            <family val="2"/>
          </rPr>
          <t xml:space="preserve">
rev0 = 18 KT
rev1 = 13 KT โยกไปเดือน ธค 62 = 5 KT
rev2 = 11.6 ดึงต่ำกว่าแผน
</t>
        </r>
      </text>
    </comment>
    <comment ref="L8" authorId="0" shapeId="0" xr:uid="{00000000-0006-0000-0200-000008000000}">
      <text>
        <r>
          <rPr>
            <b/>
            <sz val="9"/>
            <color indexed="81"/>
            <rFont val="Tahoma"/>
            <family val="2"/>
          </rPr>
          <t>Quantumuser:</t>
        </r>
        <r>
          <rPr>
            <sz val="9"/>
            <color indexed="81"/>
            <rFont val="Tahoma"/>
            <family val="2"/>
          </rPr>
          <t xml:space="preserve">
rev0 = 5
rev1 = 10 โยกมาจากเดือน พย 62
rev2 = 12 เพื่อ clear block ถัง
rev3 = 14.1 KT โยกมาจากเดือน มค. 63 เนื่องจาก ปก. แจ้ง งแต่วันที่ 25 ธ.ค. 62 Tax LPG ใน Sphere มีปริมาณค่อนข้างน้อย ซึ่งจะส่งผลให้เรือในประเทศที่มารับ LPG ที่ MT delay ดังนั้น เพื่อไม่ให้เกิดผลกระทบต่อลูกค้า LPG ทั้งหมดของ PTT รบกวน PTT พิจารณาเพิ่มการใช้ Impo-Untax/Untax สำหรับในประเทศเป็นปริมาณ 2,100 ตัน (ในกรณีที่ ปก. เพิ่มการรับ LPG จาก GSP เพื่อเพิ่มปริมาณ Tax ให้เพียงพอในการจ่ายลูกค้า จะส่งผลให้เรือ Import delay แทน)</t>
        </r>
      </text>
    </comment>
    <comment ref="M8" authorId="0" shapeId="0" xr:uid="{00000000-0006-0000-0200-000009000000}">
      <text>
        <r>
          <rPr>
            <b/>
            <sz val="9"/>
            <color indexed="81"/>
            <rFont val="Tahoma"/>
            <family val="2"/>
          </rPr>
          <t>Quantumuser:</t>
        </r>
        <r>
          <rPr>
            <sz val="9"/>
            <color indexed="81"/>
            <rFont val="Tahoma"/>
            <family val="2"/>
          </rPr>
          <t xml:space="preserve">
rev0 = 15
rev1 = 22 KT เพื่อ balance ถังให้ปิดที่ 36%
rev2 = 19.9 KT โยกไปจ่ายเดือน ธค. 62 ก่อน
rev3 = 0 KT Petro ลดการรับ (HMC, PTTAC, GC) และ GSP ลดกำลังการผลิต เนื่องจาก Petro blackout
</t>
        </r>
      </text>
    </comment>
    <comment ref="R8" authorId="1" shapeId="0" xr:uid="{00000000-0006-0000-0200-00000A000000}">
      <text>
        <r>
          <rPr>
            <b/>
            <sz val="9"/>
            <color indexed="81"/>
            <rFont val="Tahoma"/>
            <family val="2"/>
          </rPr>
          <t>Windows User:</t>
        </r>
        <r>
          <rPr>
            <sz val="9"/>
            <color indexed="81"/>
            <rFont val="Tahoma"/>
            <family val="2"/>
          </rPr>
          <t xml:space="preserve">
ดึง import ได้ max 3 KT</t>
        </r>
      </text>
    </comment>
    <comment ref="S8" authorId="1" shapeId="0" xr:uid="{00000000-0006-0000-0200-00000B000000}">
      <text>
        <r>
          <rPr>
            <b/>
            <sz val="9"/>
            <color indexed="81"/>
            <rFont val="Tahoma"/>
            <family val="2"/>
          </rPr>
          <t>Windows User:</t>
        </r>
        <r>
          <rPr>
            <sz val="9"/>
            <color indexed="81"/>
            <rFont val="Tahoma"/>
            <family val="2"/>
          </rPr>
          <t xml:space="preserve">
import ที่สามารถดึงได้ 13 KT
</t>
        </r>
      </text>
    </comment>
    <comment ref="U8" authorId="1" shapeId="0" xr:uid="{00000000-0006-0000-0200-00000C000000}">
      <text>
        <r>
          <rPr>
            <b/>
            <sz val="9"/>
            <color indexed="81"/>
            <rFont val="Tahoma"/>
            <family val="2"/>
          </rPr>
          <t>Windows User:</t>
        </r>
        <r>
          <rPr>
            <sz val="9"/>
            <color indexed="81"/>
            <rFont val="Tahoma"/>
            <family val="2"/>
          </rPr>
          <t xml:space="preserve">
GC 6 
PTTOR 4</t>
        </r>
      </text>
    </comment>
    <comment ref="Z8" authorId="1" shapeId="0" xr:uid="{00000000-0006-0000-0200-00000D000000}">
      <text>
        <r>
          <rPr>
            <b/>
            <sz val="9"/>
            <color indexed="81"/>
            <rFont val="Tahoma"/>
            <family val="2"/>
          </rPr>
          <t xml:space="preserve">Windows User:
ดึงจริง 34 KT เนื่องจาก </t>
        </r>
        <r>
          <rPr>
            <sz val="9"/>
            <color indexed="81"/>
            <rFont val="Tahoma"/>
            <family val="2"/>
          </rPr>
          <t>บป. ดึงต่ำกว่าแผน เนื่องจาก GSP ถังสูง ต้องเปลี่ยนมารับ GSP บางส่วน</t>
        </r>
      </text>
    </comment>
    <comment ref="AB8" authorId="1" shapeId="0" xr:uid="{00000000-0006-0000-0200-00000E000000}">
      <text>
        <r>
          <rPr>
            <b/>
            <sz val="9"/>
            <color indexed="81"/>
            <rFont val="Tahoma"/>
            <family val="2"/>
          </rPr>
          <t>Windows User:</t>
        </r>
        <r>
          <rPr>
            <sz val="9"/>
            <color indexed="81"/>
            <rFont val="Tahoma"/>
            <family val="2"/>
          </rPr>
          <t xml:space="preserve">
import เมย์จะดึง 34.5 KT</t>
        </r>
      </text>
    </comment>
    <comment ref="AC8" authorId="1" shapeId="0" xr:uid="{00000000-0006-0000-0200-00000F000000}">
      <text>
        <r>
          <rPr>
            <b/>
            <sz val="9"/>
            <color indexed="81"/>
            <rFont val="Tahoma"/>
            <family val="2"/>
          </rPr>
          <t>Windows User:</t>
        </r>
        <r>
          <rPr>
            <sz val="9"/>
            <color indexed="81"/>
            <rFont val="Tahoma"/>
            <family val="2"/>
          </rPr>
          <t xml:space="preserve">
rev0 = 36
rev1 = 30 เนื่องจาก OR demand drop 2-7.5 KT</t>
        </r>
      </text>
    </comment>
    <comment ref="AD8" authorId="0" shapeId="0" xr:uid="{00000000-0006-0000-0200-000010000000}">
      <text>
        <r>
          <rPr>
            <b/>
            <sz val="9"/>
            <color indexed="81"/>
            <rFont val="Tahoma"/>
            <family val="2"/>
          </rPr>
          <t xml:space="preserve">Quantumuser:
</t>
        </r>
        <r>
          <rPr>
            <sz val="9"/>
            <color indexed="81"/>
            <rFont val="Tahoma"/>
            <family val="2"/>
          </rPr>
          <t>1/06: เมย์ขอดึง 26KT รอ hmc ก่อน
rev1 = 31.5 demand increase</t>
        </r>
        <r>
          <rPr>
            <b/>
            <sz val="9"/>
            <color indexed="81"/>
            <rFont val="Tahoma"/>
            <family val="2"/>
          </rPr>
          <t xml:space="preserve">
</t>
        </r>
      </text>
    </comment>
    <comment ref="AE8" authorId="0" shapeId="0" xr:uid="{00000000-0006-0000-0200-000011000000}">
      <text>
        <r>
          <rPr>
            <b/>
            <sz val="9"/>
            <color indexed="81"/>
            <rFont val="Tahoma"/>
            <family val="2"/>
          </rPr>
          <t>Quantumuser:</t>
        </r>
        <r>
          <rPr>
            <sz val="9"/>
            <color indexed="81"/>
            <rFont val="Tahoma"/>
            <family val="2"/>
          </rPr>
          <t xml:space="preserve">
rev0 = 97
rev1 = 99 or demand increase 1.4
rev2 = 97  OR demand drop covid lock down
rev3 = 94 Or demand drop
rev4 = 98 or demand increase + รายวัน ต่ำ
rev5 = 97 demand increase (รอ cf)</t>
        </r>
      </text>
    </comment>
    <comment ref="AF8" authorId="0" shapeId="0" xr:uid="{00000000-0006-0000-0200-000012000000}">
      <text>
        <r>
          <rPr>
            <b/>
            <sz val="9"/>
            <color indexed="81"/>
            <rFont val="Tahoma"/>
            <family val="2"/>
          </rPr>
          <t>Quantumuser:</t>
        </r>
        <r>
          <rPr>
            <sz val="9"/>
            <color indexed="81"/>
            <rFont val="Tahoma"/>
            <family val="2"/>
          </rPr>
          <t xml:space="preserve">
Rev0 =31
rev1 =26 Dom demand drop แต่ต้องดึง 26 เพื่อไม่เกิด dem
rev2 = 23 inventory เพิ่ม + demand export increase 1.5 --&gt; 6.1
rev2 </t>
        </r>
      </text>
    </comment>
    <comment ref="AG8" authorId="0" shapeId="0" xr:uid="{00000000-0006-0000-0200-000013000000}">
      <text>
        <r>
          <rPr>
            <b/>
            <sz val="9"/>
            <color indexed="81"/>
            <rFont val="Tahoma"/>
            <family val="2"/>
          </rPr>
          <t>Quantumuser:</t>
        </r>
        <r>
          <rPr>
            <sz val="9"/>
            <color indexed="81"/>
            <rFont val="Tahoma"/>
            <family val="2"/>
          </rPr>
          <t xml:space="preserve">
เมย์ได้อีก 4.5</t>
        </r>
      </text>
    </comment>
    <comment ref="AH8" authorId="0" shapeId="0" xr:uid="{00000000-0006-0000-0200-000014000000}">
      <text>
        <r>
          <rPr>
            <b/>
            <sz val="9"/>
            <color indexed="81"/>
            <rFont val="Tahoma"/>
            <family val="2"/>
          </rPr>
          <t>Quantumuser:</t>
        </r>
        <r>
          <rPr>
            <sz val="9"/>
            <color indexed="81"/>
            <rFont val="Tahoma"/>
            <family val="2"/>
          </rPr>
          <t xml:space="preserve">
มีของแค่ 38KT
Rev1 = 39KT MT ขอดึงเพิ่ม
Rev2 = 39.6 ขอดึงเพิ่ม Run pig
Rev3 = 42 GSP runpig ท่อไป MT ทำให้ มีของ Tax ส่งไปจ่ายลูกค้าไม่พอต้องเอา untax จ่าย
</t>
        </r>
      </text>
    </comment>
    <comment ref="AI8" authorId="0" shapeId="0" xr:uid="{00000000-0006-0000-0200-000015000000}">
      <text>
        <r>
          <rPr>
            <b/>
            <sz val="9"/>
            <color indexed="81"/>
            <rFont val="Tahoma"/>
            <family val="2"/>
          </rPr>
          <t>Quantumuser:</t>
        </r>
        <r>
          <rPr>
            <sz val="9"/>
            <color indexed="81"/>
            <rFont val="Tahoma"/>
            <family val="2"/>
          </rPr>
          <t xml:space="preserve">
กผ ขอดึง 29KT</t>
        </r>
      </text>
    </comment>
    <comment ref="U9" authorId="1" shapeId="0" xr:uid="{00000000-0006-0000-0200-000016000000}">
      <text>
        <r>
          <rPr>
            <b/>
            <sz val="9"/>
            <color indexed="81"/>
            <rFont val="Tahoma"/>
            <family val="2"/>
          </rPr>
          <t>Windows User:</t>
        </r>
        <r>
          <rPr>
            <sz val="9"/>
            <color indexed="81"/>
            <rFont val="Tahoma"/>
            <family val="2"/>
          </rPr>
          <t xml:space="preserve">
บป. ลดรับ LPG จาก GSP เนื่องจาก Oriental king เพิ่ง load เสร็จ sphere แน่น
</t>
        </r>
      </text>
    </comment>
    <comment ref="AB9" authorId="1" shapeId="0" xr:uid="{00000000-0006-0000-0200-000017000000}">
      <text>
        <r>
          <rPr>
            <b/>
            <sz val="9"/>
            <color indexed="81"/>
            <rFont val="Tahoma"/>
            <family val="2"/>
          </rPr>
          <t>Windows User:</t>
        </r>
        <r>
          <rPr>
            <sz val="9"/>
            <color indexed="81"/>
            <rFont val="Tahoma"/>
            <family val="2"/>
          </rPr>
          <t xml:space="preserve">
GSP ลดกำลังการผลิต -4 KT
SGP - 3.2 KT
PTT TANK -2 KT
</t>
        </r>
      </text>
    </comment>
    <comment ref="AF9" authorId="0" shapeId="0" xr:uid="{00000000-0006-0000-0200-000018000000}">
      <text>
        <r>
          <rPr>
            <b/>
            <sz val="9"/>
            <color indexed="81"/>
            <rFont val="Tahoma"/>
            <family val="2"/>
          </rPr>
          <t>Quantumuser:</t>
        </r>
        <r>
          <rPr>
            <sz val="9"/>
            <color indexed="81"/>
            <rFont val="Tahoma"/>
            <family val="2"/>
          </rPr>
          <t xml:space="preserve">
4 Aug: BRP Tank SD ต้องลดรับ GSP = Stock มาปูดที่ GSP 
รอคืน vol. เดือน มค</t>
        </r>
      </text>
    </comment>
    <comment ref="AI9" authorId="1" shapeId="0" xr:uid="{00000000-0006-0000-0200-000019000000}">
      <text>
        <r>
          <rPr>
            <b/>
            <sz val="9"/>
            <color indexed="81"/>
            <rFont val="Tahoma"/>
            <family val="2"/>
          </rPr>
          <t xml:space="preserve">Windows User:
</t>
        </r>
        <r>
          <rPr>
            <sz val="9"/>
            <color indexed="81"/>
            <rFont val="Tahoma"/>
            <family val="2"/>
          </rPr>
          <t>Balance ถัง ส่งไป BRP 0.5 KT
HMC รับเกิน 0.6 KT</t>
        </r>
      </text>
    </comment>
    <comment ref="AC17" authorId="0" shapeId="0" xr:uid="{00000000-0006-0000-0200-00001A000000}">
      <text>
        <r>
          <rPr>
            <b/>
            <sz val="9"/>
            <color indexed="81"/>
            <rFont val="Tahoma"/>
            <family val="2"/>
          </rPr>
          <t>Quantumuser:</t>
        </r>
        <r>
          <rPr>
            <sz val="9"/>
            <color indexed="81"/>
            <rFont val="Tahoma"/>
            <family val="2"/>
          </rPr>
          <t xml:space="preserve">
C3 ปิดสูงขึ้น จากเดิม 6.4 --&gt; 6.7 แปลว่าปิดสูงขึ้น = cross น้อยลง ต้องเอามาลบ cross to LPG
โทรถามบ๋อม</t>
        </r>
      </text>
    </comment>
    <comment ref="AE17" authorId="0" shapeId="0" xr:uid="{00000000-0006-0000-0200-00001B000000}">
      <text>
        <r>
          <rPr>
            <b/>
            <sz val="9"/>
            <color indexed="81"/>
            <rFont val="Tahoma"/>
            <family val="2"/>
          </rPr>
          <t>Quantumuser:</t>
        </r>
        <r>
          <rPr>
            <sz val="9"/>
            <color indexed="81"/>
            <rFont val="Tahoma"/>
            <family val="2"/>
          </rPr>
          <t xml:space="preserve">
rev0 =3KT
rev1 = 3.9KT KT cross ไปช่วยรายวัน LPG petro ต่ำ</t>
        </r>
      </text>
    </comment>
    <comment ref="AI18" authorId="0" shapeId="0" xr:uid="{00000000-0006-0000-0200-00001C000000}">
      <text>
        <r>
          <rPr>
            <b/>
            <sz val="9"/>
            <color indexed="81"/>
            <rFont val="Tahoma"/>
            <family val="2"/>
          </rPr>
          <t>Quantumuser:</t>
        </r>
        <r>
          <rPr>
            <sz val="9"/>
            <color indexed="81"/>
            <rFont val="Tahoma"/>
            <family val="2"/>
          </rPr>
          <t xml:space="preserve">
ต้อง cross 6.3 เนื่องจาก invent ต่ำก่อนเรือเข้า</t>
        </r>
      </text>
    </comment>
    <comment ref="AC31" authorId="0" shapeId="0" xr:uid="{00000000-0006-0000-0200-00001D000000}">
      <text>
        <r>
          <rPr>
            <b/>
            <sz val="9"/>
            <color indexed="81"/>
            <rFont val="Tahoma"/>
            <family val="2"/>
          </rPr>
          <t>Quantumuser:</t>
        </r>
        <r>
          <rPr>
            <sz val="9"/>
            <color indexed="81"/>
            <rFont val="Tahoma"/>
            <family val="2"/>
          </rPr>
          <t xml:space="preserve">
+/- หลักการเดี่ยวกับข้างบน
ถามบ๋อม</t>
        </r>
      </text>
    </comment>
    <comment ref="AC36" authorId="0" shapeId="0" xr:uid="{00000000-0006-0000-0200-00001E000000}">
      <text>
        <r>
          <rPr>
            <b/>
            <sz val="9"/>
            <color indexed="81"/>
            <rFont val="Tahoma"/>
            <family val="2"/>
          </rPr>
          <t>Quantumuser:</t>
        </r>
        <r>
          <rPr>
            <sz val="9"/>
            <color indexed="81"/>
            <rFont val="Tahoma"/>
            <family val="2"/>
          </rPr>
          <t xml:space="preserve">
สีแดง = tank cap</t>
        </r>
      </text>
    </comment>
    <comment ref="M46" authorId="0" shapeId="0" xr:uid="{00000000-0006-0000-0200-00001F000000}">
      <text>
        <r>
          <rPr>
            <b/>
            <sz val="9"/>
            <color indexed="81"/>
            <rFont val="Tahoma"/>
            <family val="2"/>
          </rPr>
          <t>Quantumuser:</t>
        </r>
        <r>
          <rPr>
            <sz val="9"/>
            <color indexed="81"/>
            <rFont val="Tahoma"/>
            <family val="2"/>
          </rPr>
          <t xml:space="preserve">
Quantumuser:
• วันที่ 27 ธ.ค. 62 – 1 ม.ค. 63  :  โรงแยกก๊าซฯหน่วยที่ 1 หยุดเดินเครื่องเพื่อดำเนินการเปลี่ยนเครื่องยนต์ Sale Gas Compressor ที่ครบรอบตามอายุการใช้งาน 
• วันที่ 1 – 3 ม.ค. 63  : โรงแยกก๊าซฯหน่วยที่ 6 ลดกำลังการผลิต 11% เพื่อดำเนินการเปิดตรวจสอบปัญหาอุปกรณ์แลกเปลี่ยนความร้อน ที่หน่วยกำจัดคาร์บอนไดออกไซด์ หน่วยที่ 2 
• วันที่ 8 – 13 ม.ค. โรงแยกก๊าซฯหน่วยที่ 6 ลดกำลังการผลิต 11% เพื่อดำเนินการเปลี่ยนอุปกรณ์แลกเปลี่ยนความร้อน ที่หน่วยกำจัดคาร์บอนไดออกไซด์ ที่เกิดการรั่ว
• วันที่ 15 ม.ค. – 3 ก.พ. 63 : โรงแยกก๊าซฯหน่วยที่ 5 หยุดซ่อมบำรุงใหญ่ตามวาระ</t>
        </r>
      </text>
    </comment>
    <comment ref="N46" authorId="0" shapeId="0" xr:uid="{00000000-0006-0000-0200-000020000000}">
      <text>
        <r>
          <rPr>
            <b/>
            <sz val="9"/>
            <color indexed="81"/>
            <rFont val="Tahoma"/>
            <family val="2"/>
          </rPr>
          <t>Quantumuser:</t>
        </r>
        <r>
          <rPr>
            <sz val="9"/>
            <color indexed="81"/>
            <rFont val="Tahoma"/>
            <family val="2"/>
          </rPr>
          <t xml:space="preserve">
Quantumuser:
· วันที่  15 ม.ค. 63 - 3 ก.พ. 63  โรงแยกก๊าซ หน่วยที่ 5 วางแผนหยุดซ่อมบำรุงใหญ่ตามวาระ  (20 วัน)
· วันที่ 4 - 12 ก.พ. 63 :   โรงแยกก๊าซฯหน่วยที่ 5 ลดกำลังการผลิต 50% (9 วัน)</t>
        </r>
      </text>
    </comment>
    <comment ref="A55" authorId="1" shapeId="0" xr:uid="{00000000-0006-0000-0200-000021000000}">
      <text>
        <r>
          <rPr>
            <b/>
            <sz val="9"/>
            <color indexed="81"/>
            <rFont val="Tahoma"/>
            <family val="2"/>
          </rPr>
          <t>Windows User:
ability row 50</t>
        </r>
        <r>
          <rPr>
            <b/>
            <sz val="9"/>
            <color indexed="81"/>
            <rFont val="Tahoma"/>
            <family val="2"/>
          </rPr>
          <t xml:space="preserve">
</t>
        </r>
      </text>
    </comment>
    <comment ref="AE55" authorId="0" shapeId="0" xr:uid="{00000000-0006-0000-0200-000022000000}">
      <text>
        <r>
          <rPr>
            <b/>
            <sz val="9"/>
            <color indexed="81"/>
            <rFont val="Tahoma"/>
            <family val="2"/>
          </rPr>
          <t>Quantumuser:</t>
        </r>
        <r>
          <rPr>
            <sz val="9"/>
            <color indexed="81"/>
            <rFont val="Tahoma"/>
            <family val="2"/>
          </rPr>
          <t xml:space="preserve">
rev0 =50.1794210852837
rev1 =48.061</t>
        </r>
      </text>
    </comment>
    <comment ref="A57" authorId="1" shapeId="0" xr:uid="{00000000-0006-0000-0200-000023000000}">
      <text>
        <r>
          <rPr>
            <b/>
            <sz val="9"/>
            <color indexed="81"/>
            <rFont val="Tahoma"/>
            <family val="2"/>
          </rPr>
          <t>Windows User:</t>
        </r>
        <r>
          <rPr>
            <sz val="9"/>
            <color indexed="81"/>
            <rFont val="Tahoma"/>
            <family val="2"/>
          </rPr>
          <t xml:space="preserve">
ability row 58</t>
        </r>
      </text>
    </comment>
    <comment ref="A58" authorId="1" shapeId="0" xr:uid="{00000000-0006-0000-0200-000024000000}">
      <text>
        <r>
          <rPr>
            <b/>
            <sz val="9"/>
            <color indexed="81"/>
            <rFont val="Tahoma"/>
            <family val="2"/>
          </rPr>
          <t>Windows User:</t>
        </r>
        <r>
          <rPr>
            <sz val="9"/>
            <color indexed="81"/>
            <rFont val="Tahoma"/>
            <family val="2"/>
          </rPr>
          <t xml:space="preserve">
ability row 59
</t>
        </r>
      </text>
    </comment>
    <comment ref="A59" authorId="1" shapeId="0" xr:uid="{00000000-0006-0000-0200-000025000000}">
      <text>
        <r>
          <rPr>
            <b/>
            <sz val="9"/>
            <color indexed="81"/>
            <rFont val="Tahoma"/>
            <family val="2"/>
          </rPr>
          <t>Windows User:</t>
        </r>
        <r>
          <rPr>
            <sz val="9"/>
            <color indexed="81"/>
            <rFont val="Tahoma"/>
            <family val="2"/>
          </rPr>
          <t xml:space="preserve">
ability row 66</t>
        </r>
      </text>
    </comment>
    <comment ref="G59" authorId="0" shapeId="0" xr:uid="{00000000-0006-0000-0200-000026000000}">
      <text>
        <r>
          <rPr>
            <b/>
            <sz val="9"/>
            <color indexed="81"/>
            <rFont val="Tahoma"/>
            <family val="2"/>
          </rPr>
          <t>Quantumuser:</t>
        </r>
        <r>
          <rPr>
            <sz val="9"/>
            <color indexed="81"/>
            <rFont val="Tahoma"/>
            <family val="2"/>
          </rPr>
          <t xml:space="preserve">
• วันที่ 13-17 ก.ค. 62 โรงแยกก๊าซฯหน่วยที่ 3 หยุดการเดินเครื่อง เนื่องจากอุปกรณ์ Sale Gas compressor Trip จากอุปกรณ์เตาระบายไอเสีย WHRS ชำรุด </t>
        </r>
      </text>
    </comment>
    <comment ref="H59" authorId="0" shapeId="0" xr:uid="{00000000-0006-0000-0200-000027000000}">
      <text>
        <r>
          <rPr>
            <b/>
            <sz val="9"/>
            <color indexed="81"/>
            <rFont val="Tahoma"/>
            <family val="2"/>
          </rPr>
          <t>Quantumuser:</t>
        </r>
        <r>
          <rPr>
            <sz val="9"/>
            <color indexed="81"/>
            <rFont val="Tahoma"/>
            <family val="2"/>
          </rPr>
          <t xml:space="preserve">
GSP6 มีปัญหา expander
2-5 ส.ค. 62 TD 10%
6-12 ส.ค. 62 ธฏ 25%</t>
        </r>
      </text>
    </comment>
    <comment ref="I59" authorId="1" shapeId="0" xr:uid="{00000000-0006-0000-0200-000028000000}">
      <text>
        <r>
          <rPr>
            <b/>
            <sz val="9"/>
            <color indexed="81"/>
            <rFont val="Tahoma"/>
            <family val="2"/>
          </rPr>
          <t>Windows User:</t>
        </r>
        <r>
          <rPr>
            <sz val="9"/>
            <color indexed="81"/>
            <rFont val="Tahoma"/>
            <family val="2"/>
          </rPr>
          <t xml:space="preserve">
During 13-17 Sep GSP6 reducr feed gas 10% to fix reboiler leakage problem</t>
        </r>
      </text>
    </comment>
    <comment ref="J59" authorId="1" shapeId="0" xr:uid="{00000000-0006-0000-0200-000029000000}">
      <text>
        <r>
          <rPr>
            <b/>
            <sz val="9"/>
            <color indexed="81"/>
            <rFont val="Tahoma"/>
            <family val="2"/>
          </rPr>
          <t>Windows User:</t>
        </r>
        <r>
          <rPr>
            <sz val="9"/>
            <color indexed="81"/>
            <rFont val="Tahoma"/>
            <family val="2"/>
          </rPr>
          <t xml:space="preserve">
• วันที่ 1 – 3 ต.ค. โรงแยกก๊าซฯหน่วยที่ 5 ลดกำลังการผลิต 27.5% เพื่อแก้ไขปัญหา Sieve Bed A ที่หน่วยกำจัดน้ำ (Dehydration unit)
• วันที่ 4 – 10 ต.ค. โรงแยกก๊าซฯหน่วยที่ 5 ลดกำลังการผลิต 50% เพื่อดำเนินการแก้ไขปัญหา Sieve ที่หน่วยกำจัดน้ำต่อเนื่อง และ ดำเนินการทำความสะอาดอุปกรณ์ Selective Catalytic Reduction (SCR)
• วันที่ 17 – 30 ต.ค. โรงแยกก๊าซฯหน่วยที่ 6 ลดกำลังการผลิต 5% เพื่อดำเนินการเปลี่ยน sieve อุปกรณ์หน่วยกำจัดน้ำ (Dehydration unit) กระทบปริมาณ LPG 2.1 KT  , Ethane ไม่กระทบ , NGL ปริมาณลดลง 420 M3
</t>
        </r>
      </text>
    </comment>
    <comment ref="K59" authorId="0" shapeId="0" xr:uid="{00000000-0006-0000-0200-00002A000000}">
      <text>
        <r>
          <rPr>
            <b/>
            <sz val="9"/>
            <color indexed="81"/>
            <rFont val="Tahoma"/>
            <family val="2"/>
          </rPr>
          <t>Quantumuser:</t>
        </r>
        <r>
          <rPr>
            <sz val="9"/>
            <color indexed="81"/>
            <rFont val="Tahoma"/>
            <family val="2"/>
          </rPr>
          <t xml:space="preserve">
• โรงแยกก๊าซฯหน่วยที่ 1 ลดกำลังการผลิต 8% เพื่อควบคุมปริมาณ Flow และ ปริมาณ CO2 ที่เข้าหน่วยกำจัดคาร์บอนไดออกไซด์ (Benfield unit)
 --&gt; ไม่มีผลต่อ C2 295 Ton/hr
--&gt; C3/LPG ลดลง 2.5 KT</t>
        </r>
      </text>
    </comment>
    <comment ref="L59" authorId="0" shapeId="0" xr:uid="{00000000-0006-0000-0200-00002B000000}">
      <text>
        <r>
          <rPr>
            <b/>
            <sz val="9"/>
            <color indexed="81"/>
            <rFont val="Tahoma"/>
            <family val="2"/>
          </rPr>
          <t>Quantumuser:</t>
        </r>
        <r>
          <rPr>
            <sz val="9"/>
            <color indexed="81"/>
            <rFont val="Tahoma"/>
            <family val="2"/>
          </rPr>
          <t xml:space="preserve">
• วันที่ 27 ธ.ค. 62 – 1 ม.ค. 63  :  โรงแยกก๊าซฯหน่วยที่ 1 หยุดเดินเครื่องเพื่อดำเนินการเปลี่ยนเครื่องยนต์ Sale Gas Compressor ที่ครบรอบตามอายุการใช้งาน
GSP1 เลื่อนเร็วขึ้น 1 วัน ลดลง 1.5 KT
compo ลดลงวันละ 300 - 500 Ton</t>
        </r>
      </text>
    </comment>
    <comment ref="M59" authorId="0" shapeId="0" xr:uid="{00000000-0006-0000-0200-00002C000000}">
      <text>
        <r>
          <rPr>
            <b/>
            <sz val="9"/>
            <color indexed="81"/>
            <rFont val="Tahoma"/>
            <family val="2"/>
          </rPr>
          <t>Quantumuser:</t>
        </r>
        <r>
          <rPr>
            <sz val="9"/>
            <color indexed="81"/>
            <rFont val="Tahoma"/>
            <family val="2"/>
          </rPr>
          <t xml:space="preserve">
• วันที่ 27 ธ.ค. 62 – 1 ม.ค. 63  :  โรงแยกก๊าซฯหน่วยที่ 1 หยุดเดินเครื่องเพื่อดำเนินการเปลี่ยนเครื่องยนต์ Sale Gas Compressor ที่ครบรอบตามอายุการใช้งาน 
• วันที่ 1 – 3 ม.ค. 63  : โรงแยกก๊าซฯหน่วยที่ 6 ลดกำลังการผลิต 11% เพื่อดำเนินการเปิดตรวจสอบปัญหาอุปกรณ์แลกเปลี่ยนความร้อน ที่หน่วยกำจัดคาร์บอนไดออกไซด์ หน่วยที่ 2 
• วันที่ 8 – 13 ม.ค. โรงแยกก๊าซฯหน่วยที่ 6 ลดกำลังการผลิต 11% เพื่อดำเนินการเปลี่ยนอุปกรณ์แลกเปลี่ยนความร้อน ที่หน่วยกำจัดคาร์บอนไดออกไซด์ ที่เกิดการรั่ว
• วันที่ 15 ม.ค. – 3 ก.พ. 63 : โรงแยกก๊าซฯหน่วยที่ 5 หยุดซ่อมบำรุงใหญ่ตามวาระ
ability 288 (low)
เนื่องด้วย CO2 ในท่อ 34" มีแนวโน้มสูงมากว่า 18 mol% ส่งผลให้ GSP1, ESP,GSP5 ไม่สามารถเดินได้ 100%
now 275 </t>
        </r>
      </text>
    </comment>
    <comment ref="N59" authorId="0" shapeId="0" xr:uid="{00000000-0006-0000-0200-00002D000000}">
      <text>
        <r>
          <rPr>
            <b/>
            <sz val="9"/>
            <color indexed="81"/>
            <rFont val="Tahoma"/>
            <family val="2"/>
          </rPr>
          <t>Quantumuser:</t>
        </r>
        <r>
          <rPr>
            <sz val="9"/>
            <color indexed="81"/>
            <rFont val="Tahoma"/>
            <family val="2"/>
          </rPr>
          <t xml:space="preserve">
· วันที่  15 ม.ค. 63 - 3 ก.พ. 63  โรงแยกก๊าซ หน่วยที่ 5 วางแผนหยุดซ่อมบำรุงใหญ่ตามวาระ  (20 วัน)
· วันที่ 4 - 12 ก.พ. 63 :   โรงแยกก๊าซฯหน่วยที่ 5 ลดกำลังการผลิต 50% (9 วัน)
GSP6 re-boiler leak -2.5KT
</t>
        </r>
      </text>
    </comment>
    <comment ref="Q59" authorId="1" shapeId="0" xr:uid="{00000000-0006-0000-0200-00002E000000}">
      <text>
        <r>
          <rPr>
            <b/>
            <sz val="9"/>
            <color indexed="81"/>
            <rFont val="Tahoma"/>
            <family val="2"/>
          </rPr>
          <t>Windows User:</t>
        </r>
        <r>
          <rPr>
            <sz val="9"/>
            <color indexed="81"/>
            <rFont val="Tahoma"/>
            <family val="2"/>
          </rPr>
          <t xml:space="preserve">
rev0 = 233.5 (ability 6 rev0)
rev1 = 223.5 (PTTAC ESD GSP จึงลด feed เพื่อ balance inv)
• GSP1 TD 50% : 1-15 May (15 days)
• GSP1 SD : 16-31 May (16 days)
• GSP5 TD 50% : 1-5 May (5 days)
• GSP5 SD : 6-15 May (10 days)
• GSP5 TD 50% : 16-24 -&gt; 16-31  May (9 -&gt; 16 days)
• New: ESP Complex (ESP,GSP2, GSP3) TD 9% 13-31 May  ใช้โอกาสในการแก้ไขงาน turbine 6 วัน ช่วงที่ ต้องการผลิต C3/LPG ลดลง
</t>
        </r>
      </text>
    </comment>
    <comment ref="R59" authorId="0" shapeId="0" xr:uid="{00000000-0006-0000-0200-00002F000000}">
      <text>
        <r>
          <rPr>
            <b/>
            <sz val="9"/>
            <color indexed="81"/>
            <rFont val="Tahoma"/>
            <family val="2"/>
          </rPr>
          <t>Quantumuser:</t>
        </r>
        <r>
          <rPr>
            <sz val="9"/>
            <color indexed="81"/>
            <rFont val="Tahoma"/>
            <family val="2"/>
          </rPr>
          <t xml:space="preserve">
โรงแยกก๊าซฯหน่วยที่ 1 หยุดซ่อมบำรุงใหญ่ตามวาระ (25 วัน)</t>
        </r>
      </text>
    </comment>
    <comment ref="T59" authorId="0" shapeId="0" xr:uid="{00000000-0006-0000-0200-000030000000}">
      <text>
        <r>
          <rPr>
            <b/>
            <sz val="9"/>
            <color indexed="81"/>
            <rFont val="Tahoma"/>
            <family val="2"/>
          </rPr>
          <t>Quantumuser:</t>
        </r>
        <r>
          <rPr>
            <sz val="9"/>
            <color indexed="81"/>
            <rFont val="Tahoma"/>
            <family val="2"/>
          </rPr>
          <t xml:space="preserve">
• เดือน ส.ค. - ก.ย. 63 :  โรงแยกก๊าซฯหน่วยที่ 5 ลดกำลังการผลิต 12% เพื่อเปลี่ยน Reboiler ที่ AGRU 8 Units </t>
        </r>
      </text>
    </comment>
    <comment ref="U59" authorId="0" shapeId="0" xr:uid="{00000000-0006-0000-0200-000031000000}">
      <text>
        <r>
          <rPr>
            <b/>
            <sz val="9"/>
            <color indexed="81"/>
            <rFont val="Tahoma"/>
            <family val="2"/>
          </rPr>
          <t>Quantumuser:</t>
        </r>
        <r>
          <rPr>
            <sz val="9"/>
            <color indexed="81"/>
            <rFont val="Tahoma"/>
            <family val="2"/>
          </rPr>
          <t xml:space="preserve">
• เดือน ส.ค. - ก.ย. 63 :  โรงแยกก๊าซฯหน่วยที่ 5 ลดกำลังการผลิต 12% เพื่อเปลี่ยน Reboiler ที่ AGRU 8 Units </t>
        </r>
      </text>
    </comment>
    <comment ref="V59" authorId="0" shapeId="0" xr:uid="{00000000-0006-0000-0200-000032000000}">
      <text>
        <r>
          <rPr>
            <b/>
            <sz val="9"/>
            <color indexed="81"/>
            <rFont val="Tahoma"/>
            <family val="2"/>
          </rPr>
          <t>Quantumuser:</t>
        </r>
        <r>
          <rPr>
            <sz val="9"/>
            <color indexed="81"/>
            <rFont val="Tahoma"/>
            <family val="2"/>
          </rPr>
          <t xml:space="preserve">
• ช่วงเดือน ต.ค – พ.ย. : โรงแยกก๊าซฯหน่วยที่ 5 ลดกำลังการผลิต 12% เพื่อทำการเปลี่ยนอุปกรณ์แลกเปลี่ยนความร้อน หน่วยกำจัดคาร์บอนไดออกไซด์ 8 ตัว</t>
        </r>
      </text>
    </comment>
    <comment ref="W59" authorId="0" shapeId="0" xr:uid="{00000000-0006-0000-0200-000033000000}">
      <text>
        <r>
          <rPr>
            <b/>
            <sz val="9"/>
            <color indexed="81"/>
            <rFont val="Tahoma"/>
            <family val="2"/>
          </rPr>
          <t>Quantumuser:</t>
        </r>
        <r>
          <rPr>
            <sz val="9"/>
            <color indexed="81"/>
            <rFont val="Tahoma"/>
            <family val="2"/>
          </rPr>
          <t xml:space="preserve">
• ช่วงเดือน ต.ค – พ.ย. : โรงแยกก๊าซฯหน่วยที่ 5 ลดกำลังการผลิต 12% เพื่อทำการเปลี่ยนอุปกรณ์แลกเปลี่ยนความร้อน หน่วยกำจัดคาร์บอนไดออกไซด์ 8 ตัว</t>
        </r>
      </text>
    </comment>
    <comment ref="AE59" authorId="0" shapeId="0" xr:uid="{00000000-0006-0000-0200-000034000000}">
      <text>
        <r>
          <rPr>
            <b/>
            <sz val="9"/>
            <color indexed="81"/>
            <rFont val="Tahoma"/>
            <family val="2"/>
          </rPr>
          <t>Quantumuser:</t>
        </r>
        <r>
          <rPr>
            <sz val="9"/>
            <color indexed="81"/>
            <rFont val="Tahoma"/>
            <family val="2"/>
          </rPr>
          <t xml:space="preserve">
Rev0 =214.002628530209
rev1 =212</t>
        </r>
      </text>
    </comment>
    <comment ref="AF59" authorId="0" shapeId="0" xr:uid="{00000000-0006-0000-0200-000035000000}">
      <text>
        <r>
          <rPr>
            <b/>
            <sz val="9"/>
            <color indexed="81"/>
            <rFont val="Tahoma"/>
            <family val="2"/>
          </rPr>
          <t>Quantumuser:</t>
        </r>
        <r>
          <rPr>
            <sz val="9"/>
            <color indexed="81"/>
            <rFont val="Tahoma"/>
            <family val="2"/>
          </rPr>
          <t xml:space="preserve">
283.116459825357
rev 1= 279</t>
        </r>
      </text>
    </comment>
    <comment ref="AX59" authorId="0" shapeId="0" xr:uid="{00000000-0006-0000-0200-000036000000}">
      <text>
        <r>
          <rPr>
            <b/>
            <sz val="9"/>
            <color indexed="81"/>
            <rFont val="Tahoma"/>
            <family val="2"/>
          </rPr>
          <t>Quantumuser:</t>
        </r>
        <r>
          <rPr>
            <sz val="9"/>
            <color indexed="81"/>
            <rFont val="Tahoma"/>
            <family val="2"/>
          </rPr>
          <t xml:space="preserve">
รวม ขนอม</t>
        </r>
      </text>
    </comment>
    <comment ref="R60" authorId="1" shapeId="0" xr:uid="{00000000-0006-0000-0200-000037000000}">
      <text>
        <r>
          <rPr>
            <b/>
            <sz val="9"/>
            <color indexed="81"/>
            <rFont val="Tahoma"/>
            <family val="2"/>
          </rPr>
          <t>Windows User:</t>
        </r>
        <r>
          <rPr>
            <sz val="9"/>
            <color indexed="81"/>
            <rFont val="Tahoma"/>
            <family val="2"/>
          </rPr>
          <t xml:space="preserve">
rev0= 0.6 KT
rev1 = 0 KT IRPC ESD
</t>
        </r>
      </text>
    </comment>
    <comment ref="V60" authorId="1" shapeId="0" xr:uid="{00000000-0006-0000-0200-000038000000}">
      <text>
        <r>
          <rPr>
            <b/>
            <sz val="9"/>
            <color indexed="81"/>
            <rFont val="Tahoma"/>
            <family val="2"/>
          </rPr>
          <t>Windows User:</t>
        </r>
        <r>
          <rPr>
            <sz val="9"/>
            <color indexed="81"/>
            <rFont val="Tahoma"/>
            <family val="2"/>
          </rPr>
          <t xml:space="preserve">
• IRPC Emergency Shutdown จึงปรับลดการจัดส่ง LPG ลง -0.6 KT (1 ลำ)</t>
        </r>
      </text>
    </comment>
    <comment ref="W60" authorId="1" shapeId="0" xr:uid="{00000000-0006-0000-0200-000039000000}">
      <text>
        <r>
          <rPr>
            <b/>
            <sz val="9"/>
            <color indexed="81"/>
            <rFont val="Tahoma"/>
            <family val="2"/>
          </rPr>
          <t>Windows User:</t>
        </r>
        <r>
          <rPr>
            <sz val="9"/>
            <color indexed="81"/>
            <rFont val="Tahoma"/>
            <family val="2"/>
          </rPr>
          <t xml:space="preserve">
• IRPC Emergency Shutdown จึงปรับลดการจัดส่ง LPG ลง -0.6 KT (1 ลำ)</t>
        </r>
      </text>
    </comment>
    <comment ref="F61" authorId="0" shapeId="0" xr:uid="{00000000-0006-0000-0200-00003A000000}">
      <text>
        <r>
          <rPr>
            <b/>
            <sz val="9"/>
            <color indexed="81"/>
            <rFont val="Tahoma"/>
            <family val="2"/>
          </rPr>
          <t xml:space="preserve">Quantumuser:
rev0 = 19 KT
rev1 = 18.5 KT เนื่องจาก Aro1 plant SD and start up on 15 Jun’19 ...
จาก delay start up แล้วพอ start มาแล้วก็ ลงไปอีก เลยทำให้ตอนแรกที่ยอกว่าจะส่ง้หลือ 18 kt ตอนนี้กลับมาเหลือ 16 kt
</t>
        </r>
      </text>
    </comment>
    <comment ref="K61" authorId="0" shapeId="0" xr:uid="{00000000-0006-0000-0200-00003B000000}">
      <text>
        <r>
          <rPr>
            <b/>
            <sz val="9"/>
            <color indexed="81"/>
            <rFont val="Tahoma"/>
            <family val="2"/>
          </rPr>
          <t>Quantumuser:</t>
        </r>
        <r>
          <rPr>
            <sz val="9"/>
            <color indexed="81"/>
            <rFont val="Tahoma"/>
            <family val="2"/>
          </rPr>
          <t xml:space="preserve">
rev0 = 21
rev1= 23
</t>
        </r>
      </text>
    </comment>
    <comment ref="N61" authorId="0" shapeId="0" xr:uid="{00000000-0006-0000-0200-00003C000000}">
      <text>
        <r>
          <rPr>
            <b/>
            <sz val="9"/>
            <color indexed="81"/>
            <rFont val="Tahoma"/>
            <family val="2"/>
          </rPr>
          <t xml:space="preserve">Quantumuser:
</t>
        </r>
        <r>
          <rPr>
            <sz val="9"/>
            <color indexed="81"/>
            <rFont val="Tahoma"/>
            <family val="2"/>
          </rPr>
          <t>rev0</t>
        </r>
        <r>
          <rPr>
            <b/>
            <sz val="9"/>
            <color indexed="81"/>
            <rFont val="Tahoma"/>
            <family val="2"/>
          </rPr>
          <t xml:space="preserve"> = </t>
        </r>
        <r>
          <rPr>
            <sz val="9"/>
            <color indexed="81"/>
            <rFont val="Tahoma"/>
            <family val="2"/>
          </rPr>
          <t>19 KT
rev1 = 15 KT เนื่องจาก จาก GC โรง ARO I, FHU มีปัญหา แนวโน้วผลิตได้ลดลง
rev2 = 16 KT เพิ่ม 1 KT โยกมาจากเดือน มี.ค. 1 KT
rev3 = 18 KT เพิ่ม 2 KT โยกมาจากเดือน มี.ค. 2 KT</t>
        </r>
      </text>
    </comment>
    <comment ref="O61" authorId="0" shapeId="0" xr:uid="{00000000-0006-0000-0200-00003D000000}">
      <text>
        <r>
          <rPr>
            <b/>
            <sz val="9"/>
            <color indexed="81"/>
            <rFont val="Tahoma"/>
            <family val="2"/>
          </rPr>
          <t>Quantumuser:</t>
        </r>
        <r>
          <rPr>
            <sz val="9"/>
            <color indexed="81"/>
            <rFont val="Tahoma"/>
            <family val="2"/>
          </rPr>
          <t xml:space="preserve">
rev0 = 14.5
rev1 = 10 
rev2 = 9 KT ส่งเพิ่มในเดือน กพ. แล้ว 1 KT
REV3 = 7 kt ส่งเพิ่มในเดือน กพ. แล้ว 2 KT
REV4 = 5 kt GC ลดรับในเดือน กพ. 2 KT จึงลดรับ เท่ากัน 2 KT
REV5 = 7 kt GSP call Vol เพิ่ม</t>
        </r>
      </text>
    </comment>
    <comment ref="P61" authorId="1" shapeId="0" xr:uid="{00000000-0006-0000-0200-00003E000000}">
      <text>
        <r>
          <rPr>
            <b/>
            <sz val="9"/>
            <color indexed="81"/>
            <rFont val="Tahoma"/>
            <family val="2"/>
          </rPr>
          <t>Windows User:</t>
        </r>
        <r>
          <rPr>
            <sz val="9"/>
            <color indexed="81"/>
            <rFont val="Tahoma"/>
            <family val="2"/>
          </rPr>
          <t xml:space="preserve">
rev0 = 7 KT
rev1 = 2 KT GC ขอปรับลดDomestic Condensate shortage and have to reduce Aromatic plant operating rate</t>
        </r>
      </text>
    </comment>
    <comment ref="T61" authorId="1" shapeId="0" xr:uid="{00000000-0006-0000-0200-00003F000000}">
      <text>
        <r>
          <rPr>
            <b/>
            <sz val="9"/>
            <color indexed="81"/>
            <rFont val="Tahoma"/>
            <family val="2"/>
          </rPr>
          <t>Windows User:</t>
        </r>
        <r>
          <rPr>
            <sz val="9"/>
            <color indexed="81"/>
            <rFont val="Tahoma"/>
            <family val="2"/>
          </rPr>
          <t xml:space="preserve">
rev0 = 0
rev1 = 1.8
rev2 = 1.2</t>
        </r>
      </text>
    </comment>
    <comment ref="W61" authorId="0" shapeId="0" xr:uid="{00000000-0006-0000-0200-000040000000}">
      <text>
        <r>
          <rPr>
            <b/>
            <sz val="9"/>
            <color indexed="81"/>
            <rFont val="Tahoma"/>
            <family val="2"/>
          </rPr>
          <t>Quantumuser:</t>
        </r>
        <r>
          <rPr>
            <sz val="9"/>
            <color indexed="81"/>
            <rFont val="Tahoma"/>
            <family val="2"/>
          </rPr>
          <t xml:space="preserve">
rev0 = 11
rev1 = 13 GC ขอปรับเพิ่ม</t>
        </r>
      </text>
    </comment>
    <comment ref="X61" authorId="1" shapeId="0" xr:uid="{00000000-0006-0000-0200-000041000000}">
      <text>
        <r>
          <rPr>
            <b/>
            <sz val="9"/>
            <color indexed="81"/>
            <rFont val="Tahoma"/>
            <family val="2"/>
          </rPr>
          <t>Windows User:</t>
        </r>
        <r>
          <rPr>
            <sz val="9"/>
            <color indexed="81"/>
            <rFont val="Tahoma"/>
            <family val="2"/>
          </rPr>
          <t xml:space="preserve">
rev0 = 14
rev1 = 11 KT เหตุ GSP5 เลื่อน TD50% ถึง 21 Jan'21
</t>
        </r>
      </text>
    </comment>
    <comment ref="Y61" authorId="1" shapeId="0" xr:uid="{00000000-0006-0000-0200-000042000000}">
      <text>
        <r>
          <rPr>
            <b/>
            <sz val="9"/>
            <color indexed="81"/>
            <rFont val="Tahoma"/>
            <family val="2"/>
          </rPr>
          <t>Windows User:</t>
        </r>
        <r>
          <rPr>
            <sz val="9"/>
            <color indexed="81"/>
            <rFont val="Tahoma"/>
            <family val="2"/>
          </rPr>
          <t xml:space="preserve">
rev0 = 10
rev1 = 2.5 KT เหตุ GSP5 เลื่อน TD50% ถึง 21 Jan'21
</t>
        </r>
      </text>
    </comment>
    <comment ref="AI61" authorId="1" shapeId="0" xr:uid="{00000000-0006-0000-0200-000043000000}">
      <text>
        <r>
          <rPr>
            <b/>
            <sz val="9"/>
            <color indexed="81"/>
            <rFont val="Tahoma"/>
            <family val="2"/>
          </rPr>
          <t>Windows User:</t>
        </r>
        <r>
          <rPr>
            <sz val="9"/>
            <color indexed="81"/>
            <rFont val="Tahoma"/>
            <family val="2"/>
          </rPr>
          <t xml:space="preserve">
Rev0 = 0
Rev1 = 2.5 KT GC ขอส่งเพิ่ม
rev2 = 4 KT GC แจ้งส่งเพิ่ม ประกอบกับ GSP Daily low ก่อนเรือเข้า วันที่ 10 Nov</t>
        </r>
      </text>
    </comment>
    <comment ref="P62" authorId="1" shapeId="0" xr:uid="{00000000-0006-0000-0200-000044000000}">
      <text>
        <r>
          <rPr>
            <b/>
            <sz val="9"/>
            <color indexed="81"/>
            <rFont val="Tahoma"/>
            <family val="2"/>
          </rPr>
          <t>Windows User:</t>
        </r>
        <r>
          <rPr>
            <sz val="9"/>
            <color indexed="81"/>
            <rFont val="Tahoma"/>
            <family val="2"/>
          </rPr>
          <t xml:space="preserve">
rev0 = 6.3
rev1 = 5.1
rev2 = 4.3
</t>
        </r>
      </text>
    </comment>
    <comment ref="Q62" authorId="1" shapeId="0" xr:uid="{00000000-0006-0000-0200-000045000000}">
      <text>
        <r>
          <rPr>
            <b/>
            <sz val="9"/>
            <color indexed="81"/>
            <rFont val="Tahoma"/>
            <family val="2"/>
          </rPr>
          <t>Windows User:</t>
        </r>
        <r>
          <rPr>
            <sz val="9"/>
            <color indexed="81"/>
            <rFont val="Tahoma"/>
            <family val="2"/>
          </rPr>
          <t xml:space="preserve">
rev0 = 3.5
rev1 = 3 KT • SPRC แจ้งปรับลดการจัดส่ง จากแผน 3.5 KT เป็น 3.0 KT เนื่องจาก Demand Drop จาก COVID-19 จึงลดกำลังการผลิตลง </t>
        </r>
      </text>
    </comment>
    <comment ref="R62" authorId="1" shapeId="0" xr:uid="{00000000-0006-0000-0200-000046000000}">
      <text>
        <r>
          <rPr>
            <b/>
            <sz val="9"/>
            <color indexed="81"/>
            <rFont val="Tahoma"/>
            <family val="2"/>
          </rPr>
          <t>Windows User:</t>
        </r>
        <r>
          <rPr>
            <sz val="9"/>
            <color indexed="81"/>
            <rFont val="Tahoma"/>
            <family val="2"/>
          </rPr>
          <t xml:space="preserve">
rev0 = 3.6
rev1 = 3.0 เนื่องจาก WP under </t>
        </r>
      </text>
    </comment>
    <comment ref="V62" authorId="1" shapeId="0" xr:uid="{00000000-0006-0000-0200-000047000000}">
      <text>
        <r>
          <rPr>
            <b/>
            <sz val="9"/>
            <color indexed="81"/>
            <rFont val="Tahoma"/>
            <family val="2"/>
          </rPr>
          <t>Windows User:</t>
        </r>
        <r>
          <rPr>
            <sz val="9"/>
            <color indexed="81"/>
            <rFont val="Tahoma"/>
            <family val="2"/>
          </rPr>
          <t xml:space="preserve">
rev0 = 7.36
rev1= 8.06 KT SPRC ปรับเพิ่ม
rev2= 6.06 KT ปตท.ให้ Chevron ยืมของโดยการลดโควต้าการรับที่ SPRC และ Chevron คืนของกลับทาง SPRC ให้ ปตท. = 4 KT ใน Q1-Q2 64 (ขอคืน Q1 ก่อนถ้าไม่ได้จริงๆ ยืดไปถึง Q2 ให้)</t>
        </r>
      </text>
    </comment>
    <comment ref="W62" authorId="0" shapeId="0" xr:uid="{00000000-0006-0000-0200-000048000000}">
      <text>
        <r>
          <rPr>
            <b/>
            <sz val="9"/>
            <color indexed="81"/>
            <rFont val="Tahoma"/>
            <family val="2"/>
          </rPr>
          <t>Quantumuser:</t>
        </r>
        <r>
          <rPr>
            <sz val="9"/>
            <color indexed="81"/>
            <rFont val="Tahoma"/>
            <family val="2"/>
          </rPr>
          <t xml:space="preserve">
rev0 = 7.36
rev1= 5.36 ปตท.ให้ Chevron ยืมของโดยการลดโควต้าการรับที่ SPRC และ Chevron คืนของกลับทาง SPRC ให้ ปตท. = 4 KT ใน Q1-Q2 64 (ขอคืน Q1 ก่อนถ้าไม่ได้จริงๆ ยืดไปถึง Q2 ให้)
rev2 = 6.06 SPRC ปรับเพิ่ม เนื่องจาก SPRC Over supply </t>
        </r>
      </text>
    </comment>
    <comment ref="AD62" authorId="0" shapeId="0" xr:uid="{00000000-0006-0000-0200-000049000000}">
      <text>
        <r>
          <rPr>
            <b/>
            <sz val="9"/>
            <color indexed="81"/>
            <rFont val="Tahoma"/>
            <family val="2"/>
          </rPr>
          <t>Quantumuser:</t>
        </r>
        <r>
          <rPr>
            <sz val="9"/>
            <color indexed="81"/>
            <rFont val="Tahoma"/>
            <family val="2"/>
          </rPr>
          <t xml:space="preserve">
rev0 =5.78
rev1 = 4.97 sprc tank top ส่งออกเพิ่ม dom ของน้อยลง</t>
        </r>
      </text>
    </comment>
    <comment ref="AE62" authorId="0" shapeId="0" xr:uid="{00000000-0006-0000-0200-00004A000000}">
      <text>
        <r>
          <rPr>
            <b/>
            <sz val="9"/>
            <color indexed="81"/>
            <rFont val="Tahoma"/>
            <family val="2"/>
          </rPr>
          <t>Quantumuser:</t>
        </r>
        <r>
          <rPr>
            <sz val="9"/>
            <color indexed="81"/>
            <rFont val="Tahoma"/>
            <family val="2"/>
          </rPr>
          <t xml:space="preserve">
rev0 =6.12
rev1 = 5.40 SPRC ปรับ production</t>
        </r>
      </text>
    </comment>
    <comment ref="AH62" authorId="0" shapeId="0" xr:uid="{00000000-0006-0000-0200-00004B000000}">
      <text>
        <r>
          <rPr>
            <b/>
            <sz val="9"/>
            <color indexed="81"/>
            <rFont val="Tahoma"/>
            <family val="2"/>
          </rPr>
          <t>Quantumuser:</t>
        </r>
        <r>
          <rPr>
            <sz val="9"/>
            <color indexed="81"/>
            <rFont val="Tahoma"/>
            <family val="2"/>
          </rPr>
          <t xml:space="preserve">
Rev0 = 5.4
Rev1 =4.5 SPRC มีปัญหา Plant</t>
        </r>
      </text>
    </comment>
    <comment ref="AI62" authorId="1" shapeId="0" xr:uid="{00000000-0006-0000-0200-00004C000000}">
      <text>
        <r>
          <rPr>
            <b/>
            <sz val="9"/>
            <color indexed="81"/>
            <rFont val="Tahoma"/>
            <family val="2"/>
          </rPr>
          <t>Windows User:</t>
        </r>
        <r>
          <rPr>
            <sz val="9"/>
            <color indexed="81"/>
            <rFont val="Tahoma"/>
            <family val="2"/>
          </rPr>
          <t xml:space="preserve">
rev0 = 7.4
rev1 = 5.4 SPRC ลด supply</t>
        </r>
      </text>
    </comment>
    <comment ref="F63" authorId="0" shapeId="0" xr:uid="{00000000-0006-0000-0200-00004D000000}">
      <text>
        <r>
          <rPr>
            <b/>
            <sz val="9"/>
            <color indexed="81"/>
            <rFont val="Tahoma"/>
            <family val="2"/>
          </rPr>
          <t>Quantumuser:</t>
        </r>
        <r>
          <rPr>
            <sz val="9"/>
            <color indexed="81"/>
            <rFont val="Tahoma"/>
            <family val="2"/>
          </rPr>
          <t xml:space="preserve">
rrev0 = 5.7
rrev1 = 6.22</t>
        </r>
      </text>
    </comment>
    <comment ref="K63" authorId="0" shapeId="0" xr:uid="{00000000-0006-0000-0200-00004E000000}">
      <text>
        <r>
          <rPr>
            <b/>
            <sz val="9"/>
            <color indexed="81"/>
            <rFont val="Tahoma"/>
            <family val="2"/>
          </rPr>
          <t>Quantumuser:</t>
        </r>
        <r>
          <rPr>
            <sz val="9"/>
            <color indexed="81"/>
            <rFont val="Tahoma"/>
            <family val="2"/>
          </rPr>
          <t xml:space="preserve">
rev0 = 5.85
rev1 = 6.63
</t>
        </r>
      </text>
    </comment>
    <comment ref="R63" authorId="1" shapeId="0" xr:uid="{00000000-0006-0000-0200-00004F000000}">
      <text>
        <r>
          <rPr>
            <b/>
            <sz val="9"/>
            <color indexed="81"/>
            <rFont val="Tahoma"/>
            <family val="2"/>
          </rPr>
          <t>Windows User:</t>
        </r>
        <r>
          <rPr>
            <sz val="9"/>
            <color indexed="81"/>
            <rFont val="Tahoma"/>
            <family val="2"/>
          </rPr>
          <t xml:space="preserve">
rev0 = 5.4
rev 1= 5.7 PTTOR ขอรับเพิ่ม 0.3 KT
</t>
        </r>
      </text>
    </comment>
    <comment ref="V63" authorId="0" shapeId="0" xr:uid="{00000000-0006-0000-0200-000050000000}">
      <text>
        <r>
          <rPr>
            <b/>
            <sz val="9"/>
            <color indexed="81"/>
            <rFont val="Tahoma"/>
            <family val="2"/>
          </rPr>
          <t>Quantumuser:</t>
        </r>
        <r>
          <rPr>
            <sz val="9"/>
            <color indexed="81"/>
            <rFont val="Tahoma"/>
            <family val="2"/>
          </rPr>
          <t xml:space="preserve">
rev0 = 5.58 
rev1 = 5.8 PTTEP : เพิ่มประมาณการจัดส่ง </t>
        </r>
      </text>
    </comment>
    <comment ref="AD63" authorId="0" shapeId="0" xr:uid="{00000000-0006-0000-0200-000051000000}">
      <text>
        <r>
          <rPr>
            <b/>
            <sz val="9"/>
            <color indexed="81"/>
            <rFont val="Tahoma"/>
            <family val="2"/>
          </rPr>
          <t>Quantumuser:</t>
        </r>
        <r>
          <rPr>
            <sz val="9"/>
            <color indexed="81"/>
            <rFont val="Tahoma"/>
            <family val="2"/>
          </rPr>
          <t xml:space="preserve">
rev0 = 5.55
rev1 = 5.99 PTTEP production increase</t>
        </r>
      </text>
    </comment>
    <comment ref="AH63" authorId="0" shapeId="0" xr:uid="{00000000-0006-0000-0200-000052000000}">
      <text>
        <r>
          <rPr>
            <b/>
            <sz val="9"/>
            <color indexed="81"/>
            <rFont val="Tahoma"/>
            <family val="2"/>
          </rPr>
          <t>Quantumuser:</t>
        </r>
        <r>
          <rPr>
            <sz val="9"/>
            <color indexed="81"/>
            <rFont val="Tahoma"/>
            <family val="2"/>
          </rPr>
          <t xml:space="preserve">
</t>
        </r>
      </text>
    </comment>
    <comment ref="K64" authorId="0" shapeId="0" xr:uid="{00000000-0006-0000-0200-000053000000}">
      <text>
        <r>
          <rPr>
            <b/>
            <sz val="9"/>
            <color indexed="81"/>
            <rFont val="Tahoma"/>
            <family val="2"/>
          </rPr>
          <t>Quantumuser:</t>
        </r>
        <r>
          <rPr>
            <sz val="9"/>
            <color indexed="81"/>
            <rFont val="Tahoma"/>
            <family val="2"/>
          </rPr>
          <t xml:space="preserve">
• วันที่ 25 พ.ย. 62 – 7 ธ.ค. 62 โรงไฟฟ้าขนอมหยุดซ่อมบำรุง (โรงที่ 2)</t>
        </r>
      </text>
    </comment>
    <comment ref="P64" authorId="1" shapeId="0" xr:uid="{00000000-0006-0000-0200-000054000000}">
      <text>
        <r>
          <rPr>
            <b/>
            <sz val="9"/>
            <color indexed="81"/>
            <rFont val="Tahoma"/>
            <family val="2"/>
          </rPr>
          <t>Windows User:</t>
        </r>
        <r>
          <rPr>
            <sz val="9"/>
            <color indexed="81"/>
            <rFont val="Tahoma"/>
            <family val="2"/>
          </rPr>
          <t xml:space="preserve">
rev0 = 15.6
rev1 = 17.6 GSP KHM ปรับเพิ่มตาม Demand โรงไฟฟ้า
rev2 = 16.5 PTTOR demand drop
</t>
        </r>
      </text>
    </comment>
    <comment ref="Q64" authorId="1" shapeId="0" xr:uid="{00000000-0006-0000-0200-000055000000}">
      <text>
        <r>
          <rPr>
            <b/>
            <sz val="9"/>
            <color indexed="81"/>
            <rFont val="Tahoma"/>
            <family val="2"/>
          </rPr>
          <t xml:space="preserve">Windows User:
rev0 = 17.05
rev1 = 15.5 • GSP KHM แจ้งปรับลดการจัดส่ง จากแผน 17.05 KT เป็น 15.5 KT (-1.55 KT)
เนื่องจากวันที่ 1-3 พ.ค. 2563 ลด Feed Gas ลงเหลือ 80 MMSCFD เพื่อเปลี่ยน Pipe Spool/หน้า Flange เพื่อแก้ไขปัญหา Corrosion ที่ ERP-KN 
</t>
        </r>
      </text>
    </comment>
    <comment ref="R64" authorId="1" shapeId="0" xr:uid="{00000000-0006-0000-0200-000056000000}">
      <text>
        <r>
          <rPr>
            <b/>
            <sz val="9"/>
            <color indexed="81"/>
            <rFont val="Tahoma"/>
            <family val="2"/>
          </rPr>
          <t>Windows User:</t>
        </r>
        <r>
          <rPr>
            <sz val="9"/>
            <color indexed="81"/>
            <rFont val="Tahoma"/>
            <family val="2"/>
          </rPr>
          <t xml:space="preserve">
rev0 = 15.6
rev1 = 14.5 โรงไฟฟ้า KHM demand drop</t>
        </r>
      </text>
    </comment>
    <comment ref="V64" authorId="0" shapeId="0" xr:uid="{00000000-0006-0000-0200-000057000000}">
      <text>
        <r>
          <rPr>
            <b/>
            <sz val="9"/>
            <color indexed="81"/>
            <rFont val="Tahoma"/>
            <family val="2"/>
          </rPr>
          <t>Quantumuser:</t>
        </r>
        <r>
          <rPr>
            <sz val="9"/>
            <color indexed="81"/>
            <rFont val="Tahoma"/>
            <family val="2"/>
          </rPr>
          <t xml:space="preserve">
GSP KHM ปรับลด ตาม demand โรงไฟฟ้าขนอม</t>
        </r>
      </text>
    </comment>
    <comment ref="AA64" authorId="1" shapeId="0" xr:uid="{00000000-0006-0000-0200-000058000000}">
      <text>
        <r>
          <rPr>
            <b/>
            <sz val="9"/>
            <color indexed="81"/>
            <rFont val="Tahoma"/>
            <family val="2"/>
          </rPr>
          <t>Windows User:</t>
        </r>
        <r>
          <rPr>
            <sz val="9"/>
            <color indexed="81"/>
            <rFont val="Tahoma"/>
            <family val="2"/>
          </rPr>
          <t xml:space="preserve">
rev0 = 15.56 KT
rev1 = 13.5 KT KT เนื่องจากโรงไฟฟ้าขนอมทำการหยุดซ่อมบำรุงเร่งด่วน ทำให้กำลังการผลิต LPG ลดลง</t>
        </r>
      </text>
    </comment>
    <comment ref="AD64" authorId="0" shapeId="0" xr:uid="{00000000-0006-0000-0200-000059000000}">
      <text>
        <r>
          <rPr>
            <b/>
            <sz val="9"/>
            <color indexed="81"/>
            <rFont val="Tahoma"/>
            <family val="2"/>
          </rPr>
          <t>Quantumuser:</t>
        </r>
        <r>
          <rPr>
            <sz val="9"/>
            <color indexed="81"/>
            <rFont val="Tahoma"/>
            <family val="2"/>
          </rPr>
          <t xml:space="preserve">
rev0 =14KT
rev1 = 12.5KT 15.06 GSP KHM รับก๊าซได้ต่ำกว่าแผน ต้องรักษาระดับ สำรอง</t>
        </r>
      </text>
    </comment>
    <comment ref="AE64" authorId="0" shapeId="0" xr:uid="{00000000-0006-0000-0200-00005A000000}">
      <text>
        <r>
          <rPr>
            <b/>
            <sz val="9"/>
            <color indexed="81"/>
            <rFont val="Tahoma"/>
            <family val="2"/>
          </rPr>
          <t>Quantumuser:</t>
        </r>
        <r>
          <rPr>
            <sz val="9"/>
            <color indexed="81"/>
            <rFont val="Tahoma"/>
            <family val="2"/>
          </rPr>
          <t xml:space="preserve">
rev0 =8.37
rev1 = 9 or demand increase และ KHM มีของ</t>
        </r>
      </text>
    </comment>
    <comment ref="D98" authorId="1" shapeId="0" xr:uid="{00000000-0006-0000-0200-00005B000000}">
      <text>
        <r>
          <rPr>
            <b/>
            <sz val="9"/>
            <color indexed="81"/>
            <rFont val="Tahoma"/>
            <family val="2"/>
          </rPr>
          <t>Windows User:</t>
        </r>
        <r>
          <rPr>
            <sz val="9"/>
            <color indexed="81"/>
            <rFont val="Tahoma"/>
            <family val="2"/>
          </rPr>
          <t xml:space="preserve">
Port chart 4-6 $/Ton (split 22 KT)</t>
        </r>
      </text>
    </comment>
    <comment ref="AB98" authorId="1" shapeId="0" xr:uid="{00000000-0006-0000-0200-00005C000000}">
      <text>
        <r>
          <rPr>
            <b/>
            <sz val="9"/>
            <color indexed="81"/>
            <rFont val="Tahoma"/>
            <family val="2"/>
          </rPr>
          <t>Windows User:</t>
        </r>
        <r>
          <rPr>
            <sz val="9"/>
            <color indexed="81"/>
            <rFont val="Tahoma"/>
            <family val="2"/>
          </rPr>
          <t xml:space="preserve">
MOC ทางเรือ</t>
        </r>
      </text>
    </comment>
    <comment ref="AD98" authorId="1" shapeId="0" xr:uid="{00000000-0006-0000-0200-00005D000000}">
      <text>
        <r>
          <rPr>
            <b/>
            <sz val="9"/>
            <color indexed="81"/>
            <rFont val="Tahoma"/>
            <family val="2"/>
          </rPr>
          <t>Windows User:</t>
        </r>
        <r>
          <rPr>
            <sz val="9"/>
            <color indexed="81"/>
            <rFont val="Tahoma"/>
            <family val="2"/>
          </rPr>
          <t xml:space="preserve">
SCG request 23 Jun - 2Jul</t>
        </r>
      </text>
    </comment>
    <comment ref="AK98" authorId="0" shapeId="0" xr:uid="{00000000-0006-0000-0200-00005E000000}">
      <text>
        <r>
          <rPr>
            <b/>
            <sz val="9"/>
            <color indexed="81"/>
            <rFont val="Tahoma"/>
            <family val="2"/>
          </rPr>
          <t>Quantumuser:</t>
        </r>
        <r>
          <rPr>
            <sz val="9"/>
            <color indexed="81"/>
            <rFont val="Tahoma"/>
            <family val="2"/>
          </rPr>
          <t xml:space="preserve">
as of 26.10
Diff cp Jan feb ดีกว่า feb mar
ของเก่าทิ้ง
Demand Jan = 13.481 KT (ท่อ 8.481 + Import 5 KT)
Demand Feb = 12.177 KT (ท่อ 4 + Import 8.18 KT)</t>
        </r>
      </text>
    </comment>
    <comment ref="AL98" authorId="1" shapeId="0" xr:uid="{00000000-0006-0000-0200-00005F000000}">
      <text>
        <r>
          <rPr>
            <b/>
            <sz val="9"/>
            <color indexed="81"/>
            <rFont val="Tahoma"/>
            <family val="2"/>
          </rPr>
          <t>Windows User:</t>
        </r>
        <r>
          <rPr>
            <sz val="9"/>
            <color indexed="81"/>
            <rFont val="Tahoma"/>
            <family val="2"/>
          </rPr>
          <t xml:space="preserve">
รวบ 34.5 KT
Jan'22 = 7 
Feb'22 = 13.5
Mar'22 = 14</t>
        </r>
      </text>
    </comment>
    <comment ref="D99" authorId="1" shapeId="0" xr:uid="{00000000-0006-0000-0200-000060000000}">
      <text>
        <r>
          <rPr>
            <b/>
            <sz val="9"/>
            <color indexed="81"/>
            <rFont val="Tahoma"/>
            <family val="2"/>
          </rPr>
          <t>Windows User:</t>
        </r>
        <r>
          <rPr>
            <sz val="9"/>
            <color indexed="81"/>
            <rFont val="Tahoma"/>
            <family val="2"/>
          </rPr>
          <t xml:space="preserve">
Port chart 4-6 $/Ton (split 22 KT)</t>
        </r>
      </text>
    </comment>
    <comment ref="D100" authorId="1" shapeId="0" xr:uid="{00000000-0006-0000-0200-000061000000}">
      <text>
        <r>
          <rPr>
            <b/>
            <sz val="9"/>
            <color indexed="81"/>
            <rFont val="Tahoma"/>
            <family val="2"/>
          </rPr>
          <t>Windows User:</t>
        </r>
        <r>
          <rPr>
            <sz val="9"/>
            <color indexed="81"/>
            <rFont val="Tahoma"/>
            <family val="2"/>
          </rPr>
          <t xml:space="preserve">
Port chart 4-6 $/Ton (split 22 KT)</t>
        </r>
      </text>
    </comment>
    <comment ref="E107" authorId="0" shapeId="0" xr:uid="{00000000-0006-0000-0200-000062000000}">
      <text>
        <r>
          <rPr>
            <b/>
            <sz val="9"/>
            <color indexed="81"/>
            <rFont val="Tahoma"/>
            <family val="2"/>
          </rPr>
          <t>Quantumuser:</t>
        </r>
        <r>
          <rPr>
            <sz val="9"/>
            <color indexed="81"/>
            <rFont val="Tahoma"/>
            <family val="2"/>
          </rPr>
          <t xml:space="preserve">
rev0 = 90.5 (import 14.5 KT)
rev1 = 95 KT</t>
        </r>
      </text>
    </comment>
    <comment ref="G107" authorId="1" shapeId="0" xr:uid="{00000000-0006-0000-0200-000063000000}">
      <text>
        <r>
          <rPr>
            <b/>
            <sz val="9"/>
            <color indexed="81"/>
            <rFont val="Tahoma"/>
            <family val="2"/>
          </rPr>
          <t>Windows User:</t>
        </r>
        <r>
          <rPr>
            <sz val="9"/>
            <color indexed="81"/>
            <rFont val="Tahoma"/>
            <family val="2"/>
          </rPr>
          <t xml:space="preserve">
rev0 =74 
rev1= 72 KT cause GSP3 trip</t>
        </r>
      </text>
    </comment>
    <comment ref="H107" authorId="1" shapeId="0" xr:uid="{00000000-0006-0000-0200-000064000000}">
      <text>
        <r>
          <rPr>
            <b/>
            <sz val="9"/>
            <color indexed="81"/>
            <rFont val="Tahoma"/>
            <family val="2"/>
          </rPr>
          <t>Windows User:</t>
        </r>
        <r>
          <rPr>
            <sz val="9"/>
            <color indexed="81"/>
            <rFont val="Tahoma"/>
            <family val="2"/>
          </rPr>
          <t xml:space="preserve">
rev0 = 68 KT
rev1 = 65.5 KT GC ขอปรับลดเนื่องจาก C2 rate สูง ประมาน 295 -297 ton/hr.
rev2 = 69.5 KT เนื่องจาก GSP TD
- GSP6 reduce 10% of feed gas to fix expander vibration problem during 2-5 Aug
- GSP6 reduce 25% of feed gas to fix expander vibration problem during 6-12 Aug
rev3 = 67.5 KT GC ปรับลด เนื่องจาก Ethane supply will be 300T/h instead of 295T/h 
rev4 = 67 KT GC แจ้ง carry ove rC3 0.5 KT to Sep'19
</t>
        </r>
      </text>
    </comment>
    <comment ref="I107" authorId="0" shapeId="0" xr:uid="{00000000-0006-0000-0200-000065000000}">
      <text>
        <r>
          <rPr>
            <b/>
            <sz val="9"/>
            <color indexed="81"/>
            <rFont val="Tahoma"/>
            <family val="2"/>
          </rPr>
          <t>Quantumuser:</t>
        </r>
        <r>
          <rPr>
            <sz val="9"/>
            <color indexed="81"/>
            <rFont val="Tahoma"/>
            <family val="2"/>
          </rPr>
          <t xml:space="preserve">
rev0 = 61.5
rev1 = 62 KT เนื่องจาก carry over C3 from Aug 0.5 KT</t>
        </r>
      </text>
    </comment>
    <comment ref="J107" authorId="1" shapeId="0" xr:uid="{00000000-0006-0000-0200-000066000000}">
      <text>
        <r>
          <rPr>
            <b/>
            <sz val="9"/>
            <color indexed="81"/>
            <rFont val="Tahoma"/>
            <family val="2"/>
          </rPr>
          <t>Windows User:
rev0 = 62
rev1 = 65.6
rev2 = 66 KT
rev3 = 67 KT
rev4 = 63 KT (โยกไปพย 4 KT)</t>
        </r>
      </text>
    </comment>
    <comment ref="K107" authorId="0" shapeId="0" xr:uid="{00000000-0006-0000-0200-000067000000}">
      <text>
        <r>
          <rPr>
            <b/>
            <sz val="9"/>
            <color indexed="81"/>
            <rFont val="Tahoma"/>
            <family val="2"/>
          </rPr>
          <t>Quantumuser:</t>
        </r>
        <r>
          <rPr>
            <sz val="9"/>
            <color indexed="81"/>
            <rFont val="Tahoma"/>
            <family val="2"/>
          </rPr>
          <t xml:space="preserve">
rev0 = 57
rev1 = 63 (57+4+2) 4 โยกมาจาก ตค และ 2 มาจาก swap (21 เป็น 23)
rev2 = 65 KT (+2 GC ขอรับเพิ่ม)</t>
        </r>
      </text>
    </comment>
    <comment ref="L107" authorId="0" shapeId="0" xr:uid="{00000000-0006-0000-0200-000068000000}">
      <text>
        <r>
          <rPr>
            <b/>
            <sz val="9"/>
            <color indexed="81"/>
            <rFont val="Tahoma"/>
            <family val="2"/>
          </rPr>
          <t>Quantumuser:</t>
        </r>
        <r>
          <rPr>
            <sz val="9"/>
            <color indexed="81"/>
            <rFont val="Tahoma"/>
            <family val="2"/>
          </rPr>
          <t xml:space="preserve">
rev0 = 59.5
rev1 = 64.5 (swap vol 2.5 KT จาก 21 KT เป็น 23.5 KT)
rev2 = 66.5 (GC ขอรับเพิ่ม +2 KT
rev3 = 68.5
rev4 = 65.5 KT เนื่องจาก GC black out วันที่ 23 ธ.ค. 62
</t>
        </r>
      </text>
    </comment>
    <comment ref="M107" authorId="0" shapeId="0" xr:uid="{00000000-0006-0000-0200-000069000000}">
      <text>
        <r>
          <rPr>
            <b/>
            <sz val="9"/>
            <color indexed="81"/>
            <rFont val="Tahoma"/>
            <family val="2"/>
          </rPr>
          <t>Quantumuser:</t>
        </r>
        <r>
          <rPr>
            <sz val="9"/>
            <color indexed="81"/>
            <rFont val="Tahoma"/>
            <family val="2"/>
          </rPr>
          <t xml:space="preserve">
I-4/1 SD19 Jan – 24 Feb’20
I-4/2 SD 15 Jan- 16 Feb’20
รอบ Nov 52
รอบ Dec 58
rev0 = 55 KT GSP ลดจาก demand GC 58 KT เพื่อ balabce inven และ LR เนื่องจากหาเรือ importไม่ได้ เพราะติดตรุษจีน
rev1 = 53.5 KT เนื่องจาก GC black out วันที่ 23 ธ.ค. 62
rev2 = 45 GC ขอลดรับ พี่สุคาด PE ลงส่งผลให้ gc กิน C2 ที่ผลิตได้เองก่อน (18 ton/hr) จึงมาลดรับ C3/lpg
rev2 = 49 GC เพิ่มเนื่องจาก เลื่อน TA ออกไป 5 วัน
rev3 = 47 KT GC ขอปรับลด เนื่องจาก we are conducting T/A OLE2 in this period and it cause LPG demand in Jan to be lessor than plan </t>
        </r>
      </text>
    </comment>
    <comment ref="N107" authorId="0" shapeId="0" xr:uid="{00000000-0006-0000-0200-00006A000000}">
      <text>
        <r>
          <rPr>
            <b/>
            <sz val="9"/>
            <color indexed="81"/>
            <rFont val="Tahoma"/>
            <family val="2"/>
          </rPr>
          <t>Quantumuser:</t>
        </r>
        <r>
          <rPr>
            <sz val="9"/>
            <color indexed="81"/>
            <rFont val="Tahoma"/>
            <family val="2"/>
          </rPr>
          <t xml:space="preserve">
I-4/1 SD19 Jan – 24 Feb’20
I-4/2 SD 15 Jan- 16 Feb’20
รอบ Nov 34
รอบ Dec 36
รอบ Jan 27.5 เพราะเลื่อน TA ออกไปกินเดือน กพ เพิ่มขึ้น 5 วัน
rev1 = 25.5
rev2 = 24
rev3 = 22 KT GC เลื่อนการ SD Oleflex จาก 1 มี.ค. 63 – 6 เม.ย. 63 เป็น 24 ก.พ. 63 – 31 มี.ค. 63 
rev4 = 18.9  KT GC i4 delay start up จากแผนเดิมวันที่ 27 ก.พ. 63 </t>
        </r>
      </text>
    </comment>
    <comment ref="O107" authorId="0" shapeId="0" xr:uid="{00000000-0006-0000-0200-00006B000000}">
      <text>
        <r>
          <rPr>
            <b/>
            <sz val="9"/>
            <color indexed="81"/>
            <rFont val="Tahoma"/>
            <family val="2"/>
          </rPr>
          <t>Quantumuser:</t>
        </r>
        <r>
          <rPr>
            <sz val="9"/>
            <color indexed="81"/>
            <rFont val="Tahoma"/>
            <family val="2"/>
          </rPr>
          <t xml:space="preserve">
รอบ Nov 68
รอบ Dec 53
รอบ Jan 52
rev0 = 44.623
rev1 = 41 GC ขอปรับลดเนื่องจาก GC delay S/U of OLE2/1
rev2 = 39 GC ขอปรับลดเนื่องจาก economic ราคาอ้างอิงตก เพราะ ซาอุทะเลาะรัฐเซีย และ demand drop จาก Covid</t>
        </r>
      </text>
    </comment>
    <comment ref="P107" authorId="0" shapeId="0" xr:uid="{00000000-0006-0000-0200-00006C000000}">
      <text>
        <r>
          <rPr>
            <b/>
            <sz val="9"/>
            <color indexed="81"/>
            <rFont val="Tahoma"/>
            <family val="2"/>
          </rPr>
          <t>Quantumuser:</t>
        </r>
        <r>
          <rPr>
            <sz val="9"/>
            <color indexed="81"/>
            <rFont val="Tahoma"/>
            <family val="2"/>
          </rPr>
          <t xml:space="preserve">
รอบ Dec 72
รอบ Jan 60
rev1 = 43.5
rev2 = 46.5 GC ขอเพิ่ม เนื่องจาก GSP ลด C2
rev3 = 44.5 ปรับลดการจัดส่ง GC 2 KT เนื่องจาก refinery ปรับลดการจัดส่ง 5 KT (ช่วยเหลือ GC 3 KT)</t>
        </r>
      </text>
    </comment>
    <comment ref="Q107" authorId="1" shapeId="0" xr:uid="{00000000-0006-0000-0200-00006D000000}">
      <text>
        <r>
          <rPr>
            <b/>
            <sz val="9"/>
            <color indexed="81"/>
            <rFont val="Tahoma"/>
            <family val="2"/>
          </rPr>
          <t xml:space="preserve">Windows User:
Feb </t>
        </r>
        <r>
          <rPr>
            <sz val="9"/>
            <color indexed="81"/>
            <rFont val="Tahoma"/>
            <family val="2"/>
          </rPr>
          <t>57.488
Mar 36.591</t>
        </r>
      </text>
    </comment>
    <comment ref="R107" authorId="0" shapeId="0" xr:uid="{00000000-0006-0000-0200-00006E000000}">
      <text>
        <r>
          <rPr>
            <b/>
            <sz val="9"/>
            <color indexed="81"/>
            <rFont val="Tahoma"/>
            <family val="2"/>
          </rPr>
          <t>Quantumuser:</t>
        </r>
        <r>
          <rPr>
            <sz val="9"/>
            <color indexed="81"/>
            <rFont val="Tahoma"/>
            <family val="2"/>
          </rPr>
          <t xml:space="preserve">
รอบ Dec 72
รอบ Jan 60
rev1 = 43.5
rev2 = 46.5 GC ขอเพิ่ม เนื่องจาก GSP ลด C2
rev0 = 58 KT</t>
        </r>
      </text>
    </comment>
    <comment ref="S107" authorId="1" shapeId="0" xr:uid="{00000000-0006-0000-0200-00006F000000}">
      <text>
        <r>
          <rPr>
            <b/>
            <sz val="9"/>
            <color indexed="81"/>
            <rFont val="Tahoma"/>
            <family val="2"/>
          </rPr>
          <t>Windows User:</t>
        </r>
        <r>
          <rPr>
            <sz val="9"/>
            <color indexed="81"/>
            <rFont val="Tahoma"/>
            <family val="2"/>
          </rPr>
          <t xml:space="preserve">
Feb 61.541
Mar 25.252</t>
        </r>
      </text>
    </comment>
    <comment ref="Q109" authorId="1" shapeId="0" xr:uid="{00000000-0006-0000-0200-000070000000}">
      <text>
        <r>
          <rPr>
            <b/>
            <sz val="9"/>
            <color indexed="81"/>
            <rFont val="Tahoma"/>
            <family val="2"/>
          </rPr>
          <t>Windows User:</t>
        </r>
        <r>
          <rPr>
            <sz val="9"/>
            <color indexed="81"/>
            <rFont val="Tahoma"/>
            <family val="2"/>
          </rPr>
          <t xml:space="preserve">
rev0 = 23.064
rev1 = 26 KT GSP เสนอ GC รับ C3 เพิ่ม เพื่อช่วยลด inv high จาก PTTAC ESD</t>
        </r>
      </text>
    </comment>
    <comment ref="W109" authorId="1" shapeId="0" xr:uid="{00000000-0006-0000-0200-000071000000}">
      <text>
        <r>
          <rPr>
            <b/>
            <sz val="9"/>
            <color indexed="81"/>
            <rFont val="Tahoma"/>
            <family val="2"/>
          </rPr>
          <t>Windows User:</t>
        </r>
        <r>
          <rPr>
            <sz val="9"/>
            <color indexed="81"/>
            <rFont val="Tahoma"/>
            <family val="2"/>
          </rPr>
          <t xml:space="preserve">
ก่อนเกิดเหต GSP5 = 23 KT
</t>
        </r>
      </text>
    </comment>
    <comment ref="X109" authorId="1" shapeId="0" xr:uid="{00000000-0006-0000-0200-000072000000}">
      <text>
        <r>
          <rPr>
            <b/>
            <sz val="9"/>
            <color indexed="81"/>
            <rFont val="Tahoma"/>
            <family val="2"/>
          </rPr>
          <t>Windows User:</t>
        </r>
        <r>
          <rPr>
            <sz val="9"/>
            <color indexed="81"/>
            <rFont val="Tahoma"/>
            <family val="2"/>
          </rPr>
          <t xml:space="preserve">
ก่อนเกิดเหต GSP5 = 23 KT
rev1 = 23.5
rev2 = 29 HMC ไฟไหม้</t>
        </r>
      </text>
    </comment>
    <comment ref="AA109" authorId="1" shapeId="0" xr:uid="{00000000-0006-0000-0200-000073000000}">
      <text>
        <r>
          <rPr>
            <b/>
            <sz val="9"/>
            <color indexed="81"/>
            <rFont val="Tahoma"/>
            <family val="2"/>
          </rPr>
          <t>Windows User:</t>
        </r>
        <r>
          <rPr>
            <sz val="9"/>
            <color indexed="81"/>
            <rFont val="Tahoma"/>
            <family val="2"/>
          </rPr>
          <t xml:space="preserve">
rev0 = 22.32 KT
rev1 = 19.82 KT (GC คุยกับ AC โดย GC จะลด -2.5 KT และ AC จะซื้อ Spot เพิ่ม 2.5 KT)
rev2 = 18.82 KT (GC คุยกับ AC โดย GC จะลด -1 KT และ AC จะซื้อ Spot เพิ่ม 1 KT)</t>
        </r>
      </text>
    </comment>
    <comment ref="AB109" authorId="1" shapeId="0" xr:uid="{00000000-0006-0000-0200-000074000000}">
      <text>
        <r>
          <rPr>
            <b/>
            <sz val="9"/>
            <color indexed="81"/>
            <rFont val="Tahoma"/>
            <family val="2"/>
          </rPr>
          <t>Windows User:</t>
        </r>
        <r>
          <rPr>
            <sz val="9"/>
            <color indexed="81"/>
            <rFont val="Tahoma"/>
            <family val="2"/>
          </rPr>
          <t xml:space="preserve">
rev0 = 18.4 KT
rev1 = 15.8 KT วันที่ 14 เม.ย. 64 GC แจ้งเหตุไฟฟ้าขัดข้อง จึงลดรับ C3
rev2 = 13 KT delay start up
rev3 = 12KT เนื่องจาก ไฟฟ้าดับเมื่อวันที่ 20 Apr (GC official)</t>
        </r>
      </text>
    </comment>
    <comment ref="AC109" authorId="1" shapeId="0" xr:uid="{00000000-0006-0000-0200-000075000000}">
      <text>
        <r>
          <rPr>
            <b/>
            <sz val="9"/>
            <color indexed="81"/>
            <rFont val="Tahoma"/>
            <family val="2"/>
          </rPr>
          <t>Windows User:</t>
        </r>
        <r>
          <rPr>
            <sz val="9"/>
            <color indexed="81"/>
            <rFont val="Tahoma"/>
            <family val="2"/>
          </rPr>
          <t xml:space="preserve">
rev0 = 18.556 KT
rev1 = 24.5
rev2 = 24 GC ปรับลด จาก OLE2 quencch tower leak</t>
        </r>
      </text>
    </comment>
    <comment ref="AE109" authorId="1" shapeId="0" xr:uid="{00000000-0006-0000-0200-000076000000}">
      <text>
        <r>
          <rPr>
            <b/>
            <sz val="9"/>
            <color indexed="81"/>
            <rFont val="Tahoma"/>
            <family val="2"/>
          </rPr>
          <t>Windows User:</t>
        </r>
        <r>
          <rPr>
            <sz val="9"/>
            <color indexed="81"/>
            <rFont val="Tahoma"/>
            <family val="2"/>
          </rPr>
          <t xml:space="preserve">
rev0 = 22.32 KT
rev1 = 16.72 KT GC ปรับลดเนื่องจากโยกไปให้ HMC
rev2 = 22.32 KT GC โยก vol คืนมาจาก HMC
rev3 = 16.74 KT GC โยก Vol ไปให้ HMC
rev4 = 16.82 KT GC ปรับเพิ่ม</t>
        </r>
      </text>
    </comment>
    <comment ref="AF109" authorId="0" shapeId="0" xr:uid="{00000000-0006-0000-0200-000077000000}">
      <text>
        <r>
          <rPr>
            <b/>
            <sz val="9"/>
            <color indexed="81"/>
            <rFont val="Tahoma"/>
            <family val="2"/>
          </rPr>
          <t>Quantumuser:</t>
        </r>
        <r>
          <rPr>
            <sz val="9"/>
            <color indexed="81"/>
            <rFont val="Tahoma"/>
            <family val="2"/>
          </rPr>
          <t xml:space="preserve">
Oleflex SD Aug'20 -Sep'20</t>
        </r>
      </text>
    </comment>
    <comment ref="AG109" authorId="0" shapeId="0" xr:uid="{00000000-0006-0000-0200-000078000000}">
      <text>
        <r>
          <rPr>
            <b/>
            <sz val="9"/>
            <color indexed="81"/>
            <rFont val="Tahoma"/>
            <family val="2"/>
          </rPr>
          <t>Quantumuser:</t>
        </r>
        <r>
          <rPr>
            <sz val="9"/>
            <color indexed="81"/>
            <rFont val="Tahoma"/>
            <family val="2"/>
          </rPr>
          <t xml:space="preserve">
Oleflex SD Aug'20 -Sep'20
BZ 20.7259301179628 KT
Rev0 = 21.6 KT</t>
        </r>
      </text>
    </comment>
    <comment ref="AH109" authorId="0" shapeId="0" xr:uid="{00000000-0006-0000-0200-000079000000}">
      <text>
        <r>
          <rPr>
            <b/>
            <sz val="9"/>
            <color indexed="81"/>
            <rFont val="Tahoma"/>
            <family val="2"/>
          </rPr>
          <t>Quantumuser:</t>
        </r>
        <r>
          <rPr>
            <sz val="9"/>
            <color indexed="81"/>
            <rFont val="Tahoma"/>
            <family val="2"/>
          </rPr>
          <t xml:space="preserve">
Rev0 = 22.32
rev1 =17.11 Gc ให้ AC</t>
        </r>
      </text>
    </comment>
    <comment ref="AI109" authorId="0" shapeId="0" xr:uid="{00000000-0006-0000-0200-00007A000000}">
      <text>
        <r>
          <rPr>
            <b/>
            <sz val="9"/>
            <color indexed="81"/>
            <rFont val="Tahoma"/>
            <family val="2"/>
          </rPr>
          <t>Quantumuser:</t>
        </r>
        <r>
          <rPr>
            <sz val="9"/>
            <color indexed="81"/>
            <rFont val="Tahoma"/>
            <family val="2"/>
          </rPr>
          <t xml:space="preserve">
Rev0 =21.6
Rev1 = 18.00 GSP prd drop
Oleflex unit มีแผนหยุดซ่อมบำรุง พย. 64 - ธค. 64</t>
        </r>
      </text>
    </comment>
    <comment ref="AJ109" authorId="0" shapeId="0" xr:uid="{00000000-0006-0000-0200-00007B000000}">
      <text>
        <r>
          <rPr>
            <b/>
            <sz val="9"/>
            <color indexed="81"/>
            <rFont val="Tahoma"/>
            <family val="2"/>
          </rPr>
          <t xml:space="preserve">Quantumuser:
</t>
        </r>
        <r>
          <rPr>
            <sz val="9"/>
            <color indexed="81"/>
            <rFont val="Tahoma"/>
            <family val="2"/>
          </rPr>
          <t xml:space="preserve"> 22.32 -&gt; 13 
Oleflex unit มีแผนหยุดซ่อมบำรุง พย. 64 - ธค. 64</t>
        </r>
      </text>
    </comment>
    <comment ref="AO109" authorId="1" shapeId="0" xr:uid="{00000000-0006-0000-0200-00007C000000}">
      <text>
        <r>
          <rPr>
            <b/>
            <sz val="9"/>
            <color indexed="81"/>
            <rFont val="Tahoma"/>
            <family val="2"/>
          </rPr>
          <t>Windows User:</t>
        </r>
        <r>
          <rPr>
            <sz val="9"/>
            <color indexed="81"/>
            <rFont val="Tahoma"/>
            <family val="2"/>
          </rPr>
          <t xml:space="preserve">
GC demand 22.32 KT</t>
        </r>
      </text>
    </comment>
    <comment ref="BB109" authorId="0" shapeId="0" xr:uid="{00000000-0006-0000-0200-00007D000000}">
      <text>
        <r>
          <rPr>
            <b/>
            <sz val="9"/>
            <color indexed="81"/>
            <rFont val="Tahoma"/>
            <family val="2"/>
          </rPr>
          <t>Quantumuser:</t>
        </r>
        <r>
          <rPr>
            <sz val="9"/>
            <color indexed="81"/>
            <rFont val="Tahoma"/>
            <family val="2"/>
          </rPr>
          <t xml:space="preserve">
Est. OIP run portion</t>
        </r>
      </text>
    </comment>
    <comment ref="R110" authorId="1" shapeId="0" xr:uid="{00000000-0006-0000-0200-00007E000000}">
      <text>
        <r>
          <rPr>
            <b/>
            <sz val="9"/>
            <color indexed="81"/>
            <rFont val="Tahoma"/>
            <family val="2"/>
          </rPr>
          <t>Windows User:</t>
        </r>
        <r>
          <rPr>
            <sz val="9"/>
            <color indexed="81"/>
            <rFont val="Tahoma"/>
            <family val="2"/>
          </rPr>
          <t xml:space="preserve">
rev0 =32
rev1 = 30 GC ขอลด เนื่องจาก ขายไม่ออก ของล้น</t>
        </r>
      </text>
    </comment>
    <comment ref="T110" authorId="1" shapeId="0" xr:uid="{00000000-0006-0000-0200-00007F000000}">
      <text>
        <r>
          <rPr>
            <b/>
            <sz val="9"/>
            <color indexed="81"/>
            <rFont val="Tahoma"/>
            <family val="2"/>
          </rPr>
          <t>Windows User:</t>
        </r>
        <r>
          <rPr>
            <sz val="9"/>
            <color indexed="81"/>
            <rFont val="Tahoma"/>
            <family val="2"/>
          </rPr>
          <t xml:space="preserve">
rev0 = 31.25
rev1 = 38.75 GC ขอเพิ่ม ชดชเย C2
rev2 = 36 GC ขอลด เพราะwe got additional ethane supply from your side from 197KT to 198KT, so we would like your support to reduce LPG from 38.75KT to 36KT krub.
</t>
        </r>
      </text>
    </comment>
    <comment ref="U110" authorId="0" shapeId="0" xr:uid="{00000000-0006-0000-0200-000080000000}">
      <text>
        <r>
          <rPr>
            <b/>
            <sz val="9"/>
            <color indexed="81"/>
            <rFont val="Tahoma"/>
            <family val="2"/>
          </rPr>
          <t>Quantumuser:
rev0 = 32.5
rev1 = 31.5 GC ขอลดรับ เนื่องจากต้องการ  own use Light Naphtha ตาม economic decision
rev2 = 13 KT
rev3 = 22.5 KT เนื่องจาก GSP C2 compo ลดลง จาก 201 KT เป็น 197 KT
rev4 = 24.5 GC ขอเพิ่ม เนื่องจาก GSP C2 compo ลดลง จาก 197 KT เป็น 195 KT
rev5 = 20.5 GC ลดรับ เนื่องจาก GSP C2 compo สูงกว่าแผน</t>
        </r>
      </text>
    </comment>
    <comment ref="V110" authorId="1" shapeId="0" xr:uid="{00000000-0006-0000-0200-000081000000}">
      <text>
        <r>
          <rPr>
            <b/>
            <sz val="9"/>
            <color indexed="81"/>
            <rFont val="Tahoma"/>
            <family val="2"/>
          </rPr>
          <t>Windows User:</t>
        </r>
        <r>
          <rPr>
            <sz val="9"/>
            <color indexed="81"/>
            <rFont val="Tahoma"/>
            <family val="2"/>
          </rPr>
          <t xml:space="preserve">
25
</t>
        </r>
      </text>
    </comment>
    <comment ref="W110" authorId="1" shapeId="0" xr:uid="{00000000-0006-0000-0200-000082000000}">
      <text>
        <r>
          <rPr>
            <b/>
            <sz val="9"/>
            <color indexed="81"/>
            <rFont val="Tahoma"/>
            <family val="2"/>
          </rPr>
          <t>Windows User:</t>
        </r>
        <r>
          <rPr>
            <sz val="9"/>
            <color indexed="81"/>
            <rFont val="Tahoma"/>
            <family val="2"/>
          </rPr>
          <t xml:space="preserve">
ก่อนเกิดเหต GSP5 = 18.5 KT
 </t>
        </r>
      </text>
    </comment>
    <comment ref="X110" authorId="1" shapeId="0" xr:uid="{00000000-0006-0000-0200-000083000000}">
      <text>
        <r>
          <rPr>
            <b/>
            <sz val="9"/>
            <color indexed="81"/>
            <rFont val="Tahoma"/>
            <family val="2"/>
          </rPr>
          <t>Windows User:</t>
        </r>
        <r>
          <rPr>
            <sz val="9"/>
            <color indexed="81"/>
            <rFont val="Tahoma"/>
            <family val="2"/>
          </rPr>
          <t xml:space="preserve">
ก่อนเกิดเหต GSP5 = 19 KT
rev1 = 22 KT GSP5 21 ม.ค. 63
rev2 = 27 KT GSP5 9 ม.ค. 63
rev3 = 29.5 HMC ไฟไหม้</t>
        </r>
      </text>
    </comment>
    <comment ref="Y110" authorId="1" shapeId="0" xr:uid="{00000000-0006-0000-0200-000084000000}">
      <text>
        <r>
          <rPr>
            <b/>
            <sz val="9"/>
            <color indexed="81"/>
            <rFont val="Tahoma"/>
            <family val="2"/>
          </rPr>
          <t>Windows User:</t>
        </r>
        <r>
          <rPr>
            <sz val="9"/>
            <color indexed="81"/>
            <rFont val="Tahoma"/>
            <family val="2"/>
          </rPr>
          <t xml:space="preserve">
rev0 = 34.1
rev1 = 33.1 GC แจ้ง drop -1 KT โดยยังอยู่ใน 3%</t>
        </r>
      </text>
    </comment>
    <comment ref="Z110" authorId="1" shapeId="0" xr:uid="{00000000-0006-0000-0200-000085000000}">
      <text>
        <r>
          <rPr>
            <b/>
            <sz val="9"/>
            <color indexed="81"/>
            <rFont val="Tahoma"/>
            <family val="2"/>
          </rPr>
          <t>Windows User:</t>
        </r>
        <r>
          <rPr>
            <sz val="9"/>
            <color indexed="81"/>
            <rFont val="Tahoma"/>
            <family val="2"/>
          </rPr>
          <t xml:space="preserve">
rev0 = 25
rev1 = 20 KT GC ขอลดเนื่องจาก GSP ผลิต C2 ได้เพิ่มขึ้น</t>
        </r>
      </text>
    </comment>
    <comment ref="AA110" authorId="1" shapeId="0" xr:uid="{00000000-0006-0000-0200-000086000000}">
      <text>
        <r>
          <rPr>
            <b/>
            <sz val="9"/>
            <color indexed="81"/>
            <rFont val="Tahoma"/>
            <family val="2"/>
          </rPr>
          <t>Windows User:</t>
        </r>
        <r>
          <rPr>
            <sz val="9"/>
            <color indexed="81"/>
            <rFont val="Tahoma"/>
            <family val="2"/>
          </rPr>
          <t xml:space="preserve">
rev0 = 31.5
rev1 = 32.5 เนื่องจาก GC ลดรับ C3 1 KT จึงรับ LPG เพิ่ม 1 KT
</t>
        </r>
      </text>
    </comment>
    <comment ref="AB110" authorId="1" shapeId="0" xr:uid="{00000000-0006-0000-0200-000087000000}">
      <text>
        <r>
          <rPr>
            <b/>
            <sz val="9"/>
            <color indexed="81"/>
            <rFont val="Tahoma"/>
            <family val="2"/>
          </rPr>
          <t>Windows User:</t>
        </r>
        <r>
          <rPr>
            <sz val="9"/>
            <color indexed="81"/>
            <rFont val="Tahoma"/>
            <family val="2"/>
          </rPr>
          <t xml:space="preserve">
rev0 = 32.904
rev1 = 33.5 GC ปรับเพิ่มเนื่องจาก GSP5 แจ้งแผน TD 50% กระทันหันในวันที่ 19 - 28 เม.ย. 64 
rev2 = 25.4 KT วันที่ 14 เม.ย. 64 GC แจ้งเหตุไฟฟ้าขัดข้อง จึงลดรับ LPG
rev3 = 24 KT เนื่องจาก ไฟฟ้าดับเมื่อวันที่ 20 Apr (GC official)</t>
        </r>
      </text>
    </comment>
    <comment ref="AC110" authorId="1" shapeId="0" xr:uid="{00000000-0006-0000-0200-000088000000}">
      <text>
        <r>
          <rPr>
            <b/>
            <sz val="9"/>
            <color indexed="81"/>
            <rFont val="Tahoma"/>
            <family val="2"/>
          </rPr>
          <t>Windows User:</t>
        </r>
        <r>
          <rPr>
            <sz val="9"/>
            <color indexed="81"/>
            <rFont val="Tahoma"/>
            <family val="2"/>
          </rPr>
          <t xml:space="preserve">
rev0 = 37.442 KT
rev1 = 42.4 KT เนื่องจาก GC need LPG 50 KT
rev2 = 40 KT GC ปรับลด จาก OLE2 quencch tower leak
rev3 = 39 KT GC ปรับลด จาก OLE2 quencch tower leak</t>
        </r>
      </text>
    </comment>
    <comment ref="AD110" authorId="1" shapeId="0" xr:uid="{00000000-0006-0000-0200-000089000000}">
      <text>
        <r>
          <rPr>
            <b/>
            <sz val="9"/>
            <color indexed="81"/>
            <rFont val="Tahoma"/>
            <family val="2"/>
          </rPr>
          <t>Windows User:</t>
        </r>
        <r>
          <rPr>
            <sz val="9"/>
            <color indexed="81"/>
            <rFont val="Tahoma"/>
            <family val="2"/>
          </rPr>
          <t xml:space="preserve">
rev0 = 38.032
rev1 = 41.279 GSP ต้องการขายเพิ่ม ลด inven</t>
        </r>
      </text>
    </comment>
    <comment ref="AE110" authorId="1" shapeId="0" xr:uid="{00000000-0006-0000-0200-00008A000000}">
      <text>
        <r>
          <rPr>
            <b/>
            <sz val="9"/>
            <color indexed="81"/>
            <rFont val="Tahoma"/>
            <family val="2"/>
          </rPr>
          <t xml:space="preserve">Windows User:
</t>
        </r>
        <r>
          <rPr>
            <sz val="9"/>
            <color indexed="81"/>
            <rFont val="Tahoma"/>
            <family val="2"/>
          </rPr>
          <t>rev0 = 79.12
rev1 = 76.668 GC ขอปรับลด
rev2 = 78.68 GSP เสนอขายเพิ่ม และ GC รับ
rev3 = 78.668 GC ปรับ
rev4 = 77.689PTT ไม่ไหวช่วงต้นเดือนก่อนเรือเข้า import มี่ให้ดึงเพิ่มแล้วเลยขอลดส่ง (ยังไม่ Official ปรับแผน)</t>
        </r>
      </text>
    </comment>
    <comment ref="AF110" authorId="0" shapeId="0" xr:uid="{00000000-0006-0000-0200-00008B000000}">
      <text>
        <r>
          <rPr>
            <b/>
            <sz val="9"/>
            <color indexed="81"/>
            <rFont val="Tahoma"/>
            <family val="2"/>
          </rPr>
          <t>Quantumuser:</t>
        </r>
        <r>
          <rPr>
            <sz val="9"/>
            <color indexed="81"/>
            <rFont val="Tahoma"/>
            <family val="2"/>
          </rPr>
          <t xml:space="preserve">
Rev0 = 43.76 KT
Rev1 = 43.781 KT GC ขอปรับ
rev2 = 41.754 GC ขอลด 
rev3 = คาดการ gc ต้องมาขอทดแทน c2</t>
        </r>
      </text>
    </comment>
    <comment ref="AG110" authorId="0" shapeId="0" xr:uid="{00000000-0006-0000-0200-00008C000000}">
      <text>
        <r>
          <rPr>
            <b/>
            <sz val="9"/>
            <color indexed="81"/>
            <rFont val="Tahoma"/>
            <family val="2"/>
          </rPr>
          <t>Quantumuser:</t>
        </r>
        <r>
          <rPr>
            <sz val="9"/>
            <color indexed="81"/>
            <rFont val="Tahoma"/>
            <family val="2"/>
          </rPr>
          <t xml:space="preserve">
rev0 44.96
rev1 = 37.96 GC ขอลด PTT เลยไปเพิ่ม 
rev2 = 46.6KT GC ขอชดเชย C2 aug (รอ firm)</t>
        </r>
      </text>
    </comment>
    <comment ref="AH110" authorId="0" shapeId="0" xr:uid="{00000000-0006-0000-0200-00008D000000}">
      <text>
        <r>
          <rPr>
            <b/>
            <sz val="9"/>
            <color indexed="81"/>
            <rFont val="Tahoma"/>
            <family val="2"/>
          </rPr>
          <t>Quantumuser:</t>
        </r>
        <r>
          <rPr>
            <sz val="9"/>
            <color indexed="81"/>
            <rFont val="Tahoma"/>
            <family val="2"/>
          </rPr>
          <t xml:space="preserve">
46.626
rev0 = 30KT
rev1 = 25.8KT GSP short supply จาก JDA และ GC อยากลดรับจาก ethylene emergency S/D เลยให้ลด 1-8 Oct แต่สุดท้าย GC ลดได้ 1-15
rev2 = 24 GC รายวันลด จากที่ ptt ขอลด oct- 11 Nov 4KT</t>
        </r>
      </text>
    </comment>
    <comment ref="AI110" authorId="0" shapeId="0" xr:uid="{00000000-0006-0000-0200-00008E000000}">
      <text>
        <r>
          <rPr>
            <b/>
            <sz val="9"/>
            <color indexed="81"/>
            <rFont val="Tahoma"/>
            <family val="2"/>
          </rPr>
          <t>Quantumuser:</t>
        </r>
        <r>
          <rPr>
            <sz val="9"/>
            <color indexed="81"/>
            <rFont val="Tahoma"/>
            <family val="2"/>
          </rPr>
          <t xml:space="preserve">
Rev 0=20 GC ขอรับน้อย
Rev 1 =18.8 GC อยากลด แล้ว supply ก็ Short (oct - 11Nov -4)
</t>
        </r>
      </text>
    </comment>
    <comment ref="AJ110" authorId="0" shapeId="0" xr:uid="{00000000-0006-0000-0200-00008F000000}">
      <text>
        <r>
          <rPr>
            <b/>
            <sz val="9"/>
            <color indexed="81"/>
            <rFont val="Tahoma"/>
            <family val="2"/>
          </rPr>
          <t>Quantumuser:</t>
        </r>
        <r>
          <rPr>
            <sz val="9"/>
            <color indexed="81"/>
            <rFont val="Tahoma"/>
            <family val="2"/>
          </rPr>
          <t xml:space="preserve">
GC ขอรับน้อย</t>
        </r>
      </text>
    </comment>
    <comment ref="AK110" authorId="1" shapeId="0" xr:uid="{00000000-0006-0000-0200-000090000000}">
      <text>
        <r>
          <rPr>
            <b/>
            <sz val="9"/>
            <color indexed="81"/>
            <rFont val="Tahoma"/>
            <family val="2"/>
          </rPr>
          <t>Windows User:</t>
        </r>
        <r>
          <rPr>
            <sz val="9"/>
            <color indexed="81"/>
            <rFont val="Tahoma"/>
            <family val="2"/>
          </rPr>
          <t xml:space="preserve">
rev 0 = 27.094 KT (BZ)
</t>
        </r>
      </text>
    </comment>
    <comment ref="AL110" authorId="1" shapeId="0" xr:uid="{00000000-0006-0000-0200-000091000000}">
      <text>
        <r>
          <rPr>
            <b/>
            <sz val="9"/>
            <color indexed="81"/>
            <rFont val="Tahoma"/>
            <family val="2"/>
          </rPr>
          <t>Windows User:</t>
        </r>
        <r>
          <rPr>
            <sz val="9"/>
            <color indexed="81"/>
            <rFont val="Tahoma"/>
            <family val="2"/>
          </rPr>
          <t xml:space="preserve">
rev0 = 44.3762 KT (BZ)</t>
        </r>
      </text>
    </comment>
    <comment ref="C111" authorId="0" shapeId="0" xr:uid="{00000000-0006-0000-0200-000092000000}">
      <text>
        <r>
          <rPr>
            <b/>
            <sz val="9"/>
            <color indexed="81"/>
            <rFont val="Tahoma"/>
            <family val="2"/>
          </rPr>
          <t>Quantumuser:
ต้องรับ 14-15 T/hr</t>
        </r>
      </text>
    </comment>
    <comment ref="Z111" authorId="1" shapeId="0" xr:uid="{00000000-0006-0000-0200-000093000000}">
      <text>
        <r>
          <rPr>
            <b/>
            <sz val="9"/>
            <color indexed="81"/>
            <rFont val="Tahoma"/>
            <family val="2"/>
          </rPr>
          <t>Windows User:</t>
        </r>
        <r>
          <rPr>
            <sz val="9"/>
            <color indexed="81"/>
            <rFont val="Tahoma"/>
            <family val="2"/>
          </rPr>
          <t xml:space="preserve">
rev0 =10.8
rev1 = 9 SCG แจ้งปรับลด เนื่องจาก uncertainty of the commissioning and start-up </t>
        </r>
      </text>
    </comment>
    <comment ref="AB111" authorId="1" shapeId="0" xr:uid="{00000000-0006-0000-0200-000094000000}">
      <text>
        <r>
          <rPr>
            <b/>
            <sz val="9"/>
            <color indexed="81"/>
            <rFont val="Tahoma"/>
            <family val="2"/>
          </rPr>
          <t>Windows User:</t>
        </r>
        <r>
          <rPr>
            <sz val="9"/>
            <color indexed="81"/>
            <rFont val="Tahoma"/>
            <family val="2"/>
          </rPr>
          <t xml:space="preserve">
MOC ทางท่อ</t>
        </r>
      </text>
    </comment>
    <comment ref="AC111" authorId="1" shapeId="0" xr:uid="{00000000-0006-0000-0200-000095000000}">
      <text>
        <r>
          <rPr>
            <b/>
            <sz val="9"/>
            <color indexed="81"/>
            <rFont val="Tahoma"/>
            <family val="2"/>
          </rPr>
          <t>Windows User:</t>
        </r>
        <r>
          <rPr>
            <sz val="9"/>
            <color indexed="81"/>
            <rFont val="Tahoma"/>
            <family val="2"/>
          </rPr>
          <t xml:space="preserve">
rev0 = 12.312
rev1 = 10.5 SCG ลดรับ เนื่องจาก GSP จัดส่ง C2 ให้ในเดือน Apr มากขึ้น GSP จึงขอให้ลดการรับ C3 in May GSP จะได้ไม่ต้อง Split cargo</t>
        </r>
      </text>
    </comment>
    <comment ref="AE111" authorId="0" shapeId="0" xr:uid="{00000000-0006-0000-0200-000096000000}">
      <text>
        <r>
          <rPr>
            <b/>
            <sz val="9"/>
            <color indexed="81"/>
            <rFont val="Tahoma"/>
            <family val="2"/>
          </rPr>
          <t>Quantumuser:</t>
        </r>
        <r>
          <rPr>
            <sz val="9"/>
            <color indexed="81"/>
            <rFont val="Tahoma"/>
            <family val="2"/>
          </rPr>
          <t xml:space="preserve">
GSP6 TA 
ดังนั้นส่งให้ทางเรือแทน ปลายเดือน มิ.ย. 64 = 18 KT ตาม Demand SCG
</t>
        </r>
      </text>
    </comment>
    <comment ref="AG111" authorId="0" shapeId="0" xr:uid="{00000000-0006-0000-0200-000097000000}">
      <text>
        <r>
          <rPr>
            <b/>
            <sz val="9"/>
            <color indexed="81"/>
            <rFont val="Tahoma"/>
            <family val="2"/>
          </rPr>
          <t>Quantumuser:</t>
        </r>
        <r>
          <rPr>
            <sz val="9"/>
            <color indexed="81"/>
            <rFont val="Tahoma"/>
            <family val="2"/>
          </rPr>
          <t xml:space="preserve">
Rev0 =6.029
Rev1 = 4.991 ROC nom</t>
        </r>
      </text>
    </comment>
    <comment ref="AH111" authorId="0" shapeId="0" xr:uid="{00000000-0006-0000-0200-000098000000}">
      <text>
        <r>
          <rPr>
            <b/>
            <sz val="9"/>
            <color indexed="81"/>
            <rFont val="Tahoma"/>
            <family val="2"/>
          </rPr>
          <t>Quantumuser:</t>
        </r>
        <r>
          <rPr>
            <sz val="9"/>
            <color indexed="81"/>
            <rFont val="Tahoma"/>
            <family val="2"/>
          </rPr>
          <t xml:space="preserve">
Rev0 =10.229
Rev1 = 6.7
 ROC nom</t>
        </r>
      </text>
    </comment>
    <comment ref="AI111" authorId="0" shapeId="0" xr:uid="{00000000-0006-0000-0200-000099000000}">
      <text>
        <r>
          <rPr>
            <b/>
            <sz val="9"/>
            <color indexed="81"/>
            <rFont val="Tahoma"/>
            <family val="2"/>
          </rPr>
          <t>Quantumuser:</t>
        </r>
        <r>
          <rPr>
            <sz val="9"/>
            <color indexed="81"/>
            <rFont val="Tahoma"/>
            <family val="2"/>
          </rPr>
          <t xml:space="preserve">
Rev0 =9.4
rev1 = 8.55 ROC ปรับลด</t>
        </r>
      </text>
    </comment>
    <comment ref="AK111" authorId="1" shapeId="0" xr:uid="{00000000-0006-0000-0200-00009A000000}">
      <text>
        <r>
          <rPr>
            <b/>
            <sz val="9"/>
            <color indexed="81"/>
            <rFont val="Tahoma"/>
            <family val="2"/>
          </rPr>
          <t>Windows User:</t>
        </r>
        <r>
          <rPr>
            <sz val="9"/>
            <color indexed="81"/>
            <rFont val="Tahoma"/>
            <family val="2"/>
          </rPr>
          <t xml:space="preserve">
rev0 = 12.204 KT (SCG requirement)</t>
        </r>
      </text>
    </comment>
    <comment ref="AL111" authorId="1" shapeId="0" xr:uid="{00000000-0006-0000-0200-00009B000000}">
      <text>
        <r>
          <rPr>
            <b/>
            <sz val="9"/>
            <color indexed="81"/>
            <rFont val="Tahoma"/>
            <family val="2"/>
          </rPr>
          <t>Windows User:</t>
        </r>
        <r>
          <rPr>
            <sz val="9"/>
            <color indexed="81"/>
            <rFont val="Tahoma"/>
            <family val="2"/>
          </rPr>
          <t xml:space="preserve">
rev0 = 12.177 KT (SCG LT)</t>
        </r>
      </text>
    </comment>
    <comment ref="AM111" authorId="1" shapeId="0" xr:uid="{00000000-0006-0000-0200-00009C000000}">
      <text>
        <r>
          <rPr>
            <b/>
            <sz val="9"/>
            <color indexed="81"/>
            <rFont val="Tahoma"/>
            <family val="2"/>
          </rPr>
          <t>Windows User:</t>
        </r>
        <r>
          <rPr>
            <sz val="9"/>
            <color indexed="81"/>
            <rFont val="Tahoma"/>
            <family val="2"/>
          </rPr>
          <t xml:space="preserve">
rev0 = 13.481 KT (SCG LT)</t>
        </r>
      </text>
    </comment>
    <comment ref="AH112" authorId="0" shapeId="0" xr:uid="{00000000-0006-0000-0200-00009D000000}">
      <text>
        <r>
          <rPr>
            <b/>
            <sz val="9"/>
            <color indexed="81"/>
            <rFont val="Tahoma"/>
            <family val="2"/>
          </rPr>
          <t>Quantumuser:</t>
        </r>
        <r>
          <rPr>
            <sz val="9"/>
            <color indexed="81"/>
            <rFont val="Tahoma"/>
            <family val="2"/>
          </rPr>
          <t xml:space="preserve">
6.831
</t>
        </r>
      </text>
    </comment>
    <comment ref="AI112" authorId="0" shapeId="0" xr:uid="{00000000-0006-0000-0200-00009E000000}">
      <text>
        <r>
          <rPr>
            <b/>
            <sz val="9"/>
            <color indexed="81"/>
            <rFont val="Tahoma"/>
            <family val="2"/>
          </rPr>
          <t>Quantumuser:</t>
        </r>
        <r>
          <rPr>
            <sz val="9"/>
            <color indexed="81"/>
            <rFont val="Tahoma"/>
            <family val="2"/>
          </rPr>
          <t xml:space="preserve">
Rev0 =2.5
Rev1 = 2.25 SCG demand drop
</t>
        </r>
      </text>
    </comment>
    <comment ref="AJ112" authorId="0" shapeId="0" xr:uid="{00000000-0006-0000-0200-00009F000000}">
      <text>
        <r>
          <rPr>
            <b/>
            <sz val="9"/>
            <color indexed="81"/>
            <rFont val="Tahoma"/>
            <family val="2"/>
          </rPr>
          <t>Quantumuser:</t>
        </r>
        <r>
          <rPr>
            <sz val="9"/>
            <color indexed="81"/>
            <rFont val="Tahoma"/>
            <family val="2"/>
          </rPr>
          <t xml:space="preserve">
Rev0=13.784
Rev1 = 10.8 SCG demand drop</t>
        </r>
      </text>
    </comment>
    <comment ref="E113" authorId="0" shapeId="0" xr:uid="{00000000-0006-0000-0200-0000A0000000}">
      <text>
        <r>
          <rPr>
            <b/>
            <sz val="9"/>
            <color indexed="81"/>
            <rFont val="Tahoma"/>
            <family val="2"/>
          </rPr>
          <t>Quantumuser:</t>
        </r>
        <r>
          <rPr>
            <sz val="9"/>
            <color indexed="81"/>
            <rFont val="Tahoma"/>
            <family val="2"/>
          </rPr>
          <t xml:space="preserve">
rev0 = 19
rev1 = 22 ROC ขอปรับเพิ่ม โดยโยกมาจากเดือน มิ.ย. เพราะเกรงว่าจะรับ 35 kt ในเดือน Jun ไม่ไหว</t>
        </r>
      </text>
    </comment>
    <comment ref="F113" authorId="0" shapeId="0" xr:uid="{00000000-0006-0000-0200-0000A1000000}">
      <text>
        <r>
          <rPr>
            <b/>
            <sz val="9"/>
            <color indexed="81"/>
            <rFont val="Tahoma"/>
            <family val="2"/>
          </rPr>
          <t>Quantumuser:</t>
        </r>
        <r>
          <rPr>
            <sz val="9"/>
            <color indexed="81"/>
            <rFont val="Tahoma"/>
            <family val="2"/>
          </rPr>
          <t xml:space="preserve">
rev0 = 35
rev1 = 32 โยกไปรับเดือน พค. ก่อน 3 KT
</t>
        </r>
      </text>
    </comment>
    <comment ref="G113" authorId="1" shapeId="0" xr:uid="{00000000-0006-0000-0200-0000A2000000}">
      <text>
        <r>
          <rPr>
            <b/>
            <sz val="9"/>
            <color indexed="81"/>
            <rFont val="Tahoma"/>
            <family val="2"/>
          </rPr>
          <t>Windows User:</t>
        </r>
        <r>
          <rPr>
            <sz val="9"/>
            <color indexed="81"/>
            <rFont val="Tahoma"/>
            <family val="2"/>
          </rPr>
          <t xml:space="preserve">
rev0 = 19 
rev1= 15 KT cause GSP3 trip</t>
        </r>
      </text>
    </comment>
    <comment ref="L113" authorId="0" shapeId="0" xr:uid="{00000000-0006-0000-0200-0000A3000000}">
      <text>
        <r>
          <rPr>
            <b/>
            <sz val="9"/>
            <color indexed="81"/>
            <rFont val="Tahoma"/>
            <family val="2"/>
          </rPr>
          <t>Quantumuser:</t>
        </r>
        <r>
          <rPr>
            <sz val="9"/>
            <color indexed="81"/>
            <rFont val="Tahoma"/>
            <family val="2"/>
          </rPr>
          <t xml:space="preserve">
rev0 = 6 KT
rev1 = 8 KT (GSP ขายเพิ่ม เพื่อ balance ถัง)
rev2 = 13 KT GSP ขายเพิ่ม 5 KT เนื่องจากลูกค้า GC, HMC, PTTAC blackout เมื่อวันที่ 23 ธ.ค. 62 จึงต้องขายเพิ่ม เพื่อรักษา inv รายวัน
</t>
        </r>
      </text>
    </comment>
    <comment ref="P113" authorId="0" shapeId="0" xr:uid="{00000000-0006-0000-0200-0000A4000000}">
      <text>
        <r>
          <rPr>
            <b/>
            <sz val="9"/>
            <color indexed="81"/>
            <rFont val="Tahoma"/>
            <family val="2"/>
          </rPr>
          <t>Quantumuser:</t>
        </r>
        <r>
          <rPr>
            <sz val="9"/>
            <color indexed="81"/>
            <rFont val="Tahoma"/>
            <family val="2"/>
          </rPr>
          <t xml:space="preserve">
roc base 12 kt
roc spot 9 kt (MOP’J -80)</t>
        </r>
      </text>
    </comment>
    <comment ref="Q113" authorId="0" shapeId="0" xr:uid="{00000000-0006-0000-0200-0000A5000000}">
      <text>
        <r>
          <rPr>
            <b/>
            <sz val="9"/>
            <color indexed="81"/>
            <rFont val="Tahoma"/>
            <family val="2"/>
          </rPr>
          <t>Quantumuser:</t>
        </r>
        <r>
          <rPr>
            <sz val="9"/>
            <color indexed="81"/>
            <rFont val="Tahoma"/>
            <family val="2"/>
          </rPr>
          <t xml:space="preserve">
MOC TA May- Jun'20
roc spot 6 kt (mop,j -80)
rev0 = 0 KT
rev1 = 6 KT GSP ขายเพิ่ม
rev2 = 0 KT โยกไป Oct'20
</t>
        </r>
      </text>
    </comment>
    <comment ref="R113" authorId="0" shapeId="0" xr:uid="{00000000-0006-0000-0200-0000A6000000}">
      <text>
        <r>
          <rPr>
            <b/>
            <sz val="9"/>
            <color indexed="81"/>
            <rFont val="Tahoma"/>
            <family val="2"/>
          </rPr>
          <t>Quantumuser:</t>
        </r>
        <r>
          <rPr>
            <sz val="9"/>
            <color indexed="81"/>
            <rFont val="Tahoma"/>
            <family val="2"/>
          </rPr>
          <t xml:space="preserve">
MOC TA May- Jun'20
</t>
        </r>
      </text>
    </comment>
    <comment ref="V113" authorId="1" shapeId="0" xr:uid="{00000000-0006-0000-0200-0000A7000000}">
      <text>
        <r>
          <rPr>
            <b/>
            <sz val="9"/>
            <color indexed="81"/>
            <rFont val="Tahoma"/>
            <family val="2"/>
          </rPr>
          <t>Windows User:</t>
        </r>
        <r>
          <rPr>
            <sz val="9"/>
            <color indexed="81"/>
            <rFont val="Tahoma"/>
            <family val="2"/>
          </rPr>
          <t xml:space="preserve">
rev0 = 33.4 
rev1 = 39.4 KT โยกมาจากเดือน May +6 KT
MOC TA</t>
        </r>
      </text>
    </comment>
    <comment ref="W113" authorId="1" shapeId="0" xr:uid="{00000000-0006-0000-0200-0000A8000000}">
      <text>
        <r>
          <rPr>
            <b/>
            <sz val="9"/>
            <color indexed="81"/>
            <rFont val="Tahoma"/>
            <family val="2"/>
          </rPr>
          <t>Windows User:</t>
        </r>
        <r>
          <rPr>
            <sz val="9"/>
            <color indexed="81"/>
            <rFont val="Tahoma"/>
            <family val="2"/>
          </rPr>
          <t xml:space="preserve">
MOC TA</t>
        </r>
      </text>
    </comment>
    <comment ref="Z113" authorId="1" shapeId="0" xr:uid="{00000000-0006-0000-0200-0000A9000000}">
      <text>
        <r>
          <rPr>
            <b/>
            <sz val="9"/>
            <color indexed="81"/>
            <rFont val="Tahoma"/>
            <family val="2"/>
          </rPr>
          <t>Windows User:</t>
        </r>
        <r>
          <rPr>
            <sz val="9"/>
            <color indexed="81"/>
            <rFont val="Tahoma"/>
            <family val="2"/>
          </rPr>
          <t xml:space="preserve">
17.6 KT เป็น Spot price : MOP'J-70</t>
        </r>
      </text>
    </comment>
    <comment ref="AB113" authorId="1" shapeId="0" xr:uid="{00000000-0006-0000-0200-0000AA000000}">
      <text>
        <r>
          <rPr>
            <b/>
            <sz val="9"/>
            <color indexed="81"/>
            <rFont val="Tahoma"/>
            <family val="2"/>
          </rPr>
          <t>Windows User:</t>
        </r>
        <r>
          <rPr>
            <sz val="9"/>
            <color indexed="81"/>
            <rFont val="Tahoma"/>
            <family val="2"/>
          </rPr>
          <t xml:space="preserve">
rev0 = 23 KT
rev1 = 27.5 KT GSP เสนอขายเพิ่มที่ 4.5 KT (MOP'J-105) เพื่อให้ลด Feed น้อยลง
rev2 = 28.1 KT SCG ขอรับเพิ่ม</t>
        </r>
      </text>
    </comment>
    <comment ref="AC113" authorId="1" shapeId="0" xr:uid="{00000000-0006-0000-0200-0000AB000000}">
      <text>
        <r>
          <rPr>
            <b/>
            <sz val="9"/>
            <color indexed="81"/>
            <rFont val="Tahoma"/>
            <family val="2"/>
          </rPr>
          <t>Windows User:</t>
        </r>
        <r>
          <rPr>
            <sz val="9"/>
            <color indexed="81"/>
            <rFont val="Tahoma"/>
            <family val="2"/>
          </rPr>
          <t xml:space="preserve">
rev0 = 12 KT
rev1 = 28 KT GSP เสนอขายเพิ่มเพือ balance inv
rev2 = 29.5 KT SCG ขอซื้อเพิ่ม +1.5 KT (MOP'J-80)
rev3 = 30.8 KT SCG ขอซื้อเพิ่ม +1.3 KT (MOP'J-80)</t>
        </r>
      </text>
    </comment>
    <comment ref="AE113" authorId="1" shapeId="0" xr:uid="{00000000-0006-0000-0200-0000AC000000}">
      <text>
        <r>
          <rPr>
            <b/>
            <sz val="9"/>
            <color indexed="81"/>
            <rFont val="Tahoma"/>
            <family val="2"/>
          </rPr>
          <t>Windows User:</t>
        </r>
        <r>
          <rPr>
            <sz val="9"/>
            <color indexed="81"/>
            <rFont val="Tahoma"/>
            <family val="2"/>
          </rPr>
          <t xml:space="preserve">
rev0 = 3 KT
rev1 = 0 KT เนื่องจาก SCG เตาเสีย ซ่อมเสร็จไม่ทัน
rev2= 6 KT SCG ขอซื้อเพิ่ม โดย GSP มี LPG Petro max 6 KT</t>
        </r>
      </text>
    </comment>
    <comment ref="AF113" authorId="0" shapeId="0" xr:uid="{00000000-0006-0000-0200-0000AD000000}">
      <text>
        <r>
          <rPr>
            <b/>
            <sz val="9"/>
            <color indexed="81"/>
            <rFont val="Tahoma"/>
            <family val="2"/>
          </rPr>
          <t>Quantumuser:</t>
        </r>
        <r>
          <rPr>
            <sz val="9"/>
            <color indexed="81"/>
            <rFont val="Tahoma"/>
            <family val="2"/>
          </rPr>
          <t xml:space="preserve">
rev0 = 3
rev1 = 5 GC ลด เลยขาย SCG เพิ่ม 
rev2= 9.6 AC HMC ลดรับ GSP ของสูงเลยเสนอขายราคา spot</t>
        </r>
      </text>
    </comment>
    <comment ref="AG113" authorId="0" shapeId="0" xr:uid="{00000000-0006-0000-0200-0000AE000000}">
      <text>
        <r>
          <rPr>
            <b/>
            <sz val="9"/>
            <color indexed="81"/>
            <rFont val="Tahoma"/>
            <family val="2"/>
          </rPr>
          <t xml:space="preserve">Quantumuser:
</t>
        </r>
        <r>
          <rPr>
            <sz val="9"/>
            <color indexed="81"/>
            <rFont val="Tahoma"/>
            <family val="2"/>
          </rPr>
          <t>rev0 = 3KT
rev1 = 9.7KT gsp ต้องการขายเพิ่ม
rev2=18.2 AC HMC ลดรับ GSP ของสูงเลยเสนอขายราคา spot</t>
        </r>
      </text>
    </comment>
    <comment ref="AH113" authorId="0" shapeId="0" xr:uid="{00000000-0006-0000-0200-0000AF000000}">
      <text>
        <r>
          <rPr>
            <b/>
            <sz val="9"/>
            <color indexed="81"/>
            <rFont val="Tahoma"/>
            <family val="2"/>
          </rPr>
          <t>Quantumuser:</t>
        </r>
        <r>
          <rPr>
            <sz val="9"/>
            <color indexed="81"/>
            <rFont val="Tahoma"/>
            <family val="2"/>
          </rPr>
          <t xml:space="preserve">
update 19/07: Max 20KT</t>
        </r>
      </text>
    </comment>
    <comment ref="AI113" authorId="0" shapeId="0" xr:uid="{00000000-0006-0000-0200-0000B0000000}">
      <text>
        <r>
          <rPr>
            <b/>
            <sz val="9"/>
            <color indexed="81"/>
            <rFont val="Tahoma"/>
            <family val="2"/>
          </rPr>
          <t>Quantumuser:</t>
        </r>
        <r>
          <rPr>
            <sz val="9"/>
            <color indexed="81"/>
            <rFont val="Tahoma"/>
            <family val="2"/>
          </rPr>
          <t xml:space="preserve">
Quantumuser:
Rev0 =16.7
</t>
        </r>
      </text>
    </comment>
    <comment ref="C114" authorId="0" shapeId="0" xr:uid="{00000000-0006-0000-0200-0000B1000000}">
      <text>
        <r>
          <rPr>
            <b/>
            <sz val="9"/>
            <color indexed="81"/>
            <rFont val="Tahoma"/>
            <family val="2"/>
          </rPr>
          <t>Quantumuser:</t>
        </r>
        <r>
          <rPr>
            <sz val="9"/>
            <color indexed="81"/>
            <rFont val="Tahoma"/>
            <family val="2"/>
          </rPr>
          <t xml:space="preserve">
980 per day -&gt; run 95%</t>
        </r>
      </text>
    </comment>
    <comment ref="G114" authorId="0" shapeId="0" xr:uid="{00000000-0006-0000-0200-0000B2000000}">
      <text>
        <r>
          <rPr>
            <b/>
            <sz val="9"/>
            <color indexed="81"/>
            <rFont val="Tahoma"/>
            <family val="2"/>
          </rPr>
          <t xml:space="preserve">Quantumuser:
rev0  =27.8
rev1 = 24.5   HMC delay start up
</t>
        </r>
      </text>
    </comment>
    <comment ref="H114" authorId="0" shapeId="0" xr:uid="{00000000-0006-0000-0200-0000B3000000}">
      <text>
        <r>
          <rPr>
            <b/>
            <sz val="9"/>
            <color indexed="81"/>
            <rFont val="Tahoma"/>
            <family val="2"/>
          </rPr>
          <t>Quantumuser:</t>
        </r>
        <r>
          <rPr>
            <sz val="9"/>
            <color indexed="81"/>
            <rFont val="Tahoma"/>
            <family val="2"/>
          </rPr>
          <t xml:space="preserve">
rev0 = 34.1 
rev1 = 32.55 PDH have some technical problem at main compressor Aug-Sep'19 1,050 KT/day
rev2 = 28.563 HMC มีปัญหา ต้องลด load เพิ่มจาก 1,050 --&gt; 870 Ton/day
 (reduce PDH rate to 80% 10-31 Aug'19)
HMC PP Plant had an unplanned shutdown on last Sunday.  We restarted it in this morning but it had an unplanned shutdown again in this evening.
The propylene storage at PTT tank was full also.  As a result, we have to reduce PDH production in August.
rev3 = 27 KT  HMC มีปัญหา compressor
rev4 = 25 KT  HMC มีปัญหา compressor</t>
        </r>
      </text>
    </comment>
    <comment ref="I114" authorId="0" shapeId="0" xr:uid="{00000000-0006-0000-0200-0000B4000000}">
      <text>
        <r>
          <rPr>
            <b/>
            <sz val="9"/>
            <color indexed="81"/>
            <rFont val="Tahoma"/>
            <family val="2"/>
          </rPr>
          <t>Quantumuser:</t>
        </r>
        <r>
          <rPr>
            <sz val="9"/>
            <color indexed="81"/>
            <rFont val="Tahoma"/>
            <family val="2"/>
          </rPr>
          <t xml:space="preserve">
rev0 = 31.5 KT
rev1 = 27.6 KT HMC มีปัญหา compressor
rev2 = 26.737 KT HMC มีปัญหา compressor</t>
        </r>
      </text>
    </comment>
    <comment ref="J114" authorId="0" shapeId="0" xr:uid="{00000000-0006-0000-0200-0000B5000000}">
      <text>
        <r>
          <rPr>
            <b/>
            <sz val="9"/>
            <color indexed="81"/>
            <rFont val="Tahoma"/>
            <family val="2"/>
          </rPr>
          <t>Quantumuser:</t>
        </r>
        <r>
          <rPr>
            <sz val="9"/>
            <color indexed="81"/>
            <rFont val="Tahoma"/>
            <family val="2"/>
          </rPr>
          <t xml:space="preserve">
rev0 = 32.55 KT
rev1 = 33.48 KT HMC run 100% @1,080 Ton/day</t>
        </r>
      </text>
    </comment>
    <comment ref="K114" authorId="0" shapeId="0" xr:uid="{00000000-0006-0000-0200-0000B6000000}">
      <text>
        <r>
          <rPr>
            <b/>
            <sz val="9"/>
            <color indexed="81"/>
            <rFont val="Tahoma"/>
            <family val="2"/>
          </rPr>
          <t>Quantumuser:</t>
        </r>
        <r>
          <rPr>
            <sz val="9"/>
            <color indexed="81"/>
            <rFont val="Tahoma"/>
            <family val="2"/>
          </rPr>
          <t xml:space="preserve">
rev0 = 33 KT
rev1 = 32.4 KT HMC run 100% @1,080 Ton/day
rev2 = 31.632  KT HMC run 98% @1,060 Ton/day</t>
        </r>
      </text>
    </comment>
    <comment ref="L114" authorId="0" shapeId="0" xr:uid="{00000000-0006-0000-0200-0000B7000000}">
      <text>
        <r>
          <rPr>
            <b/>
            <sz val="9"/>
            <color indexed="81"/>
            <rFont val="Tahoma"/>
            <family val="2"/>
          </rPr>
          <t>Quantumuser:</t>
        </r>
        <r>
          <rPr>
            <sz val="9"/>
            <color indexed="81"/>
            <rFont val="Tahoma"/>
            <family val="2"/>
          </rPr>
          <t xml:space="preserve">
HMC has planned to receive Propane at 1,060 Ton/day (98%) 
rev0 = 32.86 
rev1 = 29 KT HMC ขอปรับลดเนื่องจาก PDH plant lost power supply and had an emergency shutdown
rev2 = 23.6 KT HMC ขอปรับลดเนื่องจาก blackout</t>
        </r>
      </text>
    </comment>
    <comment ref="M114" authorId="0" shapeId="0" xr:uid="{00000000-0006-0000-0200-0000B8000000}">
      <text>
        <r>
          <rPr>
            <b/>
            <sz val="9"/>
            <color indexed="81"/>
            <rFont val="Tahoma"/>
            <family val="2"/>
          </rPr>
          <t>Quantumuser
HMC has planned to receive Propane at 1,060 Ton/day (98%) เพื่อรักษา catalyst ใน reactor</t>
        </r>
      </text>
    </comment>
    <comment ref="N114" authorId="0" shapeId="0" xr:uid="{00000000-0006-0000-0200-0000B9000000}">
      <text>
        <r>
          <rPr>
            <b/>
            <sz val="9"/>
            <color indexed="81"/>
            <rFont val="Tahoma"/>
            <family val="2"/>
          </rPr>
          <t>Quantumuser:</t>
        </r>
        <r>
          <rPr>
            <sz val="9"/>
            <color indexed="81"/>
            <rFont val="Tahoma"/>
            <family val="2"/>
          </rPr>
          <t xml:space="preserve">
HMC has planned to receive Propane at 1,060 Ton/day (98%) เพื่อรักษา catalyst ใน reactor
 HMC แจ้งว่าพบปัญหา critical ที่ equipment (ตัวตัดเม็ด) ที่ Line 3 จึงมีความจำเป็นที่ต้องลง Line 3 พร้อม PDH เพื่อเร่งแก้ปัญหาอย่างเร่งด่วนในช่วงวันที่ 28 กพ -16 มีค 63 
(ซึ่งเป็นระยะเวลาที่เร็วที่สุดที่จะะจัดหา Spare part )
**** เป็นการขอขยับเลื่อน Turnaround เร็วขึ้นจากแผนเดิม 18 วันในเดือนมิถุนายน 63 ****
Dec'19 = 30.74 KT
Jan'20 = 28.82 เนื่องจาก HMC เลื่อน TA จากดือน มิ.ย. 63 เป็น 28Feb-16Mar 
rev0 = 28.82
rev1 = 25.4 KT เนื่องจาก HMC ESD </t>
        </r>
      </text>
    </comment>
    <comment ref="O114" authorId="0" shapeId="0" xr:uid="{00000000-0006-0000-0200-0000BA000000}">
      <text>
        <r>
          <rPr>
            <b/>
            <sz val="9"/>
            <color indexed="81"/>
            <rFont val="Tahoma"/>
            <family val="2"/>
          </rPr>
          <t xml:space="preserve">Quantumuser
Dec'19 = 32.86 KT
Jan'20 = 18.52 เนื่องจาก HMC เลื่อน TA จากดือน มิ.ย. 63 เป็น 28Feb-16Mar 
rev0 = 18.52
rev1= 16.645 KT HMC ปรับลดเนื่องจาก step  start up 
</t>
        </r>
      </text>
    </comment>
    <comment ref="P114" authorId="0" shapeId="0" xr:uid="{00000000-0006-0000-0200-0000BB000000}">
      <text>
        <r>
          <rPr>
            <b/>
            <sz val="9"/>
            <color indexed="81"/>
            <rFont val="Tahoma"/>
            <family val="2"/>
          </rPr>
          <t>Quantumuser
HMC has planned to receive Propane at 1,080 Ton/day (100%) เนื่องจากเปลี่ยน catalyst ใน reactor ใหม่แล้ว
rev0 32.4 KT
rev1 26.57 KT HMC ไม่ economic
rev2 24 KT HMC ไม่ economic</t>
        </r>
      </text>
    </comment>
    <comment ref="Q114" authorId="0" shapeId="0" xr:uid="{00000000-0006-0000-0200-0000BC000000}">
      <text>
        <r>
          <rPr>
            <b/>
            <sz val="9"/>
            <color indexed="81"/>
            <rFont val="Tahoma"/>
            <family val="2"/>
          </rPr>
          <t xml:space="preserve">Quantumuser
HMC has planned to receive Propane at 1,080 Ton/day (100%) เนื่องจากเปลี่ยน catalyst ใน reactor ใหม่แล้ว
rev0 = 24.8
rev1 = 23.184 HMC runเหลือ 75% เพราะ economic ราคาขาย propylene ไม่ ok
</t>
        </r>
      </text>
    </comment>
    <comment ref="R114" authorId="0" shapeId="0" xr:uid="{00000000-0006-0000-0200-0000BD000000}">
      <text>
        <r>
          <rPr>
            <b/>
            <sz val="9"/>
            <color indexed="81"/>
            <rFont val="Tahoma"/>
            <family val="2"/>
          </rPr>
          <t xml:space="preserve">Quantumuser
HMC has planned to receive Propane at 1,080 Ton/day (100%) เนื่องจากเปลี่ยน catalyst ใน reactor ใหม่แล้ว
nom May 24
rev0 = 27.6
rev1 = 25.8
rev2 = 24.15 HMC แจ้งปรับลดจาก economic PP plant SD
rev3 = 22.482 HMC แจ้งปรับลดจาก PP plant SD
rev4 = 23.6 HMC ขอเพิ่ม
</t>
        </r>
      </text>
    </comment>
    <comment ref="S114" authorId="0" shapeId="0" xr:uid="{00000000-0006-0000-0200-0000BE000000}">
      <text>
        <r>
          <rPr>
            <b/>
            <sz val="9"/>
            <color indexed="81"/>
            <rFont val="Tahoma"/>
            <family val="2"/>
          </rPr>
          <t xml:space="preserve">Quantumuser
rev0 =27
rev1 = 25.8
</t>
        </r>
      </text>
    </comment>
    <comment ref="U114" authorId="0" shapeId="0" xr:uid="{00000000-0006-0000-0200-0000BF000000}">
      <text>
        <r>
          <rPr>
            <b/>
            <sz val="9"/>
            <color indexed="81"/>
            <rFont val="Tahoma"/>
            <family val="2"/>
          </rPr>
          <t xml:space="preserve">rev0 = 31.8
rev1 = 30.3 </t>
        </r>
      </text>
    </comment>
    <comment ref="V114" authorId="0" shapeId="0" xr:uid="{00000000-0006-0000-0200-0000C0000000}">
      <text>
        <r>
          <rPr>
            <b/>
            <sz val="9"/>
            <color indexed="81"/>
            <rFont val="Tahoma"/>
            <family val="2"/>
          </rPr>
          <t>HMC รับลดลงเหลือ 1000 - 1040 จากแผน 1060 เนื่องจากReactor no3 has high different pressure.</t>
        </r>
      </text>
    </comment>
    <comment ref="W114" authorId="0" shapeId="0" xr:uid="{00000000-0006-0000-0200-0000C1000000}">
      <text>
        <r>
          <rPr>
            <b/>
            <sz val="9"/>
            <color indexed="81"/>
            <rFont val="Tahoma"/>
            <family val="2"/>
          </rPr>
          <t xml:space="preserve">Quantumuser
HMC has planned to receive Propane at 1,080 Ton/day (100%) เนื่องจากเปลี่ยน catalyst ใน reactor ใหม่แล้ว
</t>
        </r>
      </text>
    </comment>
    <comment ref="X114" authorId="0" shapeId="0" xr:uid="{00000000-0006-0000-0200-0000C2000000}">
      <text>
        <r>
          <rPr>
            <b/>
            <sz val="9"/>
            <color indexed="81"/>
            <rFont val="Tahoma"/>
            <family val="2"/>
          </rPr>
          <t>Quantumuser
HMC รับ 1,040 Ton/hr.
rev0 = 32.24
rev1 = 19.526 HMC เกิเหตุไฟไหม่ silo เก็บเม็ดพลาสติก
rev2 = 25.775 HMC สามารถ run 1040 (95%) ได้ตั้งแต่วันที่ 19 Dec
rev3 = 25.674 HMC ปรับแผน step up</t>
        </r>
      </text>
    </comment>
    <comment ref="Y114" authorId="1" shapeId="0" xr:uid="{00000000-0006-0000-0200-0000C3000000}">
      <text>
        <r>
          <rPr>
            <b/>
            <sz val="9"/>
            <color indexed="81"/>
            <rFont val="Tahoma"/>
            <family val="2"/>
          </rPr>
          <t>Windows User:</t>
        </r>
        <r>
          <rPr>
            <sz val="9"/>
            <color indexed="81"/>
            <rFont val="Tahoma"/>
            <family val="2"/>
          </rPr>
          <t xml:space="preserve">
HMC รับ 1,040 Ton/hr.</t>
        </r>
      </text>
    </comment>
    <comment ref="Z114" authorId="1" shapeId="0" xr:uid="{00000000-0006-0000-0200-0000C4000000}">
      <text>
        <r>
          <rPr>
            <b/>
            <sz val="9"/>
            <color indexed="81"/>
            <rFont val="Tahoma"/>
            <family val="2"/>
          </rPr>
          <t>Windows User:</t>
        </r>
        <r>
          <rPr>
            <sz val="9"/>
            <color indexed="81"/>
            <rFont val="Tahoma"/>
            <family val="2"/>
          </rPr>
          <t xml:space="preserve">
HMC รับ 1,040 Ton/hr.
rev0 = 29.12
rev1 = 28.10 plant PP shutdown ทำให้ PDH ที่รับ C3 ต้อง slowdown ตาม ลดจาก 100&gt;90%  เริ่มลดตั้งแต่ 12- 19 กพ</t>
        </r>
      </text>
    </comment>
    <comment ref="AA114" authorId="1" shapeId="0" xr:uid="{00000000-0006-0000-0200-0000C5000000}">
      <text>
        <r>
          <rPr>
            <b/>
            <sz val="9"/>
            <color indexed="81"/>
            <rFont val="Tahoma"/>
            <family val="2"/>
          </rPr>
          <t>Windows User:</t>
        </r>
        <r>
          <rPr>
            <sz val="9"/>
            <color indexed="81"/>
            <rFont val="Tahoma"/>
            <family val="2"/>
          </rPr>
          <t xml:space="preserve">
HMC รับ 1,040 Ton/day</t>
        </r>
      </text>
    </comment>
    <comment ref="AB114" authorId="1" shapeId="0" xr:uid="{00000000-0006-0000-0200-0000C6000000}">
      <text>
        <r>
          <rPr>
            <b/>
            <sz val="9"/>
            <color indexed="81"/>
            <rFont val="Tahoma"/>
            <family val="2"/>
          </rPr>
          <t>Windows User:</t>
        </r>
        <r>
          <rPr>
            <sz val="9"/>
            <color indexed="81"/>
            <rFont val="Tahoma"/>
            <family val="2"/>
          </rPr>
          <t xml:space="preserve">
rev0 = 31.2 KT 
rev1 = 30.015 KT  HMC ลดรับเนื่องจาก 14-Apr at noon, all HMC PP plant had an emergency shutdown due to loss of power and steam.
HMC PDH plant had to run slow rate until PP plant can restart.
rev2 = 29.546 KT จากไฟดับวันที่ 14 Apr HMC จะกลับมารับปกติในวันที่ 22 Apr'21
rev3 = 27.070 KT นื่องจาก ไฟฟ้าดับเมื่อวันที่ 20 Apr
rev4 = 26.143 KT นื่องจาก ไฟฟ้าดับเมื่อวันที่ 20 Apr
rev5 =24.491 KT เนื่องจาก HMC PP plant ยัง start up ไม่ได้เนื่องจากพบ polymer เต็ม reactor ทำให้ PDH plant ต้อง slowdown ลงไป 60%  จึงเริ่มลงช่วงบ่ายวันที่ 28 เม.ย.  - early May </t>
        </r>
      </text>
    </comment>
    <comment ref="AC114" authorId="1" shapeId="0" xr:uid="{00000000-0006-0000-0200-0000C7000000}">
      <text>
        <r>
          <rPr>
            <b/>
            <sz val="9"/>
            <color indexed="81"/>
            <rFont val="Tahoma"/>
            <family val="2"/>
          </rPr>
          <t>Windows User:</t>
        </r>
        <r>
          <rPr>
            <sz val="9"/>
            <color indexed="81"/>
            <rFont val="Tahoma"/>
            <family val="2"/>
          </rPr>
          <t xml:space="preserve">
rev0 = 32.24 KT
rev1 = 27.735 KT HMC PP3 plant delay start up
rev2 = 26.955 KT HMC delay full load จาก 13 พค เป็น 15 พ.ค. </t>
        </r>
      </text>
    </comment>
    <comment ref="AD114" authorId="1" shapeId="0" xr:uid="{00000000-0006-0000-0200-0000C8000000}">
      <text>
        <r>
          <rPr>
            <b/>
            <sz val="9"/>
            <color indexed="81"/>
            <rFont val="Tahoma"/>
            <family val="2"/>
          </rPr>
          <t>Windows User:</t>
        </r>
        <r>
          <rPr>
            <sz val="9"/>
            <color indexed="81"/>
            <rFont val="Tahoma"/>
            <family val="2"/>
          </rPr>
          <t xml:space="preserve">
rev0 = 31.2 KT 
rev1 = 29.48 KT เนื่องจาก HMC แจ้ง unplanned shutdown due to the technical problem at main compressor ดังนั้น 1-4 June จึงปรับลด rate การรับ
Rev2= 30.1 KT HMC ปรับแผนรับเพิ่ม</t>
        </r>
      </text>
    </comment>
    <comment ref="AE114" authorId="0" shapeId="0" xr:uid="{00000000-0006-0000-0200-0000C9000000}">
      <text>
        <r>
          <rPr>
            <b/>
            <sz val="9"/>
            <color indexed="81"/>
            <rFont val="Tahoma"/>
            <family val="2"/>
          </rPr>
          <t>Quantumuser:</t>
        </r>
        <r>
          <rPr>
            <sz val="9"/>
            <color indexed="81"/>
            <rFont val="Tahoma"/>
            <family val="2"/>
          </rPr>
          <t xml:space="preserve">
rev0 = 24.5 KT ตาม BZ เนื่องจาก GSP6 TA แบ่งตามสัดส่วน
rev1 = 29.14 KT โยกมาจาก GC 
rev2 = 24.5 KT GC call volume คืน
rev3 = 30.1 KT โยกมาจาก GC 5.6 T + 24.5 KT
rev4= 30KT HMC ปรับลดตาม GSp6 TA
rev5 =30.07 hmc dispatching plan
rev6 = 30.38 hmc demand increase
trv7 =30.58 hmc demand increase แต่ GSP6 delay star up ให้ได้นิดหน่อย
Rev8 = 30.38 GSP 6 มีปัญหาขึ้น  feed max ไม่ได้ทำให้ต้องขอดึงปริมาณกลับ</t>
        </r>
      </text>
    </comment>
    <comment ref="AF114" authorId="0" shapeId="0" xr:uid="{00000000-0006-0000-0200-0000CA000000}">
      <text>
        <r>
          <rPr>
            <b/>
            <sz val="9"/>
            <color indexed="81"/>
            <rFont val="Tahoma"/>
            <family val="2"/>
          </rPr>
          <t>Quantumuser:</t>
        </r>
        <r>
          <rPr>
            <sz val="9"/>
            <color indexed="81"/>
            <rFont val="Tahoma"/>
            <family val="2"/>
          </rPr>
          <t xml:space="preserve">
rev0 =32.24
rev1 =32.55  hmc dispatching plan
rev2 28.85 emer
rev3 30.522
Rev 4 = 28.945 hmc ลด
Rev 5+ 29.405 HMC increase </t>
        </r>
      </text>
    </comment>
    <comment ref="AG114" authorId="1" shapeId="0" xr:uid="{00000000-0006-0000-0200-0000CB000000}">
      <text>
        <r>
          <rPr>
            <b/>
            <sz val="9"/>
            <color indexed="81"/>
            <rFont val="Tahoma"/>
            <family val="2"/>
          </rPr>
          <t>Windows User:</t>
        </r>
        <r>
          <rPr>
            <sz val="9"/>
            <color indexed="81"/>
            <rFont val="Tahoma"/>
            <family val="2"/>
          </rPr>
          <t xml:space="preserve">
HMC SD 10 days 22.7
rev0 = 21.84 PDH TA (22 Sep – 31 Oct 2021)
rev1 = 23.1  hmc dispatching plan</t>
        </r>
      </text>
    </comment>
    <comment ref="AH114" authorId="0" shapeId="0" xr:uid="{00000000-0006-0000-0200-0000CC000000}">
      <text>
        <r>
          <rPr>
            <b/>
            <sz val="9"/>
            <color indexed="81"/>
            <rFont val="Tahoma"/>
            <family val="2"/>
          </rPr>
          <t>Quantumuser:</t>
        </r>
        <r>
          <rPr>
            <sz val="9"/>
            <color indexed="81"/>
            <rFont val="Tahoma"/>
            <family val="2"/>
          </rPr>
          <t xml:space="preserve">
HMC SD 30 days 0
rev0 = 3KT PDH TA (22 Sep – 31 Oct 2021)
rev 1 = 0 HMC TA
rev2 =0.3 hmc start เร็วขึ้น 16 Oct
rev3 = 1.45 hmc start ช้า
Rev4 = 1.02 hmc start ช้า</t>
        </r>
      </text>
    </comment>
    <comment ref="AI114" authorId="0" shapeId="0" xr:uid="{00000000-0006-0000-0200-0000CD000000}">
      <text>
        <r>
          <rPr>
            <b/>
            <sz val="9"/>
            <color indexed="81"/>
            <rFont val="Tahoma"/>
            <family val="2"/>
          </rPr>
          <t>Quantumuser:</t>
        </r>
        <r>
          <rPr>
            <sz val="9"/>
            <color indexed="81"/>
            <rFont val="Tahoma"/>
            <family val="2"/>
          </rPr>
          <t xml:space="preserve">
Rev0 31.28
rev1 = 26.7 hmc พบปัญหา start-up
rev2 = 24.3  hmc พบปัญหา start-up
rev3 = 20.851 hmc ขอลดจาก Economics
rev4 = 20.95 hmc ปรับเพิ่ม
rev5 = 21.667 HMC ปรับเพิ่ม Supplier Propylene เจ้าอื่น ส่งของให้ไม่พอ เลยต้องขอ C3 เราเพิ่มเติมเพื่อเดิน PDH Plant
rev6 = 21.297 HMC update rate ลดลง</t>
        </r>
      </text>
    </comment>
    <comment ref="AJ114" authorId="0" shapeId="0" xr:uid="{00000000-0006-0000-0200-0000CE000000}">
      <text>
        <r>
          <rPr>
            <b/>
            <sz val="9"/>
            <color indexed="81"/>
            <rFont val="Tahoma"/>
            <family val="2"/>
          </rPr>
          <t>Quantumuser:</t>
        </r>
        <r>
          <rPr>
            <sz val="9"/>
            <color indexed="81"/>
            <rFont val="Tahoma"/>
            <family val="2"/>
          </rPr>
          <t xml:space="preserve">
rev0 32.55
rev1 31.05 HMC พบปัญหา start-up
Rev2 =29.45 Hmc ปรับลดพบปัญหา
rev3 = 26.97 hmc ขอลดจาก Economics
rev4 = 31 hmc รับเพิ่ม เป็น 1,000 Ton/day
**กัน vol max 32.55 (1,050 Ton/day)
rev5 = 26.97 KT (HMC 15/11/2021)</t>
        </r>
      </text>
    </comment>
    <comment ref="AK114" authorId="1" shapeId="0" xr:uid="{00000000-0006-0000-0200-0000CF000000}">
      <text>
        <r>
          <rPr>
            <b/>
            <sz val="9"/>
            <color indexed="81"/>
            <rFont val="Tahoma"/>
            <family val="2"/>
          </rPr>
          <t>Windows User:</t>
        </r>
        <r>
          <rPr>
            <sz val="9"/>
            <color indexed="81"/>
            <rFont val="Tahoma"/>
            <family val="2"/>
          </rPr>
          <t xml:space="preserve">
rev0 = 32.55 KT 
rev1 = 26.97 KT HMC ขอลดเพราะ economics</t>
        </r>
      </text>
    </comment>
    <comment ref="AR114" authorId="0" shapeId="0" xr:uid="{00000000-0006-0000-0200-0000D0000000}">
      <text>
        <r>
          <rPr>
            <b/>
            <sz val="9"/>
            <color indexed="81"/>
            <rFont val="Tahoma"/>
            <family val="2"/>
          </rPr>
          <t>Quantumuser:</t>
        </r>
        <r>
          <rPr>
            <sz val="9"/>
            <color indexed="81"/>
            <rFont val="Tahoma"/>
            <family val="2"/>
          </rPr>
          <t xml:space="preserve">
S/D 18 Days</t>
        </r>
      </text>
    </comment>
    <comment ref="F115" authorId="0" shapeId="0" xr:uid="{00000000-0006-0000-0200-0000D1000000}">
      <text>
        <r>
          <rPr>
            <b/>
            <sz val="9"/>
            <color indexed="81"/>
            <rFont val="Tahoma"/>
            <family val="2"/>
          </rPr>
          <t>Quantumuser:</t>
        </r>
        <r>
          <rPr>
            <sz val="9"/>
            <color indexed="81"/>
            <rFont val="Tahoma"/>
            <family val="2"/>
          </rPr>
          <t xml:space="preserve">
rev0 = 15.157 KT   PTTAC TA 9May - 12Jun (35 days)
rev1 = 12 KT   PTTAC delay start up from 12Jun to 16 Jun</t>
        </r>
      </text>
    </comment>
    <comment ref="G115" authorId="1" shapeId="0" xr:uid="{00000000-0006-0000-0200-0000D2000000}">
      <text>
        <r>
          <rPr>
            <b/>
            <sz val="9"/>
            <color indexed="81"/>
            <rFont val="Tahoma"/>
            <family val="2"/>
          </rPr>
          <t>Windows User:</t>
        </r>
        <r>
          <rPr>
            <sz val="9"/>
            <color indexed="81"/>
            <rFont val="Tahoma"/>
            <family val="2"/>
          </rPr>
          <t xml:space="preserve">
rev0 = 31.837
rev1= 30.837 KT cause GSP3 trip</t>
        </r>
      </text>
    </comment>
    <comment ref="L115" authorId="0" shapeId="0" xr:uid="{00000000-0006-0000-0200-0000D3000000}">
      <text>
        <r>
          <rPr>
            <b/>
            <sz val="9"/>
            <color indexed="81"/>
            <rFont val="Tahoma"/>
            <family val="2"/>
          </rPr>
          <t>Quantumuser:</t>
        </r>
        <r>
          <rPr>
            <sz val="9"/>
            <color indexed="81"/>
            <rFont val="Tahoma"/>
            <family val="2"/>
          </rPr>
          <t xml:space="preserve">
SAOWANI DETJAREANSRI:
PTTAC มีความสนใจรับ Propane Spot เพิ่มในช่วงเดือน พฤศจิกายน – ธันวาคม 62 ที่ 23 ตันต่อวัน หรือ 690 ตัน และ 713 ตันต่อเดือนตามลำดับ
rev = 31.129 
rev = 31.394  จัดสรรคืนปริมาณที่ต่ำกว่าแผนให้ PTTAC จากที่เดือน มี.ค. ต่ำกว่าแผน
rev0 (Nom) = 31.694  Refer to PTT GSP decreased Propane supply volume to PTTAC in Jul’19 due to the unplanned shutdown of GSP3. Therefore, the compensate volume totally 300 Ton shall be supply in Dec’19 as PTTAC requirement. 
rev0 = 31.69
rev1 = 23.6 KT PTTAC ขอปรับลด เนื่องจาก blackout</t>
        </r>
      </text>
    </comment>
    <comment ref="M115" authorId="0" shapeId="0" xr:uid="{00000000-0006-0000-0200-0000D4000000}">
      <text>
        <r>
          <rPr>
            <b/>
            <sz val="9"/>
            <color indexed="81"/>
            <rFont val="Tahoma"/>
            <family val="2"/>
          </rPr>
          <t>Quantumuser:</t>
        </r>
        <r>
          <rPr>
            <sz val="9"/>
            <color indexed="81"/>
            <rFont val="Tahoma"/>
            <family val="2"/>
          </rPr>
          <t xml:space="preserve">
rev0 = 27.982
rev1 = 17.95  KT PTTAC ขอปรับลด เนื่องจาก blackout</t>
        </r>
      </text>
    </comment>
    <comment ref="N115" authorId="1" shapeId="0" xr:uid="{00000000-0006-0000-0200-0000D5000000}">
      <text>
        <r>
          <rPr>
            <b/>
            <sz val="9"/>
            <color indexed="81"/>
            <rFont val="Tahoma"/>
            <family val="2"/>
          </rPr>
          <t>Windows User:</t>
        </r>
        <r>
          <rPr>
            <sz val="9"/>
            <color indexed="81"/>
            <rFont val="Tahoma"/>
            <family val="2"/>
          </rPr>
          <t xml:space="preserve">
rev0 = 26.179 KT
rev1 = 25.31 KT PTTAC ปรับลดเนื่องจากReactor มีปัญหา ในช่วงวันที่ 26-Feb to 12-Mar </t>
        </r>
      </text>
    </comment>
    <comment ref="O115" authorId="1" shapeId="0" xr:uid="{00000000-0006-0000-0200-0000D6000000}">
      <text>
        <r>
          <rPr>
            <b/>
            <sz val="9"/>
            <color indexed="81"/>
            <rFont val="Tahoma"/>
            <family val="2"/>
          </rPr>
          <t>Windows User:</t>
        </r>
        <r>
          <rPr>
            <sz val="9"/>
            <color indexed="81"/>
            <rFont val="Tahoma"/>
            <family val="2"/>
          </rPr>
          <t xml:space="preserve">
rev0 = 28.022 KT
rev1 = 27.61 KT PTTAC ปรับลดเนื่องจากReactor มีปัญหา ในช่วงวันที่ 26-Feb to 12-Mar 
rev2 = 26.68 KT PTTAC ปรับลดเนื่อง demand drop from covid</t>
        </r>
      </text>
    </comment>
    <comment ref="P115" authorId="1" shapeId="0" xr:uid="{00000000-0006-0000-0200-0000D7000000}">
      <text>
        <r>
          <rPr>
            <b/>
            <sz val="9"/>
            <color indexed="81"/>
            <rFont val="Tahoma"/>
            <family val="2"/>
          </rPr>
          <t>Windows User:</t>
        </r>
        <r>
          <rPr>
            <sz val="9"/>
            <color indexed="81"/>
            <rFont val="Tahoma"/>
            <family val="2"/>
          </rPr>
          <t xml:space="preserve">
rev0 = 27.118
rev1 = 20.55 PTTAC plan to S/D 1 Reactor on 1 Apr’202
</t>
        </r>
      </text>
    </comment>
    <comment ref="Q115" authorId="1" shapeId="0" xr:uid="{00000000-0006-0000-0200-0000D8000000}">
      <text>
        <r>
          <rPr>
            <b/>
            <sz val="9"/>
            <color indexed="81"/>
            <rFont val="Tahoma"/>
            <family val="2"/>
          </rPr>
          <t>Windows User:</t>
        </r>
        <r>
          <rPr>
            <sz val="9"/>
            <color indexed="81"/>
            <rFont val="Tahoma"/>
            <family val="2"/>
          </rPr>
          <t xml:space="preserve">
rev= 28.022
rev= 21.235 PTTAC plan to S/D 1 Reactor on 1 Apr’202
rev0 = 19.102
rev1 = 6.92 KT PTTAC ESD (AN Plant has been Emergency Shutdown since 5 May 2020 กลับมารับ 22 May'20)
worst = 4.596 PTTAC กลับมารับ 27 May'20</t>
        </r>
      </text>
    </comment>
    <comment ref="R115" authorId="1" shapeId="0" xr:uid="{00000000-0006-0000-0200-0000D9000000}">
      <text>
        <r>
          <rPr>
            <b/>
            <sz val="9"/>
            <color indexed="81"/>
            <rFont val="Tahoma"/>
            <family val="2"/>
          </rPr>
          <t>Windows User:</t>
        </r>
        <r>
          <rPr>
            <sz val="9"/>
            <color indexed="81"/>
            <rFont val="Tahoma"/>
            <family val="2"/>
          </rPr>
          <t xml:space="preserve">
rev0 28.032 
rev1 27.120
May
18.486 
rev0= 20 KT</t>
        </r>
      </text>
    </comment>
    <comment ref="T115" authorId="1" shapeId="0" xr:uid="{00000000-0006-0000-0200-0000DA000000}">
      <text>
        <r>
          <rPr>
            <b/>
            <sz val="9"/>
            <color indexed="81"/>
            <rFont val="Tahoma"/>
            <family val="2"/>
          </rPr>
          <t>Windows User:</t>
        </r>
        <r>
          <rPr>
            <sz val="9"/>
            <color indexed="81"/>
            <rFont val="Tahoma"/>
            <family val="2"/>
          </rPr>
          <t xml:space="preserve">
nomination Jun = 25.5
PTTAC request 26.195 KT GSP จะดูให้ ถ้า compo ดี น่าจะส่งให้ได้</t>
        </r>
      </text>
    </comment>
    <comment ref="Y115" authorId="1" shapeId="0" xr:uid="{00000000-0006-0000-0200-0000DB000000}">
      <text>
        <r>
          <rPr>
            <b/>
            <sz val="9"/>
            <color indexed="81"/>
            <rFont val="Tahoma"/>
            <family val="2"/>
          </rPr>
          <t>Windows User:</t>
        </r>
        <r>
          <rPr>
            <sz val="9"/>
            <color indexed="81"/>
            <rFont val="Tahoma"/>
            <family val="2"/>
          </rPr>
          <t xml:space="preserve">
ปรับลดจากผลกระทบ GSP5 แล้ว -8%</t>
        </r>
      </text>
    </comment>
    <comment ref="Z115" authorId="1" shapeId="0" xr:uid="{00000000-0006-0000-0200-0000DC000000}">
      <text>
        <r>
          <rPr>
            <b/>
            <sz val="9"/>
            <color indexed="81"/>
            <rFont val="Tahoma"/>
            <family val="2"/>
          </rPr>
          <t>Windows User:</t>
        </r>
        <r>
          <rPr>
            <sz val="9"/>
            <color indexed="81"/>
            <rFont val="Tahoma"/>
            <family val="2"/>
          </rPr>
          <t xml:space="preserve">
rev0 = 21.276
rev1 = 25.276 ขาย AC ด้วยราคา import parity 4 KT (CP + 80%balticM-1) +Terminal 20
</t>
        </r>
      </text>
    </comment>
    <comment ref="AB115" authorId="1" shapeId="0" xr:uid="{00000000-0006-0000-0200-0000DD000000}">
      <text>
        <r>
          <rPr>
            <b/>
            <sz val="9"/>
            <color indexed="81"/>
            <rFont val="Tahoma"/>
            <family val="2"/>
          </rPr>
          <t>Windows User:
rev0 =22.796 KT
rev1 = 19.7 KT เนื่องจาก วันที่ 20 เม.ย. ไฟฟ้าดับ</t>
        </r>
      </text>
    </comment>
    <comment ref="AC115" authorId="1" shapeId="0" xr:uid="{00000000-0006-0000-0200-0000DE000000}">
      <text>
        <r>
          <rPr>
            <b/>
            <sz val="9"/>
            <color indexed="81"/>
            <rFont val="Tahoma"/>
            <family val="2"/>
          </rPr>
          <t>Windows User:</t>
        </r>
        <r>
          <rPr>
            <sz val="9"/>
            <color indexed="81"/>
            <rFont val="Tahoma"/>
            <family val="2"/>
          </rPr>
          <t xml:space="preserve">
rev0 = 23.556 KT
rev1 = 21.5 KT เนื่องจาก วันที่ 21 เม.ย. ไฟฟ้าดับ
rev2 = 20.772 KT เนื่องจาก วันที่ 21 เม.ย. ไฟฟ้าดับ</t>
        </r>
      </text>
    </comment>
    <comment ref="AE115" authorId="0" shapeId="0" xr:uid="{00000000-0006-0000-0200-0000DF000000}">
      <text>
        <r>
          <rPr>
            <b/>
            <sz val="9"/>
            <color indexed="81"/>
            <rFont val="Tahoma"/>
            <family val="2"/>
          </rPr>
          <t>Quantumuser:</t>
        </r>
        <r>
          <rPr>
            <sz val="9"/>
            <color indexed="81"/>
            <rFont val="Tahoma"/>
            <family val="2"/>
          </rPr>
          <t xml:space="preserve">
PTTAC TA start-up
rev0 =0.88
rev1 = 0 start-up delay (รอ cf)</t>
        </r>
      </text>
    </comment>
    <comment ref="AF115" authorId="0" shapeId="0" xr:uid="{00000000-0006-0000-0200-0000E0000000}">
      <text>
        <r>
          <rPr>
            <b/>
            <sz val="9"/>
            <color indexed="81"/>
            <rFont val="Tahoma"/>
            <family val="2"/>
          </rPr>
          <t>Quantumuser:</t>
        </r>
        <r>
          <rPr>
            <sz val="9"/>
            <color indexed="81"/>
            <rFont val="Tahoma"/>
            <family val="2"/>
          </rPr>
          <t xml:space="preserve">
PTTAC TA 29 Jun - 3 Aug
PTTAC Max 25KT เท่านั้น
rev0 =21.276+4.162
rev1 = 19.128 Ac atar up delay
rev2 = 9.63 Emer SD (รอ cf)
rev3 = 10.76 AC
Rev4 = 11.097 AC request more C3</t>
        </r>
      </text>
    </comment>
    <comment ref="AI115" authorId="0" shapeId="0" xr:uid="{00000000-0006-0000-0200-0000E1000000}">
      <text>
        <r>
          <rPr>
            <b/>
            <sz val="9"/>
            <color indexed="81"/>
            <rFont val="Tahoma"/>
            <family val="2"/>
          </rPr>
          <t>Quantumuser:</t>
        </r>
        <r>
          <rPr>
            <sz val="9"/>
            <color indexed="81"/>
            <rFont val="Tahoma"/>
            <family val="2"/>
          </rPr>
          <t xml:space="preserve">
rev0 21.659
rev1 = 23.7 PTT term vol เพิ่ม เนื่องจากอยู่ระหว่างพิจารณาสัญญาฯใหม่</t>
        </r>
      </text>
    </comment>
    <comment ref="AJ115" authorId="0" shapeId="0" xr:uid="{00000000-0006-0000-0200-0000E2000000}">
      <text>
        <r>
          <rPr>
            <b/>
            <sz val="9"/>
            <color indexed="81"/>
            <rFont val="Tahoma"/>
            <family val="2"/>
          </rPr>
          <t>Quantumuser:</t>
        </r>
        <r>
          <rPr>
            <sz val="9"/>
            <color indexed="81"/>
            <rFont val="Tahoma"/>
            <family val="2"/>
          </rPr>
          <t xml:space="preserve">
Rev0 = 23.56
rev1 = 18.224 KT PTTAC emergency SD since 27 Nov'21</t>
        </r>
      </text>
    </comment>
    <comment ref="AQ115" authorId="0" shapeId="0" xr:uid="{00000000-0006-0000-0200-0000E3000000}">
      <text>
        <r>
          <rPr>
            <b/>
            <sz val="9"/>
            <color indexed="81"/>
            <rFont val="Tahoma"/>
            <family val="2"/>
          </rPr>
          <t>Quantumuser:</t>
        </r>
        <r>
          <rPr>
            <sz val="9"/>
            <color indexed="81"/>
            <rFont val="Tahoma"/>
            <family val="2"/>
          </rPr>
          <t xml:space="preserve">
LD for 1 Rx cleaning</t>
        </r>
      </text>
    </comment>
    <comment ref="AR115" authorId="0" shapeId="0" xr:uid="{00000000-0006-0000-0200-0000E4000000}">
      <text>
        <r>
          <rPr>
            <b/>
            <sz val="9"/>
            <color indexed="81"/>
            <rFont val="Tahoma"/>
            <family val="2"/>
          </rPr>
          <t>Quantumuser:</t>
        </r>
        <r>
          <rPr>
            <sz val="9"/>
            <color indexed="81"/>
            <rFont val="Tahoma"/>
            <family val="2"/>
          </rPr>
          <t xml:space="preserve">
LD for 1 Rx cleaning</t>
        </r>
      </text>
    </comment>
    <comment ref="AS115" authorId="0" shapeId="0" xr:uid="{00000000-0006-0000-0200-0000E5000000}">
      <text>
        <r>
          <rPr>
            <b/>
            <sz val="9"/>
            <color indexed="81"/>
            <rFont val="Tahoma"/>
            <family val="2"/>
          </rPr>
          <t>Quantumuser:</t>
        </r>
        <r>
          <rPr>
            <sz val="9"/>
            <color indexed="81"/>
            <rFont val="Tahoma"/>
            <family val="2"/>
          </rPr>
          <t xml:space="preserve">
LD for 1 Rx cleaning</t>
        </r>
      </text>
    </comment>
    <comment ref="C116" authorId="0" shapeId="0" xr:uid="{00000000-0006-0000-0200-0000E6000000}">
      <text>
        <r>
          <rPr>
            <b/>
            <sz val="9"/>
            <color indexed="81"/>
            <rFont val="Tahoma"/>
            <family val="2"/>
          </rPr>
          <t>Quantumuser:</t>
        </r>
        <r>
          <rPr>
            <sz val="9"/>
            <color indexed="81"/>
            <rFont val="Tahoma"/>
            <family val="2"/>
          </rPr>
          <t xml:space="preserve">
normal ชอบ 7 min แล้วมักจะไปขอจากโควตา GC</t>
        </r>
      </text>
    </comment>
    <comment ref="AA116" authorId="1" shapeId="0" xr:uid="{00000000-0006-0000-0200-0000E7000000}">
      <text>
        <r>
          <rPr>
            <b/>
            <sz val="9"/>
            <color indexed="81"/>
            <rFont val="Tahoma"/>
            <family val="2"/>
          </rPr>
          <t xml:space="preserve">Windows User:
rev0 = 4 KT
rev1 = 6.5 KT </t>
        </r>
        <r>
          <rPr>
            <sz val="9"/>
            <color indexed="81"/>
            <rFont val="Tahoma"/>
            <family val="2"/>
          </rPr>
          <t xml:space="preserve">PTTAC แจ้งซื้อ Spot C3 เพิ่มขึ้น +2.5 KT
</t>
        </r>
        <r>
          <rPr>
            <b/>
            <sz val="9"/>
            <color indexed="81"/>
            <rFont val="Tahoma"/>
            <family val="2"/>
          </rPr>
          <t xml:space="preserve">rev2 = 7.5 KT  </t>
        </r>
        <r>
          <rPr>
            <sz val="9"/>
            <color indexed="81"/>
            <rFont val="Tahoma"/>
            <family val="2"/>
          </rPr>
          <t>PTTAC แจ้งซื้อ Spot C3 เพิ่มขึ้น +1 KT</t>
        </r>
      </text>
    </comment>
    <comment ref="AB116" authorId="1" shapeId="0" xr:uid="{00000000-0006-0000-0200-0000E8000000}">
      <text>
        <r>
          <rPr>
            <b/>
            <sz val="9"/>
            <color indexed="81"/>
            <rFont val="Tahoma"/>
            <family val="2"/>
          </rPr>
          <t>Windows User:</t>
        </r>
        <r>
          <rPr>
            <sz val="9"/>
            <color indexed="81"/>
            <rFont val="Tahoma"/>
            <family val="2"/>
          </rPr>
          <t xml:space="preserve">
rev0 = 7.2
rev1 = 0  KT เนื่องจาก วันที่ 21 เม.ย. ไฟฟ้าดับ</t>
        </r>
      </text>
    </comment>
    <comment ref="AC116" authorId="1" shapeId="0" xr:uid="{00000000-0006-0000-0200-0000E9000000}">
      <text>
        <r>
          <rPr>
            <b/>
            <sz val="9"/>
            <color indexed="81"/>
            <rFont val="Tahoma"/>
            <family val="2"/>
          </rPr>
          <t xml:space="preserve">Windows User:
</t>
        </r>
        <r>
          <rPr>
            <sz val="9"/>
            <color indexed="81"/>
            <rFont val="Tahoma"/>
            <family val="2"/>
          </rPr>
          <t xml:space="preserve">rev0 = 7.764
rev1 = 0  KT เนื่องจาก วันที่ 21 เม.ย. ไฟฟ้าดับ
rev2 = 2 KT  เนื่องจาก  PTTAC แจ้งว่า มีแนวโน้มขึ้นได้เร็ว 2 วัน (เดิมวันที่ 7 &gt;&gt; 5 พ.ค.แทน ) </t>
        </r>
      </text>
    </comment>
    <comment ref="AH116" authorId="0" shapeId="0" xr:uid="{00000000-0006-0000-0200-0000EA000000}">
      <text>
        <r>
          <rPr>
            <b/>
            <sz val="9"/>
            <color indexed="81"/>
            <rFont val="Tahoma"/>
            <family val="2"/>
          </rPr>
          <t>Quantumuser:</t>
        </r>
        <r>
          <rPr>
            <sz val="9"/>
            <color indexed="81"/>
            <rFont val="Tahoma"/>
            <family val="2"/>
          </rPr>
          <t xml:space="preserve">
Rev0 = 4
Rev1 = 9.208 GC ให้
</t>
        </r>
      </text>
    </comment>
    <comment ref="AI116" authorId="0" shapeId="0" xr:uid="{00000000-0006-0000-0200-0000EB000000}">
      <text>
        <r>
          <rPr>
            <b/>
            <sz val="9"/>
            <color indexed="81"/>
            <rFont val="Tahoma"/>
            <family val="2"/>
          </rPr>
          <t>Quantumuser:</t>
        </r>
        <r>
          <rPr>
            <sz val="9"/>
            <color indexed="81"/>
            <rFont val="Tahoma"/>
            <family val="2"/>
          </rPr>
          <t xml:space="preserve">
PTT ให้ 6.34
Ac เอาแค่ 4.346 และขอเผื่ไว้ 0.2
 Nov'21 -3.24 KT เนื่องจาก PTTAC emergency SD since 27 Nov'21 </t>
        </r>
      </text>
    </comment>
    <comment ref="AJ116" authorId="1" shapeId="0" xr:uid="{00000000-0006-0000-0200-0000EC000000}">
      <text>
        <r>
          <rPr>
            <b/>
            <sz val="9"/>
            <color indexed="81"/>
            <rFont val="Tahoma"/>
            <family val="2"/>
          </rPr>
          <t>Windows User:</t>
        </r>
        <r>
          <rPr>
            <sz val="9"/>
            <color indexed="81"/>
            <rFont val="Tahoma"/>
            <family val="2"/>
          </rPr>
          <t xml:space="preserve">
rev0 = 6.4
rev1 = 0 KT  PTTAC emergency SD since 27 Nov'21</t>
        </r>
      </text>
    </comment>
    <comment ref="U117" authorId="1" shapeId="0" xr:uid="{00000000-0006-0000-0200-0000ED000000}">
      <text>
        <r>
          <rPr>
            <b/>
            <sz val="9"/>
            <color indexed="81"/>
            <rFont val="Tahoma"/>
            <family val="2"/>
          </rPr>
          <t>Windows User:</t>
        </r>
        <r>
          <rPr>
            <sz val="9"/>
            <color indexed="81"/>
            <rFont val="Tahoma"/>
            <family val="2"/>
          </rPr>
          <t xml:space="preserve">
rev0 = 0.27
rev1 = 0.7 KT Ordemand เพิ่ม</t>
        </r>
      </text>
    </comment>
    <comment ref="AD117" authorId="0" shapeId="0" xr:uid="{00000000-0006-0000-0200-0000EE000000}">
      <text>
        <r>
          <rPr>
            <b/>
            <sz val="9"/>
            <color indexed="81"/>
            <rFont val="Tahoma"/>
            <family val="2"/>
          </rPr>
          <t>Quantumuser:</t>
        </r>
        <r>
          <rPr>
            <sz val="9"/>
            <color indexed="81"/>
            <rFont val="Tahoma"/>
            <family val="2"/>
          </rPr>
          <t xml:space="preserve">
rev0 =0.5
rev1 =0.85</t>
        </r>
      </text>
    </comment>
    <comment ref="AF117" authorId="0" shapeId="0" xr:uid="{00000000-0006-0000-0200-0000EF000000}">
      <text>
        <r>
          <rPr>
            <b/>
            <sz val="9"/>
            <color indexed="81"/>
            <rFont val="Tahoma"/>
            <family val="2"/>
          </rPr>
          <t>Quantumuser:</t>
        </r>
        <r>
          <rPr>
            <sz val="9"/>
            <color indexed="81"/>
            <rFont val="Tahoma"/>
            <family val="2"/>
          </rPr>
          <t xml:space="preserve">
Rev1 = 0.6
Rev2 = 0.68 or demand เพิ่ม</t>
        </r>
      </text>
    </comment>
    <comment ref="AG117" authorId="0" shapeId="0" xr:uid="{00000000-0006-0000-0200-0000F0000000}">
      <text>
        <r>
          <rPr>
            <b/>
            <sz val="9"/>
            <color indexed="81"/>
            <rFont val="Tahoma"/>
            <family val="2"/>
          </rPr>
          <t>Quantumuser:</t>
        </r>
        <r>
          <rPr>
            <sz val="9"/>
            <color indexed="81"/>
            <rFont val="Tahoma"/>
            <family val="2"/>
          </rPr>
          <t xml:space="preserve">
Rev0 0.55
Rev1 = 0.73 OR demand Increase</t>
        </r>
      </text>
    </comment>
    <comment ref="AD118" authorId="0" shapeId="0" xr:uid="{00000000-0006-0000-0200-0000F1000000}">
      <text>
        <r>
          <rPr>
            <b/>
            <sz val="9"/>
            <color indexed="81"/>
            <rFont val="Tahoma"/>
            <family val="2"/>
          </rPr>
          <t>Quantumuser:</t>
        </r>
        <r>
          <rPr>
            <sz val="9"/>
            <color indexed="81"/>
            <rFont val="Tahoma"/>
            <family val="2"/>
          </rPr>
          <t xml:space="preserve">
rev0 = 0.6
rev1 = 0.62</t>
        </r>
      </text>
    </comment>
    <comment ref="AE118" authorId="0" shapeId="0" xr:uid="{00000000-0006-0000-0200-0000F2000000}">
      <text>
        <r>
          <rPr>
            <b/>
            <sz val="9"/>
            <color indexed="81"/>
            <rFont val="Tahoma"/>
            <family val="2"/>
          </rPr>
          <t>Quantumuser:</t>
        </r>
        <r>
          <rPr>
            <sz val="9"/>
            <color indexed="81"/>
            <rFont val="Tahoma"/>
            <family val="2"/>
          </rPr>
          <t xml:space="preserve">
rev0 =0.6
rev1 =0.76 OR demand increase</t>
        </r>
      </text>
    </comment>
    <comment ref="AD119" authorId="0" shapeId="0" xr:uid="{00000000-0006-0000-0200-0000F3000000}">
      <text>
        <r>
          <rPr>
            <b/>
            <sz val="9"/>
            <color indexed="81"/>
            <rFont val="Tahoma"/>
            <family val="2"/>
          </rPr>
          <t>Quantumuser:</t>
        </r>
        <r>
          <rPr>
            <sz val="9"/>
            <color indexed="81"/>
            <rFont val="Tahoma"/>
            <family val="2"/>
          </rPr>
          <t xml:space="preserve">
rev0 = 49.86KT
rev1 = 50.62KT dom demand increase
rev2 = 51.24 OR ปรับโยก MT-BRP</t>
        </r>
      </text>
    </comment>
    <comment ref="AE119" authorId="0" shapeId="0" xr:uid="{00000000-0006-0000-0200-0000F4000000}">
      <text>
        <r>
          <rPr>
            <b/>
            <sz val="9"/>
            <color indexed="81"/>
            <rFont val="Tahoma"/>
            <family val="2"/>
          </rPr>
          <t>Quantumuser:</t>
        </r>
        <r>
          <rPr>
            <sz val="9"/>
            <color indexed="81"/>
            <rFont val="Tahoma"/>
            <family val="2"/>
          </rPr>
          <t xml:space="preserve">
rev0 = 53.06
rev1 = 54.46 or demand increase
rev2 = 53.38 OR demand drop covid lock down
rev3=50.88 or demand drop</t>
        </r>
      </text>
    </comment>
    <comment ref="AF119" authorId="0" shapeId="0" xr:uid="{00000000-0006-0000-0200-0000F5000000}">
      <text>
        <r>
          <rPr>
            <b/>
            <sz val="9"/>
            <color indexed="81"/>
            <rFont val="Tahoma"/>
            <family val="2"/>
          </rPr>
          <t>Quantumuser:</t>
        </r>
        <r>
          <rPr>
            <sz val="9"/>
            <color indexed="81"/>
            <rFont val="Tahoma"/>
            <family val="2"/>
          </rPr>
          <t xml:space="preserve">
 58.87
rev0 =  51.3 OR demand drop 
rev1 =51.73 สลับจุดจ่าย
Rev2 = 50.17 Or demand drop</t>
        </r>
      </text>
    </comment>
    <comment ref="AG119" authorId="0" shapeId="0" xr:uid="{00000000-0006-0000-0200-0000F6000000}">
      <text>
        <r>
          <rPr>
            <b/>
            <sz val="9"/>
            <color indexed="81"/>
            <rFont val="Tahoma"/>
            <family val="2"/>
          </rPr>
          <t>Quantumuser:</t>
        </r>
        <r>
          <rPr>
            <sz val="9"/>
            <color indexed="81"/>
            <rFont val="Tahoma"/>
            <family val="2"/>
          </rPr>
          <t xml:space="preserve">
rev0 = 53.74
Rev1= 50.82 OR demand drop</t>
        </r>
      </text>
    </comment>
    <comment ref="AH119" authorId="0" shapeId="0" xr:uid="{00000000-0006-0000-0200-0000F7000000}">
      <text>
        <r>
          <rPr>
            <b/>
            <sz val="9"/>
            <color indexed="81"/>
            <rFont val="Tahoma"/>
            <family val="2"/>
          </rPr>
          <t>Quantumuser:</t>
        </r>
        <r>
          <rPr>
            <sz val="9"/>
            <color indexed="81"/>
            <rFont val="Tahoma"/>
            <family val="2"/>
          </rPr>
          <t xml:space="preserve">
Rev0 = 50.45
Rev1 = 52.78 OR ขอเพิ่มrev2 = 52.66 OR ช่วยลด จาก GSP invent 9
</t>
        </r>
      </text>
    </comment>
    <comment ref="AD120" authorId="0" shapeId="0" xr:uid="{00000000-0006-0000-0200-0000F8000000}">
      <text>
        <r>
          <rPr>
            <b/>
            <sz val="9"/>
            <color indexed="81"/>
            <rFont val="Tahoma"/>
            <family val="2"/>
          </rPr>
          <t>Quantumuser:</t>
        </r>
        <r>
          <rPr>
            <sz val="9"/>
            <color indexed="81"/>
            <rFont val="Tahoma"/>
            <family val="2"/>
          </rPr>
          <t xml:space="preserve">
rev0=53.24KT
rev1=54.70KT dom demand เพิ่ม
rev2 = 54.08 OR ปรับโยก MT-BRP</t>
        </r>
      </text>
    </comment>
    <comment ref="AE120" authorId="0" shapeId="0" xr:uid="{00000000-0006-0000-0200-0000F9000000}">
      <text>
        <r>
          <rPr>
            <b/>
            <sz val="9"/>
            <color indexed="81"/>
            <rFont val="Tahoma"/>
            <family val="2"/>
          </rPr>
          <t>Quantumuser:</t>
        </r>
        <r>
          <rPr>
            <sz val="9"/>
            <color indexed="81"/>
            <rFont val="Tahoma"/>
            <family val="2"/>
          </rPr>
          <t xml:space="preserve">
Rev0 =52.94
rev1 = 51.99  OR demand drop covid lock down
rev2 = 5.81 OR demand drop
rev3 = 52.96 OR demand increase
rev4 = 53.96 OR demand increase</t>
        </r>
      </text>
    </comment>
    <comment ref="AF120" authorId="0" shapeId="0" xr:uid="{00000000-0006-0000-0200-0000FA000000}">
      <text>
        <r>
          <rPr>
            <b/>
            <sz val="9"/>
            <color indexed="81"/>
            <rFont val="Tahoma"/>
            <family val="2"/>
          </rPr>
          <t>Quantumuser:</t>
        </r>
        <r>
          <rPr>
            <sz val="9"/>
            <color indexed="81"/>
            <rFont val="Tahoma"/>
            <family val="2"/>
          </rPr>
          <t xml:space="preserve">
 53.85
Rev0= 53.96 OR Demand drop
rev1 = 53.53 OR lลับจุดจ่าย
rev2 = 52.06 OR demand drop</t>
        </r>
      </text>
    </comment>
    <comment ref="AG120" authorId="0" shapeId="0" xr:uid="{00000000-0006-0000-0200-0000FB000000}">
      <text>
        <r>
          <rPr>
            <b/>
            <sz val="9"/>
            <color indexed="81"/>
            <rFont val="Tahoma"/>
            <family val="2"/>
          </rPr>
          <t>Quantumuser:</t>
        </r>
        <r>
          <rPr>
            <sz val="9"/>
            <color indexed="81"/>
            <rFont val="Tahoma"/>
            <family val="2"/>
          </rPr>
          <t xml:space="preserve">
Rev0 =52.31
Rev1 = 52.13 ปรับลดในปริมาณที่เท่ากัน ที่ขอรับเพิ่, C3 truck
Rev2 = 52.08 or โยกจุดจ่ายไป PTTTANK ทางรถ</t>
        </r>
      </text>
    </comment>
    <comment ref="AH120" authorId="0" shapeId="0" xr:uid="{00000000-0006-0000-0200-0000FC000000}">
      <text>
        <r>
          <rPr>
            <b/>
            <sz val="9"/>
            <color indexed="81"/>
            <rFont val="Tahoma"/>
            <family val="2"/>
          </rPr>
          <t>Quantumuser:</t>
        </r>
        <r>
          <rPr>
            <sz val="9"/>
            <color indexed="81"/>
            <rFont val="Tahoma"/>
            <family val="2"/>
          </rPr>
          <t xml:space="preserve">
Rev0 21.24
rev1 50.44 Orปรับลด เพื่อไปเพิ่มส่งออก
Rev2 = 50.72 PTTEP ลดส่ง
Rev 3 = 54.83 OR ขอเพิ่ม
Rev 4 = 55.1 OR ขอโยกจุดจ่าย
</t>
        </r>
      </text>
    </comment>
    <comment ref="AD121" authorId="0" shapeId="0" xr:uid="{00000000-0006-0000-0200-0000FD000000}">
      <text>
        <r>
          <rPr>
            <b/>
            <sz val="9"/>
            <color indexed="81"/>
            <rFont val="Tahoma"/>
            <family val="2"/>
          </rPr>
          <t>Quantumuser:</t>
        </r>
        <r>
          <rPr>
            <sz val="9"/>
            <color indexed="81"/>
            <rFont val="Tahoma"/>
            <family val="2"/>
          </rPr>
          <t xml:space="preserve">
rev0 = 16KT
rev1 = 19.45KT, dom demand เพิ่ม 1.95, khm production drop 1.5 ขอเพิ่มแทน
</t>
        </r>
      </text>
    </comment>
    <comment ref="AF121" authorId="0" shapeId="0" xr:uid="{00000000-0006-0000-0200-0000FE000000}">
      <text>
        <r>
          <rPr>
            <b/>
            <sz val="9"/>
            <color indexed="81"/>
            <rFont val="Tahoma"/>
            <family val="2"/>
          </rPr>
          <t>Quantumuser:</t>
        </r>
        <r>
          <rPr>
            <sz val="9"/>
            <color indexed="81"/>
            <rFont val="Tahoma"/>
            <family val="2"/>
          </rPr>
          <t xml:space="preserve">
 15
Rev0 = 18 Or demand increase
rev1 = 19.6 ทดแทน KHM</t>
        </r>
      </text>
    </comment>
    <comment ref="AG121" authorId="0" shapeId="0" xr:uid="{00000000-0006-0000-0200-0000FF000000}">
      <text>
        <r>
          <rPr>
            <b/>
            <sz val="9"/>
            <color indexed="81"/>
            <rFont val="Tahoma"/>
            <family val="2"/>
          </rPr>
          <t>Quantumuser:</t>
        </r>
        <r>
          <rPr>
            <sz val="9"/>
            <color indexed="81"/>
            <rFont val="Tahoma"/>
            <family val="2"/>
          </rPr>
          <t xml:space="preserve">
Rev0 = 20.6
Rev1 = 19.6 ลกรับจากที่ไปรับ KHM เพิ่ม
Rev2 = 19.0 OR โยกไปทางรถ</t>
        </r>
      </text>
    </comment>
    <comment ref="AH121" authorId="0" shapeId="0" xr:uid="{00000000-0006-0000-0200-000000010000}">
      <text>
        <r>
          <rPr>
            <b/>
            <sz val="9"/>
            <color indexed="81"/>
            <rFont val="Tahoma"/>
            <family val="2"/>
          </rPr>
          <t>Quantumuser:</t>
        </r>
        <r>
          <rPr>
            <sz val="9"/>
            <color indexed="81"/>
            <rFont val="Tahoma"/>
            <family val="2"/>
          </rPr>
          <t xml:space="preserve">
Rev0 = 18
Rev1 = 16.05 ลดจากที่ KHM ผลิตได้เพิ่ม
Rev2 15.05 Gc ส่งเพิ่ม ให้ผ่าน PTTANK
Rev3 = 14.78 GC ขอโยกจุดจ่ายไป BRP</t>
        </r>
      </text>
    </comment>
    <comment ref="AI121" authorId="0" shapeId="0" xr:uid="{00000000-0006-0000-0200-000001010000}">
      <text>
        <r>
          <rPr>
            <b/>
            <sz val="9"/>
            <color indexed="81"/>
            <rFont val="Tahoma"/>
            <family val="2"/>
          </rPr>
          <t>Quantumuser:</t>
        </r>
        <r>
          <rPr>
            <sz val="9"/>
            <color indexed="81"/>
            <rFont val="Tahoma"/>
            <family val="2"/>
          </rPr>
          <t xml:space="preserve">
Rev0 = 18.5
rev1 = 16</t>
        </r>
      </text>
    </comment>
    <comment ref="AD122" authorId="0" shapeId="0" xr:uid="{00000000-0006-0000-0200-000002010000}">
      <text>
        <r>
          <rPr>
            <b/>
            <sz val="9"/>
            <color indexed="81"/>
            <rFont val="Tahoma"/>
            <family val="2"/>
          </rPr>
          <t>Quantumuser:</t>
        </r>
        <r>
          <rPr>
            <sz val="9"/>
            <color indexed="81"/>
            <rFont val="Tahoma"/>
            <family val="2"/>
          </rPr>
          <t xml:space="preserve">
rev0 = 1.4
rev1 = 0.55 demand increase</t>
        </r>
      </text>
    </comment>
    <comment ref="AE122" authorId="0" shapeId="0" xr:uid="{00000000-0006-0000-0200-000003010000}">
      <text>
        <r>
          <rPr>
            <b/>
            <sz val="9"/>
            <color indexed="81"/>
            <rFont val="Tahoma"/>
            <family val="2"/>
          </rPr>
          <t>Quantumuser:</t>
        </r>
        <r>
          <rPr>
            <sz val="9"/>
            <color indexed="81"/>
            <rFont val="Tahoma"/>
            <family val="2"/>
          </rPr>
          <t xml:space="preserve">
rev0 = 0.5
rev1 =0.45 OR demand drop</t>
        </r>
      </text>
    </comment>
    <comment ref="AG122" authorId="0" shapeId="0" xr:uid="{00000000-0006-0000-0200-000004010000}">
      <text>
        <r>
          <rPr>
            <b/>
            <sz val="9"/>
            <color indexed="81"/>
            <rFont val="Tahoma"/>
            <family val="2"/>
          </rPr>
          <t>Quantumuser:</t>
        </r>
        <r>
          <rPr>
            <sz val="9"/>
            <color indexed="81"/>
            <rFont val="Tahoma"/>
            <family val="2"/>
          </rPr>
          <t xml:space="preserve">
Rev0 =0.5
Rev1 = 0.6 OR demand เพิ่ม
rev2 = 0.65 or โยกจุดจ่ายมาจาก BRP</t>
        </r>
      </text>
    </comment>
    <comment ref="I123" authorId="1" shapeId="0" xr:uid="{00000000-0006-0000-0200-000005010000}">
      <text>
        <r>
          <rPr>
            <b/>
            <sz val="9"/>
            <color indexed="81"/>
            <rFont val="Tahoma"/>
            <family val="2"/>
          </rPr>
          <t>Windows User:</t>
        </r>
        <r>
          <rPr>
            <sz val="9"/>
            <color indexed="81"/>
            <rFont val="Tahoma"/>
            <family val="2"/>
          </rPr>
          <t xml:space="preserve">
rev0 = 32
rev1 = 33.28 SGP ขอรับเพิ่ม 4%</t>
        </r>
      </text>
    </comment>
    <comment ref="J123" authorId="1" shapeId="0" xr:uid="{00000000-0006-0000-0200-000006010000}">
      <text>
        <r>
          <rPr>
            <b/>
            <sz val="9"/>
            <color indexed="81"/>
            <rFont val="Tahoma"/>
            <family val="2"/>
          </rPr>
          <t>Windows User:</t>
        </r>
        <r>
          <rPr>
            <sz val="9"/>
            <color indexed="81"/>
            <rFont val="Tahoma"/>
            <family val="2"/>
          </rPr>
          <t xml:space="preserve">
rev0 = 32
rev1 = 33.6 SGP ขอรับเพิ่ม 5%</t>
        </r>
      </text>
    </comment>
    <comment ref="K123" authorId="1" shapeId="0" xr:uid="{00000000-0006-0000-0200-000007010000}">
      <text>
        <r>
          <rPr>
            <b/>
            <sz val="9"/>
            <color indexed="81"/>
            <rFont val="Tahoma"/>
            <family val="2"/>
          </rPr>
          <t>Windows User:</t>
        </r>
        <r>
          <rPr>
            <sz val="9"/>
            <color indexed="81"/>
            <rFont val="Tahoma"/>
            <family val="2"/>
          </rPr>
          <t xml:space="preserve">
rev0 = 32
rev1 = 33.6 SGP ขอรับเพิ่ม 5%</t>
        </r>
      </text>
    </comment>
    <comment ref="L123" authorId="1" shapeId="0" xr:uid="{00000000-0006-0000-0200-000008010000}">
      <text>
        <r>
          <rPr>
            <b/>
            <sz val="9"/>
            <color indexed="81"/>
            <rFont val="Tahoma"/>
            <family val="2"/>
          </rPr>
          <t>Windows User:</t>
        </r>
        <r>
          <rPr>
            <sz val="9"/>
            <color indexed="81"/>
            <rFont val="Tahoma"/>
            <family val="2"/>
          </rPr>
          <t xml:space="preserve">
rev0 = 32
rev1 = 33.6 SGP ขอรับเพิ่ม 5%</t>
        </r>
      </text>
    </comment>
    <comment ref="AD123" authorId="0" shapeId="0" xr:uid="{00000000-0006-0000-0200-000009010000}">
      <text>
        <r>
          <rPr>
            <b/>
            <sz val="9"/>
            <color indexed="81"/>
            <rFont val="Tahoma"/>
            <family val="2"/>
          </rPr>
          <t>Quantumuser:</t>
        </r>
        <r>
          <rPr>
            <sz val="9"/>
            <color indexed="81"/>
            <rFont val="Tahoma"/>
            <family val="2"/>
          </rPr>
          <t xml:space="preserve">
rev0 = 13
rev1 = 13.5 สลับปริมาณ UGP</t>
        </r>
      </text>
    </comment>
    <comment ref="AH123" authorId="0" shapeId="0" xr:uid="{00000000-0006-0000-0200-00000A010000}">
      <text>
        <r>
          <rPr>
            <b/>
            <sz val="9"/>
            <color indexed="81"/>
            <rFont val="Tahoma"/>
            <family val="2"/>
          </rPr>
          <t>Quantumuser:</t>
        </r>
        <r>
          <rPr>
            <sz val="9"/>
            <color indexed="81"/>
            <rFont val="Tahoma"/>
            <family val="2"/>
          </rPr>
          <t xml:space="preserve">
Rev0 = 13
</t>
        </r>
      </text>
    </comment>
    <comment ref="I124" authorId="1" shapeId="0" xr:uid="{00000000-0006-0000-0200-00000B010000}">
      <text>
        <r>
          <rPr>
            <b/>
            <sz val="9"/>
            <color indexed="81"/>
            <rFont val="Tahoma"/>
            <family val="2"/>
          </rPr>
          <t>Windows User:</t>
        </r>
        <r>
          <rPr>
            <sz val="9"/>
            <color indexed="81"/>
            <rFont val="Tahoma"/>
            <family val="2"/>
          </rPr>
          <t xml:space="preserve">
rev0 = 12 KT
rev1 = 12.48 KT SGP ขอรับเพิ่ม 4%</t>
        </r>
      </text>
    </comment>
    <comment ref="J124" authorId="1" shapeId="0" xr:uid="{00000000-0006-0000-0200-00000C010000}">
      <text>
        <r>
          <rPr>
            <b/>
            <sz val="9"/>
            <color indexed="81"/>
            <rFont val="Tahoma"/>
            <family val="2"/>
          </rPr>
          <t>Windows User:</t>
        </r>
        <r>
          <rPr>
            <sz val="9"/>
            <color indexed="81"/>
            <rFont val="Tahoma"/>
            <family val="2"/>
          </rPr>
          <t xml:space="preserve">
rev0 = 12 KT
rev1 = 12.6 KT SGP ขอรับเพิ่ม 5%</t>
        </r>
      </text>
    </comment>
    <comment ref="K124" authorId="1" shapeId="0" xr:uid="{00000000-0006-0000-0200-00000D010000}">
      <text>
        <r>
          <rPr>
            <b/>
            <sz val="9"/>
            <color indexed="81"/>
            <rFont val="Tahoma"/>
            <family val="2"/>
          </rPr>
          <t>Windows User:</t>
        </r>
        <r>
          <rPr>
            <sz val="9"/>
            <color indexed="81"/>
            <rFont val="Tahoma"/>
            <family val="2"/>
          </rPr>
          <t xml:space="preserve">
rev0 = 12 KT
rev1 = 12.6 KT SGP ขอรับเพิ่ม 5%</t>
        </r>
      </text>
    </comment>
    <comment ref="L124" authorId="1" shapeId="0" xr:uid="{00000000-0006-0000-0200-00000E010000}">
      <text>
        <r>
          <rPr>
            <b/>
            <sz val="9"/>
            <color indexed="81"/>
            <rFont val="Tahoma"/>
            <family val="2"/>
          </rPr>
          <t>Windows User:</t>
        </r>
        <r>
          <rPr>
            <sz val="9"/>
            <color indexed="81"/>
            <rFont val="Tahoma"/>
            <family val="2"/>
          </rPr>
          <t xml:space="preserve">
rev0 = 12 KT
rev1 = 12.6 KT SGP ขอรับเพิ่ม 5%</t>
        </r>
      </text>
    </comment>
    <comment ref="AD124" authorId="0" shapeId="0" xr:uid="{00000000-0006-0000-0200-00000F010000}">
      <text>
        <r>
          <rPr>
            <b/>
            <sz val="9"/>
            <color indexed="81"/>
            <rFont val="Tahoma"/>
            <family val="2"/>
          </rPr>
          <t>Quantumuser:</t>
        </r>
        <r>
          <rPr>
            <sz val="9"/>
            <color indexed="81"/>
            <rFont val="Tahoma"/>
            <family val="2"/>
          </rPr>
          <t xml:space="preserve">
rev0 = 23.0
rev1 = 23.5 สลับปริมาณ  SGP</t>
        </r>
      </text>
    </comment>
    <comment ref="AD133" authorId="0" shapeId="0" xr:uid="{00000000-0006-0000-0200-000010010000}">
      <text>
        <r>
          <rPr>
            <b/>
            <sz val="9"/>
            <color indexed="81"/>
            <rFont val="Tahoma"/>
            <family val="2"/>
          </rPr>
          <t>Quantumuser:</t>
        </r>
        <r>
          <rPr>
            <sz val="9"/>
            <color indexed="81"/>
            <rFont val="Tahoma"/>
            <family val="2"/>
          </rPr>
          <t xml:space="preserve">
Rev0 = 9.12 Demand increase +1.5
rev1 = 10.62 demand increase
rev2 = 11.43 sprc tank top ส่งออกเพิ่ม dom ของน้อยลง
rev3 = +0.11 ปรับเพิ่มจาก sprc และ +0.5 ตาม demand increase</t>
        </r>
      </text>
    </comment>
    <comment ref="AE133" authorId="0" shapeId="0" xr:uid="{00000000-0006-0000-0200-000011010000}">
      <text>
        <r>
          <rPr>
            <b/>
            <sz val="9"/>
            <color indexed="81"/>
            <rFont val="Tahoma"/>
            <family val="2"/>
          </rPr>
          <t>Quantumuser:</t>
        </r>
        <r>
          <rPr>
            <sz val="9"/>
            <color indexed="81"/>
            <rFont val="Tahoma"/>
            <family val="2"/>
          </rPr>
          <t xml:space="preserve">
Rev0 =10.88
rev1 = 11.60 ทดแทน sprc production drop</t>
        </r>
      </text>
    </comment>
    <comment ref="AF133" authorId="0" shapeId="0" xr:uid="{00000000-0006-0000-0200-000012010000}">
      <text>
        <r>
          <rPr>
            <b/>
            <sz val="9"/>
            <color indexed="81"/>
            <rFont val="Tahoma"/>
            <family val="2"/>
          </rPr>
          <t>Quantumuser:</t>
        </r>
        <r>
          <rPr>
            <sz val="9"/>
            <color indexed="81"/>
            <rFont val="Tahoma"/>
            <family val="2"/>
          </rPr>
          <t xml:space="preserve">
Rev0 = 10.28
Rev1 = 7.28 wp demand dro[</t>
        </r>
      </text>
    </comment>
    <comment ref="AG133" authorId="0" shapeId="0" xr:uid="{00000000-0006-0000-0200-000013010000}">
      <text>
        <r>
          <rPr>
            <b/>
            <sz val="9"/>
            <color indexed="81"/>
            <rFont val="Tahoma"/>
            <family val="2"/>
          </rPr>
          <t>Quantumuser:</t>
        </r>
        <r>
          <rPr>
            <sz val="9"/>
            <color indexed="81"/>
            <rFont val="Tahoma"/>
            <family val="2"/>
          </rPr>
          <t xml:space="preserve">
Rev0 = 10
Rev1 = 9 WP demand drop</t>
        </r>
      </text>
    </comment>
    <comment ref="AH133" authorId="0" shapeId="0" xr:uid="{00000000-0006-0000-0200-000014010000}">
      <text>
        <r>
          <rPr>
            <b/>
            <sz val="9"/>
            <color indexed="81"/>
            <rFont val="Tahoma"/>
            <family val="2"/>
          </rPr>
          <t>Quantumuser:</t>
        </r>
        <r>
          <rPr>
            <sz val="9"/>
            <color indexed="81"/>
            <rFont val="Tahoma"/>
            <family val="2"/>
          </rPr>
          <t xml:space="preserve">
Rev0 = 7.4
Rev1 = 8.2 demand เพิ่ม
rev2 = 9.0 SPRC under supply 0.9 แต่ตาม tolorance ให้เพิ่ม 0.8 ได้</t>
        </r>
      </text>
    </comment>
    <comment ref="J136" authorId="0" shapeId="0" xr:uid="{00000000-0006-0000-0200-000015010000}">
      <text>
        <r>
          <rPr>
            <b/>
            <sz val="9"/>
            <color indexed="81"/>
            <rFont val="Tahoma"/>
            <family val="2"/>
          </rPr>
          <t>Quantumuser:</t>
        </r>
        <r>
          <rPr>
            <sz val="9"/>
            <color indexed="81"/>
            <rFont val="Tahoma"/>
            <family val="2"/>
          </rPr>
          <t xml:space="preserve">
rev0 = 2
rev 1 = 1.2 KT</t>
        </r>
      </text>
    </comment>
    <comment ref="K136" authorId="0" shapeId="0" xr:uid="{00000000-0006-0000-0200-000016010000}">
      <text>
        <r>
          <rPr>
            <b/>
            <sz val="9"/>
            <color indexed="81"/>
            <rFont val="Tahoma"/>
            <family val="2"/>
          </rPr>
          <t>Quantumuser:</t>
        </r>
        <r>
          <rPr>
            <sz val="9"/>
            <color indexed="81"/>
            <rFont val="Tahoma"/>
            <family val="2"/>
          </rPr>
          <t xml:space="preserve">
rev0 3 KT
rev1 = 3.4 KT โยกมาจากเดือน ธค. 62 = 0.4 KT</t>
        </r>
      </text>
    </comment>
    <comment ref="L136" authorId="0" shapeId="0" xr:uid="{00000000-0006-0000-0200-000017010000}">
      <text>
        <r>
          <rPr>
            <b/>
            <sz val="9"/>
            <color indexed="81"/>
            <rFont val="Tahoma"/>
            <family val="2"/>
          </rPr>
          <t>Quantumuser:</t>
        </r>
        <r>
          <rPr>
            <sz val="9"/>
            <color indexed="81"/>
            <rFont val="Tahoma"/>
            <family val="2"/>
          </rPr>
          <t xml:space="preserve">
rev0 3 KT
rev1 = 2.6 KT โยกไปส่งในเดือน พย. 62 แล้ว = 0.4 KT
rev2 = 3.1 KT ตช. ขายเพิ่ม</t>
        </r>
      </text>
    </comment>
    <comment ref="AE136" authorId="0" shapeId="0" xr:uid="{00000000-0006-0000-0200-000018010000}">
      <text>
        <r>
          <rPr>
            <b/>
            <sz val="9"/>
            <color indexed="81"/>
            <rFont val="Tahoma"/>
            <family val="2"/>
          </rPr>
          <t>Vol IRPC ยืม ต้องคืนด้วย:</t>
        </r>
        <r>
          <rPr>
            <sz val="9"/>
            <color indexed="81"/>
            <rFont val="Tahoma"/>
            <family val="2"/>
          </rPr>
          <t xml:space="preserve">
Rev0 1.95 
Rev1 = 1.2 IRPC Demand drop
rev2= 0.6 irpc ปรับจุดรับ</t>
        </r>
      </text>
    </comment>
    <comment ref="AF136" authorId="0" shapeId="0" xr:uid="{00000000-0006-0000-0200-000019010000}">
      <text>
        <r>
          <rPr>
            <b/>
            <sz val="9"/>
            <color indexed="81"/>
            <rFont val="Tahoma"/>
            <family val="2"/>
          </rPr>
          <t>Vol IRPC ยืม ต้องคืนด้วย:</t>
        </r>
        <r>
          <rPr>
            <sz val="9"/>
            <color indexed="81"/>
            <rFont val="Tahoma"/>
            <family val="2"/>
          </rPr>
          <t xml:space="preserve">
Rev0 1.3
Rev1 = 0.6 IRPC Demand drop
rev2 = 1.2 IRPC ปรับจุดรับ
rev3 = 1.85 demand เพิ่ม</t>
        </r>
      </text>
    </comment>
    <comment ref="AK138" authorId="1" shapeId="0" xr:uid="{00000000-0006-0000-0200-00001A010000}">
      <text>
        <r>
          <rPr>
            <b/>
            <sz val="9"/>
            <color indexed="81"/>
            <rFont val="Tahoma"/>
            <family val="2"/>
          </rPr>
          <t>Windows User:</t>
        </r>
        <r>
          <rPr>
            <sz val="9"/>
            <color indexed="81"/>
            <rFont val="Tahoma"/>
            <family val="2"/>
          </rPr>
          <t xml:space="preserve">
8.75</t>
        </r>
      </text>
    </comment>
    <comment ref="J141" authorId="1" shapeId="0" xr:uid="{00000000-0006-0000-0200-00001B010000}">
      <text>
        <r>
          <rPr>
            <b/>
            <sz val="9"/>
            <color indexed="81"/>
            <rFont val="Tahoma"/>
            <family val="2"/>
          </rPr>
          <t>Windows User:</t>
        </r>
        <r>
          <rPr>
            <sz val="9"/>
            <color indexed="81"/>
            <rFont val="Tahoma"/>
            <family val="2"/>
          </rPr>
          <t xml:space="preserve">
rev0 = 4
rev1 = 4.2</t>
        </r>
      </text>
    </comment>
    <comment ref="G147" authorId="0" shapeId="0" xr:uid="{00000000-0006-0000-0200-00001C010000}">
      <text>
        <r>
          <rPr>
            <b/>
            <sz val="9"/>
            <color indexed="81"/>
            <rFont val="Tahoma"/>
            <family val="2"/>
          </rPr>
          <t>Quantumuser:
rev0=0
rev1=2  GC ปรับเพิ่มจาก 19 เป็น 21 KT</t>
        </r>
      </text>
    </comment>
    <comment ref="AH148" authorId="0" shapeId="0" xr:uid="{00000000-0006-0000-0200-00001D010000}">
      <text>
        <r>
          <rPr>
            <b/>
            <sz val="9"/>
            <color indexed="81"/>
            <rFont val="Tahoma"/>
            <family val="2"/>
          </rPr>
          <t>Quantumuser:</t>
        </r>
        <r>
          <rPr>
            <sz val="9"/>
            <color indexed="81"/>
            <rFont val="Tahoma"/>
            <family val="2"/>
          </rPr>
          <t xml:space="preserve">
GC ส่ง เพิ่ม มีของ</t>
        </r>
      </text>
    </comment>
    <comment ref="L153" authorId="1" shapeId="0" xr:uid="{00000000-0006-0000-0200-00001E010000}">
      <text>
        <r>
          <rPr>
            <b/>
            <sz val="9"/>
            <color indexed="81"/>
            <rFont val="Tahoma"/>
            <family val="2"/>
          </rPr>
          <t xml:space="preserve">Windows User:
</t>
        </r>
        <r>
          <rPr>
            <sz val="9"/>
            <color indexed="81"/>
            <rFont val="Tahoma"/>
            <family val="2"/>
          </rPr>
          <t>rev0 = 1.8
rev1 = 2.4  ตช ขายเพิ่ม</t>
        </r>
      </text>
    </comment>
    <comment ref="J156" authorId="1" shapeId="0" xr:uid="{00000000-0006-0000-0200-00001F010000}">
      <text>
        <r>
          <rPr>
            <b/>
            <sz val="9"/>
            <color indexed="81"/>
            <rFont val="Tahoma"/>
            <family val="2"/>
          </rPr>
          <t>Windows User:</t>
        </r>
        <r>
          <rPr>
            <sz val="9"/>
            <color indexed="81"/>
            <rFont val="Tahoma"/>
            <family val="2"/>
          </rPr>
          <t xml:space="preserve">
rev0 = 5
rev1 = 6.4</t>
        </r>
      </text>
    </comment>
    <comment ref="K156" authorId="1" shapeId="0" xr:uid="{00000000-0006-0000-0200-000020010000}">
      <text>
        <r>
          <rPr>
            <b/>
            <sz val="9"/>
            <color indexed="81"/>
            <rFont val="Tahoma"/>
            <family val="2"/>
          </rPr>
          <t>Windows User:</t>
        </r>
        <r>
          <rPr>
            <sz val="9"/>
            <color indexed="81"/>
            <rFont val="Tahoma"/>
            <family val="2"/>
          </rPr>
          <t xml:space="preserve">
rev0 = 5
rev1 = 6.4
rev2 = 5.6
</t>
        </r>
      </text>
    </comment>
    <comment ref="L156" authorId="1" shapeId="0" xr:uid="{00000000-0006-0000-0200-000021010000}">
      <text>
        <r>
          <rPr>
            <b/>
            <sz val="9"/>
            <color indexed="81"/>
            <rFont val="Tahoma"/>
            <family val="2"/>
          </rPr>
          <t>Windows User:</t>
        </r>
        <r>
          <rPr>
            <sz val="9"/>
            <color indexed="81"/>
            <rFont val="Tahoma"/>
            <family val="2"/>
          </rPr>
          <t xml:space="preserve">
rev0 = 5
rev1 = 5.7
</t>
        </r>
      </text>
    </comment>
    <comment ref="AD167" authorId="0" shapeId="0" xr:uid="{00000000-0006-0000-0200-000022010000}">
      <text>
        <r>
          <rPr>
            <b/>
            <sz val="9"/>
            <color indexed="81"/>
            <rFont val="Tahoma"/>
            <family val="2"/>
          </rPr>
          <t>Quantumuser:</t>
        </r>
        <r>
          <rPr>
            <sz val="9"/>
            <color indexed="81"/>
            <rFont val="Tahoma"/>
            <family val="2"/>
          </rPr>
          <t xml:space="preserve">
rev0 = 4.38
rev1 = 3.57 sprc tank top ส่งออกเพิ่ม dom ของน้อยลง
rev 2 = 3.46 sprc ส่งได้ต่ำกว่าแผนตามขนาดเรือ</t>
        </r>
      </text>
    </comment>
    <comment ref="AE167" authorId="0" shapeId="0" xr:uid="{00000000-0006-0000-0200-000023010000}">
      <text>
        <r>
          <rPr>
            <b/>
            <sz val="9"/>
            <color indexed="81"/>
            <rFont val="Tahoma"/>
            <family val="2"/>
          </rPr>
          <t>Quantumuser:</t>
        </r>
        <r>
          <rPr>
            <sz val="9"/>
            <color indexed="81"/>
            <rFont val="Tahoma"/>
            <family val="2"/>
          </rPr>
          <t xml:space="preserve">
Rev0 = 4.12
Rev1 = 3.4 SPPC production drop</t>
        </r>
      </text>
    </comment>
    <comment ref="AH167" authorId="0" shapeId="0" xr:uid="{00000000-0006-0000-0200-000024010000}">
      <text>
        <r>
          <rPr>
            <b/>
            <sz val="9"/>
            <color indexed="81"/>
            <rFont val="Tahoma"/>
            <family val="2"/>
          </rPr>
          <t>Quantumuser:</t>
        </r>
        <r>
          <rPr>
            <sz val="9"/>
            <color indexed="81"/>
            <rFont val="Tahoma"/>
            <family val="2"/>
          </rPr>
          <t xml:space="preserve">
Rev0 = 3.4
Rev1 =2.5 SPRC under supply</t>
        </r>
      </text>
    </comment>
    <comment ref="AD169" authorId="0" shapeId="0" xr:uid="{00000000-0006-0000-0200-000025010000}">
      <text>
        <r>
          <rPr>
            <b/>
            <sz val="9"/>
            <color indexed="81"/>
            <rFont val="Tahoma"/>
            <family val="2"/>
          </rPr>
          <t>Quantumuser:</t>
        </r>
        <r>
          <rPr>
            <sz val="9"/>
            <color indexed="81"/>
            <rFont val="Tahoma"/>
            <family val="2"/>
          </rPr>
          <t xml:space="preserve">
rev0 = 5.55
rev1 = 5.99 PTTEP production increase</t>
        </r>
      </text>
    </comment>
    <comment ref="AF170" authorId="0" shapeId="0" xr:uid="{00000000-0006-0000-0200-000026010000}">
      <text>
        <r>
          <rPr>
            <b/>
            <sz val="9"/>
            <color indexed="81"/>
            <rFont val="Tahoma"/>
            <family val="2"/>
          </rPr>
          <t>Quantumuser:</t>
        </r>
        <r>
          <rPr>
            <sz val="9"/>
            <color indexed="81"/>
            <rFont val="Tahoma"/>
            <family val="2"/>
          </rPr>
          <t xml:space="preserve">
Rev0 = 14.6
rev1 = 13 Khm delay statup</t>
        </r>
      </text>
    </comment>
    <comment ref="AG170" authorId="0" shapeId="0" xr:uid="{00000000-0006-0000-0200-000027010000}">
      <text>
        <r>
          <rPr>
            <b/>
            <sz val="9"/>
            <color indexed="81"/>
            <rFont val="Tahoma"/>
            <family val="2"/>
          </rPr>
          <t>Quantumuser:</t>
        </r>
        <r>
          <rPr>
            <sz val="9"/>
            <color indexed="81"/>
            <rFont val="Tahoma"/>
            <family val="2"/>
          </rPr>
          <t xml:space="preserve">
Rev0 =15
Rev1 =16.5 KHM supply เพิ่มจาก demand โรงไฟฟ้า</t>
        </r>
      </text>
    </comment>
    <comment ref="AH170" authorId="0" shapeId="0" xr:uid="{00000000-0006-0000-0200-000028010000}">
      <text>
        <r>
          <rPr>
            <b/>
            <sz val="9"/>
            <color indexed="81"/>
            <rFont val="Tahoma"/>
            <family val="2"/>
          </rPr>
          <t>Quantumuser:</t>
        </r>
        <r>
          <rPr>
            <sz val="9"/>
            <color indexed="81"/>
            <rFont val="Tahoma"/>
            <family val="2"/>
          </rPr>
          <t xml:space="preserve">
Rev0 = 16.5
Rev1 = 18.45 รฟฟ ขนอม demand เพิ่ม</t>
        </r>
      </text>
    </comment>
    <comment ref="D199" authorId="1" shapeId="0" xr:uid="{00000000-0006-0000-0200-000029010000}">
      <text>
        <r>
          <rPr>
            <b/>
            <sz val="9"/>
            <color indexed="81"/>
            <rFont val="Tahoma"/>
            <family val="2"/>
          </rPr>
          <t>Windows User:</t>
        </r>
        <r>
          <rPr>
            <sz val="9"/>
            <color indexed="81"/>
            <rFont val="Tahoma"/>
            <family val="2"/>
          </rPr>
          <t xml:space="preserve">
Port chart 4-6 $/Ton (split 22 KT)</t>
        </r>
      </text>
    </comment>
    <comment ref="D200" authorId="1" shapeId="0" xr:uid="{00000000-0006-0000-0200-00002A010000}">
      <text>
        <r>
          <rPr>
            <b/>
            <sz val="9"/>
            <color indexed="81"/>
            <rFont val="Tahoma"/>
            <family val="2"/>
          </rPr>
          <t>Windows User:</t>
        </r>
        <r>
          <rPr>
            <sz val="9"/>
            <color indexed="81"/>
            <rFont val="Tahoma"/>
            <family val="2"/>
          </rPr>
          <t xml:space="preserve">
Port chart 4-6 $/Ton (split 22 KT)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SAOWANI DETJAREANSRI</author>
    <author>Quantumuser</author>
    <author>Windows User</author>
  </authors>
  <commentList>
    <comment ref="Y6" authorId="0" shapeId="0" xr:uid="{00000000-0006-0000-0300-000001000000}">
      <text>
        <r>
          <rPr>
            <b/>
            <sz val="9"/>
            <color indexed="81"/>
            <rFont val="Tahoma"/>
            <family val="2"/>
          </rPr>
          <t>SAOWANI DETJAREANSRI:</t>
        </r>
        <r>
          <rPr>
            <sz val="9"/>
            <color indexed="81"/>
            <rFont val="Tahoma"/>
            <family val="2"/>
          </rPr>
          <t xml:space="preserve">
rev0 = 83.3 Km3
rev1 = 85.7 Km3 เนื่องจาก stab เพิ่มขึ้นจากแผนวันละ 100 m3</t>
        </r>
      </text>
    </comment>
    <comment ref="AA6" authorId="0" shapeId="0" xr:uid="{00000000-0006-0000-0300-000002000000}">
      <text>
        <r>
          <rPr>
            <b/>
            <sz val="9"/>
            <color indexed="81"/>
            <rFont val="Tahoma"/>
            <family val="2"/>
          </rPr>
          <t>SAOWANI DETJAREANSRI:</t>
        </r>
        <r>
          <rPr>
            <sz val="9"/>
            <color indexed="81"/>
            <rFont val="Tahoma"/>
            <family val="2"/>
          </rPr>
          <t xml:space="preserve">
rev0 = 90.5
</t>
        </r>
      </text>
    </comment>
    <comment ref="AB6" authorId="0" shapeId="0" xr:uid="{00000000-0006-0000-0300-000003000000}">
      <text>
        <r>
          <rPr>
            <b/>
            <sz val="9"/>
            <color indexed="81"/>
            <rFont val="Tahoma"/>
            <family val="2"/>
          </rPr>
          <t>SAOWANI DETJAREANSRI:</t>
        </r>
        <r>
          <rPr>
            <sz val="9"/>
            <color indexed="81"/>
            <rFont val="Tahoma"/>
            <family val="2"/>
          </rPr>
          <t xml:space="preserve">
rev0 = 79.49 Km3
rev1 = 78.212 Km3  เนื่องจาก GSP6 หยุดเดินเครื่องวันที่ 6-7 ก.พ. (2วัน) เพื่อแก้ไขปัญหา Dehydration  </t>
        </r>
      </text>
    </comment>
    <comment ref="AF6" authorId="0" shapeId="0" xr:uid="{00000000-0006-0000-0300-000004000000}">
      <text>
        <r>
          <rPr>
            <b/>
            <sz val="9"/>
            <color indexed="81"/>
            <rFont val="Tahoma"/>
            <family val="2"/>
          </rPr>
          <t>SAOWANI DETJAREANSRI:</t>
        </r>
        <r>
          <rPr>
            <sz val="9"/>
            <color indexed="81"/>
            <rFont val="Tahoma"/>
            <family val="2"/>
          </rPr>
          <t xml:space="preserve">
rev0 = 83.37 Km3
</t>
        </r>
      </text>
    </comment>
    <comment ref="AG6" authorId="0" shapeId="0" xr:uid="{00000000-0006-0000-0300-000005000000}">
      <text>
        <r>
          <rPr>
            <b/>
            <sz val="9"/>
            <color indexed="81"/>
            <rFont val="Tahoma"/>
            <family val="2"/>
          </rPr>
          <t>SAOWANI DETJAREANSRI:</t>
        </r>
        <r>
          <rPr>
            <sz val="9"/>
            <color indexed="81"/>
            <rFont val="Tahoma"/>
            <family val="2"/>
          </rPr>
          <t xml:space="preserve">
rev0 = 86 Km3
rev1 = 84 Km3  GSP5 GSP6 TD ผลิตลดลง 2 km3</t>
        </r>
      </text>
    </comment>
    <comment ref="AP6" authorId="0" shapeId="0" xr:uid="{00000000-0006-0000-0300-000006000000}">
      <text>
        <r>
          <rPr>
            <b/>
            <sz val="9"/>
            <color indexed="81"/>
            <rFont val="Tahoma"/>
            <family val="2"/>
          </rPr>
          <t>SAOWANI DETJAREANSRI:</t>
        </r>
        <r>
          <rPr>
            <sz val="9"/>
            <color indexed="81"/>
            <rFont val="Tahoma"/>
            <family val="2"/>
          </rPr>
          <t xml:space="preserve">
Apr - May 2019 : GSP6 Shutdown 17 Days (Tentatve)</t>
        </r>
      </text>
    </comment>
    <comment ref="BF6" authorId="1" shapeId="0" xr:uid="{00000000-0006-0000-0300-000007000000}">
      <text>
        <r>
          <rPr>
            <b/>
            <sz val="9"/>
            <color indexed="81"/>
            <rFont val="Tahoma"/>
            <family val="2"/>
          </rPr>
          <t>Quantumuser:
rev0 = 71.59</t>
        </r>
      </text>
    </comment>
    <comment ref="BG6" authorId="2" shapeId="0" xr:uid="{00000000-0006-0000-0300-000008000000}">
      <text>
        <r>
          <rPr>
            <b/>
            <sz val="9"/>
            <color indexed="81"/>
            <rFont val="Tahoma"/>
            <family val="2"/>
          </rPr>
          <t>Windows User:</t>
        </r>
        <r>
          <rPr>
            <sz val="9"/>
            <color indexed="81"/>
            <rFont val="Tahoma"/>
            <family val="2"/>
          </rPr>
          <t xml:space="preserve">
ผลิตสูงขึ้นจาก stab
</t>
        </r>
      </text>
    </comment>
    <comment ref="BP6" authorId="1" shapeId="0" xr:uid="{00000000-0006-0000-0300-000009000000}">
      <text>
        <r>
          <rPr>
            <b/>
            <sz val="9"/>
            <color indexed="81"/>
            <rFont val="Tahoma"/>
            <family val="2"/>
          </rPr>
          <t>Quantumuser:</t>
        </r>
        <r>
          <rPr>
            <sz val="9"/>
            <color indexed="81"/>
            <rFont val="Tahoma"/>
            <family val="2"/>
          </rPr>
          <t xml:space="preserve">
rev 0 = 78.96
rev 1= 80.5 (8 June) Stab ขึ้น
rev 2 = 80.74 ability increase</t>
        </r>
      </text>
    </comment>
    <comment ref="BR6" authorId="1" shapeId="0" xr:uid="{00000000-0006-0000-0300-00000A000000}">
      <text>
        <r>
          <rPr>
            <b/>
            <sz val="9"/>
            <color indexed="81"/>
            <rFont val="Tahoma"/>
            <family val="2"/>
          </rPr>
          <t>Quantumuser:</t>
        </r>
        <r>
          <rPr>
            <sz val="9"/>
            <color indexed="81"/>
            <rFont val="Tahoma"/>
            <family val="2"/>
          </rPr>
          <t xml:space="preserve">
Rev0 74.6070568483387
Rev1 72.67
</t>
        </r>
      </text>
    </comment>
    <comment ref="L7" authorId="0" shapeId="0" xr:uid="{00000000-0006-0000-0300-00000B000000}">
      <text>
        <r>
          <rPr>
            <b/>
            <sz val="9"/>
            <color indexed="81"/>
            <rFont val="Tahoma"/>
            <family val="2"/>
          </rPr>
          <t>SAOWANI DETJAREANSRI:</t>
        </r>
        <r>
          <rPr>
            <sz val="9"/>
            <color indexed="81"/>
            <rFont val="Tahoma"/>
            <family val="2"/>
          </rPr>
          <t xml:space="preserve">
rev0 = 46.5 
rev1 = 52.5</t>
        </r>
      </text>
    </comment>
    <comment ref="M7" authorId="0" shapeId="0" xr:uid="{00000000-0006-0000-0300-00000C000000}">
      <text>
        <r>
          <rPr>
            <b/>
            <sz val="9"/>
            <color indexed="81"/>
            <rFont val="Tahoma"/>
            <family val="2"/>
          </rPr>
          <t>nom 60 Km3
rev0 = 60
rev1 = 58 เนื่องจาก Hg สูง ต้องส่งออกจึงปรับลดลูกค้า (แต่บอกลูกค้ามี condensate มาน้อย)</t>
        </r>
      </text>
    </comment>
    <comment ref="N7" authorId="0" shapeId="0" xr:uid="{00000000-0006-0000-0300-00000D000000}">
      <text>
        <r>
          <rPr>
            <b/>
            <sz val="9"/>
            <color indexed="81"/>
            <rFont val="Tahoma"/>
            <family val="2"/>
          </rPr>
          <t>SAOWANI DETJAREANSRI:</t>
        </r>
        <r>
          <rPr>
            <sz val="9"/>
            <color indexed="81"/>
            <rFont val="Tahoma"/>
            <family val="2"/>
          </rPr>
          <t xml:space="preserve">
nom ให้ลูกค้า 60.5 km3
rev0 = 60.5
rev1 =  55.648 GSP ขอปรับลดเนื่องจาก condensate มาน้อย (แต่จิงๆ คือ พย. 59 high Hg จึงต้อง Export)</t>
        </r>
      </text>
    </comment>
    <comment ref="O7" authorId="0" shapeId="0" xr:uid="{00000000-0006-0000-0300-00000E000000}">
      <text>
        <r>
          <rPr>
            <b/>
            <sz val="9"/>
            <color indexed="81"/>
            <rFont val="Tahoma"/>
            <family val="2"/>
          </rPr>
          <t>SAOWANI DETJAREANSRI:</t>
        </r>
        <r>
          <rPr>
            <sz val="9"/>
            <color indexed="81"/>
            <rFont val="Tahoma"/>
            <family val="2"/>
          </rPr>
          <t xml:space="preserve">
rev0 = 30.5</t>
        </r>
      </text>
    </comment>
    <comment ref="P7" authorId="0" shapeId="0" xr:uid="{00000000-0006-0000-0300-00000F000000}">
      <text>
        <r>
          <rPr>
            <b/>
            <sz val="9"/>
            <color indexed="81"/>
            <rFont val="Tahoma"/>
            <family val="2"/>
          </rPr>
          <t>SAOWANI DETJAREANSRI:</t>
        </r>
        <r>
          <rPr>
            <sz val="9"/>
            <color indexed="81"/>
            <rFont val="Tahoma"/>
            <family val="2"/>
          </rPr>
          <t xml:space="preserve">
rev0 = 30.5
rev1 = 28.5</t>
        </r>
      </text>
    </comment>
    <comment ref="Q7" authorId="0" shapeId="0" xr:uid="{00000000-0006-0000-0300-000010000000}">
      <text>
        <r>
          <rPr>
            <b/>
            <sz val="9"/>
            <color indexed="81"/>
            <rFont val="Tahoma"/>
            <family val="2"/>
          </rPr>
          <t>SAOWANI DETJAREANSRI:</t>
        </r>
        <r>
          <rPr>
            <sz val="9"/>
            <color indexed="81"/>
            <rFont val="Tahoma"/>
            <family val="2"/>
          </rPr>
          <t xml:space="preserve">
rev0 = 28.549 Km3
rev1 = 30.2 Km3 เนื่องจาก Demand โรงไฟฟ้าสูง และ LNG max แล้ว ส่งผลให้มีการดึง bypass เพิ่มขึ้น condensate จึงมาสูงกว่าแผน</t>
        </r>
      </text>
    </comment>
    <comment ref="S7" authorId="0" shapeId="0" xr:uid="{00000000-0006-0000-0300-000011000000}">
      <text>
        <r>
          <rPr>
            <b/>
            <sz val="9"/>
            <color indexed="81"/>
            <rFont val="Tahoma"/>
            <family val="2"/>
          </rPr>
          <t>SAOWANI DETJAREANSRI:</t>
        </r>
        <r>
          <rPr>
            <sz val="9"/>
            <color indexed="81"/>
            <rFont val="Tahoma"/>
            <family val="2"/>
          </rPr>
          <t xml:space="preserve">
PTTGC I-4/1 Olefins 2/1 TA 26 พ.ค. 60 – 3 ก.ค. 60 (39 วัน)</t>
        </r>
      </text>
    </comment>
    <comment ref="T7" authorId="0" shapeId="0" xr:uid="{00000000-0006-0000-0300-000012000000}">
      <text>
        <r>
          <rPr>
            <b/>
            <sz val="9"/>
            <color indexed="81"/>
            <rFont val="Tahoma"/>
            <family val="2"/>
          </rPr>
          <t>SAOWANI DETJAREANSRI:</t>
        </r>
        <r>
          <rPr>
            <sz val="9"/>
            <color indexed="81"/>
            <rFont val="Tahoma"/>
            <family val="2"/>
          </rPr>
          <t xml:space="preserve">
PTTGC I-4/1 Olefins 2/1 TA 26 พ.ค. 60 – 3 ก.ค. 60 (39 วัน)</t>
        </r>
      </text>
    </comment>
    <comment ref="Y7" authorId="0" shapeId="0" xr:uid="{00000000-0006-0000-0300-000013000000}">
      <text>
        <r>
          <rPr>
            <b/>
            <sz val="9"/>
            <color indexed="81"/>
            <rFont val="Tahoma"/>
            <family val="2"/>
          </rPr>
          <t>SAOWANI DETJAREANSRI:</t>
        </r>
        <r>
          <rPr>
            <sz val="9"/>
            <color indexed="81"/>
            <rFont val="Tahoma"/>
            <family val="2"/>
          </rPr>
          <t xml:space="preserve">
rev0 = 27.8 Km3
rev1= 31 Km3 เนื่องจาก condensate เพิ่มขึ้น จากการ Test (14 พ.ย. 60 - 14 ม.ค. 61) สลับก๊าซจากแหล่ง จากท่อ 34" มาที่ท่อ 42"
rev2= 34 Km3 เนื่องจาก condensate เพิ่มขึ้น</t>
        </r>
      </text>
    </comment>
    <comment ref="Z7" authorId="0" shapeId="0" xr:uid="{00000000-0006-0000-0300-000014000000}">
      <text>
        <r>
          <rPr>
            <b/>
            <sz val="9"/>
            <color indexed="81"/>
            <rFont val="Tahoma"/>
            <family val="2"/>
          </rPr>
          <t>SAOWANI DETJAREANSRI:
rev0 = 33.174 km3 (21.5 KT)
rev1 = 35.179 km3 (22.8 KT)</t>
        </r>
      </text>
    </comment>
    <comment ref="AG7" authorId="0" shapeId="0" xr:uid="{00000000-0006-0000-0300-000015000000}">
      <text>
        <r>
          <rPr>
            <b/>
            <sz val="9"/>
            <color indexed="81"/>
            <rFont val="Tahoma"/>
            <family val="2"/>
          </rPr>
          <t>SAOWANI DETJAREANSRI:
rev0 = 29.32 
rev1 = 27.32 KT ปรับลด 2 km3 เนื่องจาก stab น้อย</t>
        </r>
      </text>
    </comment>
    <comment ref="AK7" authorId="0" shapeId="0" xr:uid="{00000000-0006-0000-0300-000016000000}">
      <text>
        <r>
          <rPr>
            <b/>
            <sz val="9"/>
            <color indexed="81"/>
            <rFont val="Tahoma"/>
            <family val="2"/>
          </rPr>
          <t>SAOWANI DETJAREANSRI:</t>
        </r>
        <r>
          <rPr>
            <sz val="9"/>
            <color indexed="81"/>
            <rFont val="Tahoma"/>
            <family val="2"/>
          </rPr>
          <t xml:space="preserve">
rev0 = 15 KT
rev1 = 19 KT ปรับคาม Inv GSP
rev2 = 22 KT (โยกจากเดือน ธ.ค. มา 3 KT)
rev3 = 23 KT GSP เสนอขายเพิ่ม 1 KT</t>
        </r>
      </text>
    </comment>
    <comment ref="AL7" authorId="0" shapeId="0" xr:uid="{00000000-0006-0000-0300-000017000000}">
      <text>
        <r>
          <rPr>
            <b/>
            <sz val="9"/>
            <color indexed="81"/>
            <rFont val="Tahoma"/>
            <family val="2"/>
          </rPr>
          <t>SAOWANI DETJAREANSRI:</t>
        </r>
        <r>
          <rPr>
            <sz val="9"/>
            <color indexed="81"/>
            <rFont val="Tahoma"/>
            <family val="2"/>
          </rPr>
          <t xml:space="preserve">
rev0 = 20 KT
rev1 = 17 KT (โยกไปขายเดือน พย. 3 KT)
rev2 = 18 KT GSP เสนอขายเพิ่ม
rev3 = 19.5 KT GSP เสนอขายเพิ่ม</t>
        </r>
      </text>
    </comment>
    <comment ref="AM7" authorId="0" shapeId="0" xr:uid="{00000000-0006-0000-0300-000018000000}">
      <text>
        <r>
          <rPr>
            <b/>
            <sz val="9"/>
            <color indexed="81"/>
            <rFont val="Tahoma"/>
            <family val="2"/>
          </rPr>
          <t>SAOWANI DETJAREANSRI:</t>
        </r>
        <r>
          <rPr>
            <sz val="9"/>
            <color indexed="81"/>
            <rFont val="Tahoma"/>
            <family val="2"/>
          </rPr>
          <t xml:space="preserve">
rev0 = 16 KT
rev1 = 12 KT GSP ตัด เนื่องจากพายุปาบึก</t>
        </r>
      </text>
    </comment>
    <comment ref="AN7" authorId="0" shapeId="0" xr:uid="{00000000-0006-0000-0300-000019000000}">
      <text>
        <r>
          <rPr>
            <b/>
            <sz val="9"/>
            <color indexed="81"/>
            <rFont val="Tahoma"/>
            <family val="2"/>
          </rPr>
          <t>SAOWANI DETJAREANSRI:</t>
        </r>
        <r>
          <rPr>
            <sz val="9"/>
            <color indexed="81"/>
            <rFont val="Tahoma"/>
            <family val="2"/>
          </rPr>
          <t xml:space="preserve">
rev0 = 14 KT
rev1 = 15 KT ปรับเพิ่มให้ตาม stab ที่เพิ่มขึ้น เนื่องจาก GC ช่วยปรับแผนรับ C3/LPG ลดลงในช่วงครึ่งเดือนแรกของ กพ</t>
        </r>
      </text>
    </comment>
    <comment ref="AO7" authorId="0" shapeId="0" xr:uid="{00000000-0006-0000-0300-00001A000000}">
      <text>
        <r>
          <rPr>
            <b/>
            <sz val="9"/>
            <color indexed="81"/>
            <rFont val="Tahoma"/>
            <family val="2"/>
          </rPr>
          <t>SAOWANI DETJAREANSRI:</t>
        </r>
        <r>
          <rPr>
            <sz val="9"/>
            <color indexed="81"/>
            <rFont val="Tahoma"/>
            <family val="2"/>
          </rPr>
          <t xml:space="preserve">
rev0 = 19
rev1 = 21</t>
        </r>
      </text>
    </comment>
    <comment ref="AP7" authorId="1" shapeId="0" xr:uid="{00000000-0006-0000-0300-00001B000000}">
      <text>
        <r>
          <rPr>
            <b/>
            <sz val="9"/>
            <color indexed="81"/>
            <rFont val="Tahoma"/>
            <family val="2"/>
          </rPr>
          <t>Quantumuser:</t>
        </r>
        <r>
          <rPr>
            <sz val="9"/>
            <color indexed="81"/>
            <rFont val="Tahoma"/>
            <family val="2"/>
          </rPr>
          <t xml:space="preserve">
rev0 = 19 KT
rev1 = 20 KT</t>
        </r>
      </text>
    </comment>
    <comment ref="AQ7" authorId="1" shapeId="0" xr:uid="{00000000-0006-0000-0300-00001C000000}">
      <text>
        <r>
          <rPr>
            <b/>
            <sz val="9"/>
            <color indexed="81"/>
            <rFont val="Tahoma"/>
            <family val="2"/>
          </rPr>
          <t>Quantumuser:</t>
        </r>
        <r>
          <rPr>
            <sz val="9"/>
            <color indexed="81"/>
            <rFont val="Tahoma"/>
            <family val="2"/>
          </rPr>
          <t xml:space="preserve">
rev0 = 16 KT
rev1 = 17 KT</t>
        </r>
      </text>
    </comment>
    <comment ref="AS7" authorId="1" shapeId="0" xr:uid="{00000000-0006-0000-0300-00001D000000}">
      <text>
        <r>
          <rPr>
            <b/>
            <sz val="9"/>
            <color indexed="81"/>
            <rFont val="Tahoma"/>
            <family val="2"/>
          </rPr>
          <t>Quantumuser:</t>
        </r>
        <r>
          <rPr>
            <sz val="9"/>
            <color indexed="81"/>
            <rFont val="Tahoma"/>
            <family val="2"/>
          </rPr>
          <t xml:space="preserve">
rev0 = 17 KT
</t>
        </r>
      </text>
    </comment>
    <comment ref="AT7" authorId="1" shapeId="0" xr:uid="{00000000-0006-0000-0300-00001E000000}">
      <text>
        <r>
          <rPr>
            <b/>
            <sz val="9"/>
            <color indexed="81"/>
            <rFont val="Tahoma"/>
            <family val="2"/>
          </rPr>
          <t>Quantumuser:</t>
        </r>
        <r>
          <rPr>
            <sz val="9"/>
            <color indexed="81"/>
            <rFont val="Tahoma"/>
            <family val="2"/>
          </rPr>
          <t xml:space="preserve">
Nom @Jun = 18 KT
</t>
        </r>
      </text>
    </comment>
    <comment ref="AV7" authorId="2" shapeId="0" xr:uid="{00000000-0006-0000-0300-00001F000000}">
      <text>
        <r>
          <rPr>
            <b/>
            <sz val="9"/>
            <color indexed="81"/>
            <rFont val="Tahoma"/>
            <family val="2"/>
          </rPr>
          <t>Windows User:</t>
        </r>
        <r>
          <rPr>
            <sz val="9"/>
            <color indexed="81"/>
            <rFont val="Tahoma"/>
            <family val="2"/>
          </rPr>
          <t xml:space="preserve">
rev0 = 18 KT
rev1 = 18.5 KT กผ. ให้แทน LPG ที่ลดลง จาก GSP5 เพิ่มจำนวนวัน TD </t>
        </r>
      </text>
    </comment>
    <comment ref="AX7" authorId="1" shapeId="0" xr:uid="{00000000-0006-0000-0300-000020000000}">
      <text>
        <r>
          <rPr>
            <b/>
            <sz val="9"/>
            <color indexed="81"/>
            <rFont val="Tahoma"/>
            <family val="2"/>
          </rPr>
          <t>Quantumuser:</t>
        </r>
        <r>
          <rPr>
            <sz val="9"/>
            <color indexed="81"/>
            <rFont val="Tahoma"/>
            <family val="2"/>
          </rPr>
          <t xml:space="preserve">
rev0 = 17 
rev1 = 19 GSP balance inv
rev2 = 21 GSP balance inv</t>
        </r>
      </text>
    </comment>
    <comment ref="AY7" authorId="1" shapeId="0" xr:uid="{00000000-0006-0000-0300-000021000000}">
      <text>
        <r>
          <rPr>
            <b/>
            <sz val="9"/>
            <color indexed="81"/>
            <rFont val="Tahoma"/>
            <family val="2"/>
          </rPr>
          <t>Quantumuser:
rev0 = 15
rev1 = 18
rev2 = 19 KT</t>
        </r>
      </text>
    </comment>
    <comment ref="AZ7" authorId="2" shapeId="0" xr:uid="{00000000-0006-0000-0300-000022000000}">
      <text>
        <r>
          <rPr>
            <b/>
            <sz val="9"/>
            <color indexed="81"/>
            <rFont val="Tahoma"/>
            <family val="2"/>
          </rPr>
          <t>Windows User:</t>
        </r>
        <r>
          <rPr>
            <sz val="9"/>
            <color indexed="81"/>
            <rFont val="Tahoma"/>
            <family val="2"/>
          </rPr>
          <t xml:space="preserve">
rev0 = 13.5 KT
rev1 = 12.5 KT GSP ปรับลดเนื่องจาก stab มาลดลง
rev2 = 9.8 KT เนื่องจาก GC พบปัญหากระบวนการผลิตหลังการ Start up และ Inventory สูง จึงขอหยุดการรับตั้งแต่วันที่ 22 ก.พ. เวลา 12:00 น. – 26 ก.พ. 2563
rev3 = 5 KT เนื่องจาก i4 delay start up จากเดิมวันที่ 27 กพ. 63</t>
        </r>
      </text>
    </comment>
    <comment ref="BA7" authorId="1" shapeId="0" xr:uid="{00000000-0006-0000-0300-000023000000}">
      <text>
        <r>
          <rPr>
            <b/>
            <sz val="9"/>
            <color indexed="81"/>
            <rFont val="Tahoma"/>
            <family val="2"/>
          </rPr>
          <t>Quantumuser:
rev0 = 22.5 KT
rev1 = 25.2 KT เนื่องจากโยก 2.7 KT มาจากเดือน ก.พ. 63</t>
        </r>
      </text>
    </comment>
    <comment ref="BB7" authorId="2" shapeId="0" xr:uid="{00000000-0006-0000-0300-000024000000}">
      <text>
        <r>
          <rPr>
            <b/>
            <sz val="9"/>
            <color indexed="81"/>
            <rFont val="Tahoma"/>
            <family val="2"/>
          </rPr>
          <t>Windows User:</t>
        </r>
        <r>
          <rPr>
            <sz val="9"/>
            <color indexed="81"/>
            <rFont val="Tahoma"/>
            <family val="2"/>
          </rPr>
          <t xml:space="preserve">
rev0 = 23
rev1 = 20 KT เนื่องจาก GSP ปรับลดกำลังการผลิต optimum case + ปรับเพิ่ม C3/LPG ให้พอขาย GC เพื่อชดชเย C2
rev2 = 19 KT GC แจ้งปรับลดจาก Economi
rev3 = 15 KT GC แจ้งปรับลดจาก Economi</t>
        </r>
      </text>
    </comment>
    <comment ref="BG7" authorId="2" shapeId="0" xr:uid="{00000000-0006-0000-0300-000025000000}">
      <text>
        <r>
          <rPr>
            <b/>
            <sz val="9"/>
            <color indexed="81"/>
            <rFont val="Tahoma"/>
            <family val="2"/>
          </rPr>
          <t>Windows User:</t>
        </r>
        <r>
          <rPr>
            <sz val="9"/>
            <color indexed="81"/>
            <rFont val="Tahoma"/>
            <family val="2"/>
          </rPr>
          <t xml:space="preserve">
rev0 = 21 KT
rev1 = 23 KT GSP เสนอเพิ่ม เพื่อ balance inv</t>
        </r>
      </text>
    </comment>
    <comment ref="BH7" authorId="2" shapeId="0" xr:uid="{00000000-0006-0000-0300-000026000000}">
      <text>
        <r>
          <rPr>
            <b/>
            <sz val="9"/>
            <color indexed="81"/>
            <rFont val="Tahoma"/>
            <family val="2"/>
          </rPr>
          <t>Windows User:</t>
        </r>
        <r>
          <rPr>
            <sz val="9"/>
            <color indexed="81"/>
            <rFont val="Tahoma"/>
            <family val="2"/>
          </rPr>
          <t xml:space="preserve">
rev0 = 24.5 KT
rev1 = 25.5 KT</t>
        </r>
      </text>
    </comment>
    <comment ref="BI7" authorId="2" shapeId="0" xr:uid="{00000000-0006-0000-0300-000027000000}">
      <text>
        <r>
          <rPr>
            <b/>
            <sz val="9"/>
            <color indexed="81"/>
            <rFont val="Tahoma"/>
            <family val="2"/>
          </rPr>
          <t>Windows User:
rev0 = 21.5 KT
rev1 = 20 KT เหตุจาก GSP5</t>
        </r>
      </text>
    </comment>
    <comment ref="BJ7" authorId="2" shapeId="0" xr:uid="{00000000-0006-0000-0300-000028000000}">
      <text>
        <r>
          <rPr>
            <b/>
            <sz val="9"/>
            <color indexed="81"/>
            <rFont val="Tahoma"/>
            <family val="2"/>
          </rPr>
          <t>Windows User:</t>
        </r>
        <r>
          <rPr>
            <sz val="9"/>
            <color indexed="81"/>
            <rFont val="Tahoma"/>
            <family val="2"/>
          </rPr>
          <t xml:space="preserve">
20</t>
        </r>
      </text>
    </comment>
    <comment ref="BK7" authorId="2" shapeId="0" xr:uid="{00000000-0006-0000-0300-000029000000}">
      <text>
        <r>
          <rPr>
            <b/>
            <sz val="9"/>
            <color indexed="81"/>
            <rFont val="Tahoma"/>
            <family val="2"/>
          </rPr>
          <t>Windows User:</t>
        </r>
        <r>
          <rPr>
            <sz val="9"/>
            <color indexed="81"/>
            <rFont val="Tahoma"/>
            <family val="2"/>
          </rPr>
          <t xml:space="preserve">
rev1 = 24.5 KT
</t>
        </r>
      </text>
    </comment>
    <comment ref="BL7" authorId="2" shapeId="0" xr:uid="{00000000-0006-0000-0300-00002A000000}">
      <text>
        <r>
          <rPr>
            <b/>
            <sz val="9"/>
            <color indexed="81"/>
            <rFont val="Tahoma"/>
            <family val="2"/>
          </rPr>
          <t>Windows User:</t>
        </r>
        <r>
          <rPr>
            <sz val="9"/>
            <color indexed="81"/>
            <rFont val="Tahoma"/>
            <family val="2"/>
          </rPr>
          <t xml:space="preserve">
rev0 = 23 KT
rev1 = 24.5 KT GSP ปรับเพิ่ม เพื่อ balance inventory
</t>
        </r>
      </text>
    </comment>
    <comment ref="BN7" authorId="2" shapeId="0" xr:uid="{00000000-0006-0000-0300-00002B000000}">
      <text>
        <r>
          <rPr>
            <b/>
            <sz val="9"/>
            <color indexed="81"/>
            <rFont val="Tahoma"/>
            <family val="2"/>
          </rPr>
          <t>Windows User:</t>
        </r>
        <r>
          <rPr>
            <sz val="9"/>
            <color indexed="81"/>
            <rFont val="Tahoma"/>
            <family val="2"/>
          </rPr>
          <t xml:space="preserve">
rev0 = 22.5 KT
rev1 = 20.5 KT GC ขอรับเท่า rev0 เนื่องจาก inv LN high
</t>
        </r>
      </text>
    </comment>
    <comment ref="BO7" authorId="2" shapeId="0" xr:uid="{00000000-0006-0000-0300-00002C000000}">
      <text>
        <r>
          <rPr>
            <b/>
            <sz val="9"/>
            <color indexed="81"/>
            <rFont val="Tahoma"/>
            <family val="2"/>
          </rPr>
          <t>Windows User:</t>
        </r>
        <r>
          <rPr>
            <sz val="9"/>
            <color indexed="81"/>
            <rFont val="Tahoma"/>
            <family val="2"/>
          </rPr>
          <t xml:space="preserve">
rev0 = 27.5 KT
rev1 = 26.5 KT
rev2 = 26 KT</t>
        </r>
      </text>
    </comment>
    <comment ref="BP7" authorId="2" shapeId="0" xr:uid="{00000000-0006-0000-0300-00002D000000}">
      <text>
        <r>
          <rPr>
            <b/>
            <sz val="9"/>
            <color indexed="81"/>
            <rFont val="Tahoma"/>
            <family val="2"/>
          </rPr>
          <t>Windows User:</t>
        </r>
        <r>
          <rPr>
            <sz val="9"/>
            <color indexed="81"/>
            <rFont val="Tahoma"/>
            <family val="2"/>
          </rPr>
          <t xml:space="preserve">
rev0 = 21.5 KT
rev1 = 22 KT GC ขอรับเพิ่ม
</t>
        </r>
      </text>
    </comment>
    <comment ref="BQ7" authorId="1" shapeId="0" xr:uid="{00000000-0006-0000-0300-00002E000000}">
      <text>
        <r>
          <rPr>
            <b/>
            <sz val="9"/>
            <color indexed="81"/>
            <rFont val="Tahoma"/>
            <family val="2"/>
          </rPr>
          <t>Quantumuser:</t>
        </r>
        <r>
          <rPr>
            <sz val="9"/>
            <color indexed="81"/>
            <rFont val="Tahoma"/>
            <family val="2"/>
          </rPr>
          <t xml:space="preserve">
rev0 = 19
rev1= 18 PTT Gas compo drop (รอ GC confirm)</t>
        </r>
      </text>
    </comment>
    <comment ref="BR7" authorId="1" shapeId="0" xr:uid="{00000000-0006-0000-0300-00002F000000}">
      <text>
        <r>
          <rPr>
            <b/>
            <sz val="9"/>
            <color indexed="81"/>
            <rFont val="Tahoma"/>
            <family val="2"/>
          </rPr>
          <t>Quantumuser:</t>
        </r>
        <r>
          <rPr>
            <sz val="9"/>
            <color indexed="81"/>
            <rFont val="Tahoma"/>
            <family val="2"/>
          </rPr>
          <t xml:space="preserve">
rev0 = 24.5
rev1 = 23 GC ขอลดรับเหลือ 0 แต่เราให้แค่ -1.5KT
rev2=22 PTT compo drop และต้องเตรียมของเผื่อส่งออก
rev3=21.2 PTT ปรับลด เพื่อเตรียมเผื่อต้องส่งของไป PTTTANK เคลียร์ NGL ค้างท่อ
rev4 = 19.7KT ปรับลดจาก GSP ลด lode 5%</t>
        </r>
      </text>
    </comment>
    <comment ref="BS7" authorId="1" shapeId="0" xr:uid="{00000000-0006-0000-0300-000030000000}">
      <text>
        <r>
          <rPr>
            <b/>
            <sz val="9"/>
            <color indexed="81"/>
            <rFont val="Tahoma"/>
            <family val="2"/>
          </rPr>
          <t>Quantumuser:</t>
        </r>
        <r>
          <rPr>
            <sz val="9"/>
            <color indexed="81"/>
            <rFont val="Tahoma"/>
            <family val="2"/>
          </rPr>
          <t xml:space="preserve">
rev0 =19
rev1 = 17.5 GC ขอลดรับเหลือ 0 แต่เราให้แค่ -1.5K</t>
        </r>
      </text>
    </comment>
    <comment ref="BT7" authorId="1" shapeId="0" xr:uid="{00000000-0006-0000-0300-000031000000}">
      <text>
        <r>
          <rPr>
            <b/>
            <sz val="9"/>
            <color indexed="81"/>
            <rFont val="Tahoma"/>
            <family val="2"/>
          </rPr>
          <t>Quantumuser:</t>
        </r>
        <r>
          <rPr>
            <sz val="9"/>
            <color indexed="81"/>
            <rFont val="Tahoma"/>
            <family val="2"/>
          </rPr>
          <t xml:space="preserve">
Rev0 =18.52
Rev1 = 24.69 GSP compo เพิ่ม รอ cf</t>
        </r>
      </text>
    </comment>
    <comment ref="CJ7" authorId="1" shapeId="0" xr:uid="{00000000-0006-0000-0300-000032000000}">
      <text>
        <r>
          <rPr>
            <b/>
            <sz val="9"/>
            <color indexed="81"/>
            <rFont val="Tahoma"/>
            <family val="2"/>
          </rPr>
          <t>Quantumuser:</t>
        </r>
        <r>
          <rPr>
            <sz val="9"/>
            <color indexed="81"/>
            <rFont val="Tahoma"/>
            <family val="2"/>
          </rPr>
          <t xml:space="preserve">
</t>
        </r>
      </text>
    </comment>
    <comment ref="CM7" authorId="2" shapeId="0" xr:uid="{00000000-0006-0000-0300-000033000000}">
      <text>
        <r>
          <rPr>
            <b/>
            <sz val="9"/>
            <color indexed="81"/>
            <rFont val="Tahoma"/>
            <family val="2"/>
          </rPr>
          <t>Windows User:</t>
        </r>
        <r>
          <rPr>
            <sz val="9"/>
            <color indexed="81"/>
            <rFont val="Tahoma"/>
            <family val="2"/>
          </rPr>
          <t xml:space="preserve">
สัญญา &gt; 250 KT</t>
        </r>
      </text>
    </comment>
    <comment ref="CO7" authorId="2" shapeId="0" xr:uid="{00000000-0006-0000-0300-000034000000}">
      <text>
        <r>
          <rPr>
            <b/>
            <sz val="9"/>
            <color indexed="81"/>
            <rFont val="Tahoma"/>
            <family val="2"/>
          </rPr>
          <t>Windows User:</t>
        </r>
        <r>
          <rPr>
            <sz val="9"/>
            <color indexed="81"/>
            <rFont val="Tahoma"/>
            <family val="2"/>
          </rPr>
          <t xml:space="preserve">
สัญญา 250 KT</t>
        </r>
      </text>
    </comment>
    <comment ref="I8" authorId="0" shapeId="0" xr:uid="{00000000-0006-0000-0300-000035000000}">
      <text>
        <r>
          <rPr>
            <b/>
            <sz val="9"/>
            <color indexed="81"/>
            <rFont val="Tahoma"/>
            <family val="2"/>
          </rPr>
          <t>SAOWANI DETJAREANSRI:
30 GSP เสนอเป็น 33 (มิย กด ให้ 33 33 รวมเพิ่ม 6 Km3)
33 ลดเป็น 32 เพราะให้ก่อนแล้วในเดือน พค 1 Km3 แต่หากมีของจะให้เพิ่มขึ้นจาก 32 เป็นเท่าไหร่ขอดูการผลิตก่อน</t>
        </r>
      </text>
    </comment>
    <comment ref="L8" authorId="0" shapeId="0" xr:uid="{00000000-0006-0000-0300-000036000000}">
      <text>
        <r>
          <rPr>
            <sz val="9"/>
            <color indexed="81"/>
            <rFont val="Tahoma"/>
            <family val="2"/>
          </rPr>
          <t xml:space="preserve">ทำ nom ให้ลูกค้า 30 Km3
</t>
        </r>
      </text>
    </comment>
    <comment ref="M8" authorId="0" shapeId="0" xr:uid="{00000000-0006-0000-0300-000037000000}">
      <text>
        <r>
          <rPr>
            <sz val="9"/>
            <color indexed="81"/>
            <rFont val="Tahoma"/>
            <family val="2"/>
          </rPr>
          <t>ROC T/A : 4 พ.ย. 59 – 13 ธ.ค. 59</t>
        </r>
      </text>
    </comment>
    <comment ref="N8" authorId="0" shapeId="0" xr:uid="{00000000-0006-0000-0300-000038000000}">
      <text>
        <r>
          <rPr>
            <sz val="9"/>
            <color indexed="81"/>
            <rFont val="Tahoma"/>
            <family val="2"/>
          </rPr>
          <t>ROC T/A : 4 พ.ย. 59 – 13 ธ.ค. 59
rev0 = 31.514
rev1 = 29.11  GSP ขอปรับลดเนื่องจาก condensate มาน้อย (แต่จิงๆ คือ พย. 59 high Hg จึงต้อง Export)</t>
        </r>
      </text>
    </comment>
    <comment ref="Q8" authorId="0" shapeId="0" xr:uid="{00000000-0006-0000-0300-000039000000}">
      <text>
        <r>
          <rPr>
            <b/>
            <sz val="9"/>
            <color indexed="81"/>
            <rFont val="Tahoma"/>
            <family val="2"/>
          </rPr>
          <t>SAOWANI DETJAREANSRI:</t>
        </r>
        <r>
          <rPr>
            <sz val="9"/>
            <color indexed="81"/>
            <rFont val="Tahoma"/>
            <family val="2"/>
          </rPr>
          <t xml:space="preserve">
rev0 = 53 Km3
rev1 = 53.8 Km3 เนื่องจาก Demand โรงไฟฟ้าสูง และ LNG max แล้ว ส่งผลให้มีการดึง bypass เพิ่มขึ้น condensate จึงมาสูงกว่าแผน</t>
        </r>
      </text>
    </comment>
    <comment ref="V8" authorId="0" shapeId="0" xr:uid="{00000000-0006-0000-0300-00003A000000}">
      <text>
        <r>
          <rPr>
            <b/>
            <sz val="9"/>
            <color indexed="81"/>
            <rFont val="Tahoma"/>
            <family val="2"/>
          </rPr>
          <t>SAOWANI DETJAREANSRI:</t>
        </r>
        <r>
          <rPr>
            <sz val="9"/>
            <color indexed="81"/>
            <rFont val="Tahoma"/>
            <family val="2"/>
          </rPr>
          <t xml:space="preserve">
rev0 = 56 KT
rev1 = 55 KT GSP ขอลด  เนื่องจากช่วงวันแม่ GSP ลด feed และจะ compensate ให้ใน Sep'17)</t>
        </r>
      </text>
    </comment>
    <comment ref="W8" authorId="0" shapeId="0" xr:uid="{00000000-0006-0000-0300-00003B000000}">
      <text>
        <r>
          <rPr>
            <b/>
            <sz val="9"/>
            <color indexed="81"/>
            <rFont val="Tahoma"/>
            <family val="2"/>
          </rPr>
          <t xml:space="preserve">SAOWANI DETJAREANSRI:
rev 0 = 53 (nom plan)
rev1 = 54 (compensate 1 Km3 จากที่เดือน ส.ค. 60 GSP ขอลดไป เนื่องจากช่วงวันแม่ GSP ลด feed)
 </t>
        </r>
      </text>
    </comment>
    <comment ref="Z8" authorId="0" shapeId="0" xr:uid="{00000000-0006-0000-0300-00003C000000}">
      <text>
        <r>
          <rPr>
            <b/>
            <sz val="9"/>
            <color indexed="81"/>
            <rFont val="Tahoma"/>
            <family val="2"/>
          </rPr>
          <t>SAOWANI DETJAREANSRI:</t>
        </r>
        <r>
          <rPr>
            <sz val="9"/>
            <color indexed="81"/>
            <rFont val="Tahoma"/>
            <family val="2"/>
          </rPr>
          <t xml:space="preserve">
ROC ไม่อยากให้เกิน max meter ที่ prove ไว้ 48 T/hr</t>
        </r>
      </text>
    </comment>
    <comment ref="AM8" authorId="0" shapeId="0" xr:uid="{00000000-0006-0000-0300-00003D000000}">
      <text>
        <r>
          <rPr>
            <b/>
            <sz val="9"/>
            <color indexed="81"/>
            <rFont val="Tahoma"/>
            <family val="2"/>
          </rPr>
          <t>SAOWANI DETJAREANSRI:</t>
        </r>
        <r>
          <rPr>
            <sz val="9"/>
            <color indexed="81"/>
            <rFont val="Tahoma"/>
            <family val="2"/>
          </rPr>
          <t xml:space="preserve">
rev0 = 55 km3
</t>
        </r>
      </text>
    </comment>
    <comment ref="AO8" authorId="0" shapeId="0" xr:uid="{00000000-0006-0000-0300-00003E000000}">
      <text>
        <r>
          <rPr>
            <b/>
            <sz val="9"/>
            <color indexed="81"/>
            <rFont val="Tahoma"/>
            <family val="2"/>
          </rPr>
          <t>SAOWANI DETJAREANSRI:</t>
        </r>
        <r>
          <rPr>
            <sz val="9"/>
            <color indexed="81"/>
            <rFont val="Tahoma"/>
            <family val="2"/>
          </rPr>
          <t xml:space="preserve">
rev0 = 54 Km3
rev1 = 55 Km3 เพื่อ balance inv GSP</t>
        </r>
      </text>
    </comment>
    <comment ref="AU8" authorId="1" shapeId="0" xr:uid="{00000000-0006-0000-0300-00003F000000}">
      <text>
        <r>
          <rPr>
            <b/>
            <sz val="9"/>
            <color indexed="81"/>
            <rFont val="Tahoma"/>
            <family val="2"/>
          </rPr>
          <t>Quantumuser
Rev0 = 53 Km3
Rev1 = 51.5 Km3 เนื่องจาก GSP RY วันที่ 10 ก.ย. 62 มีงาน overhaul valve NGL เนื่องจากมี วาล์ลติดขัดเลยจะทำการเปลี่ยน ส่งผลให้ต้องหยุดส่งลูกค้า 2 เจ้า 1 วัน
ROC. ไม่สามารถจ่ายคืนได้เพราะ max meter  แจ้งลูกค้ารับทราบแล้ว ทำให้ vol เดือนอยู่ 51.5 km3.</t>
        </r>
      </text>
    </comment>
    <comment ref="AY8" authorId="1" shapeId="0" xr:uid="{00000000-0006-0000-0300-000040000000}">
      <text>
        <r>
          <rPr>
            <b/>
            <sz val="9"/>
            <color indexed="81"/>
            <rFont val="Tahoma"/>
            <family val="2"/>
          </rPr>
          <t>Quantumuser:</t>
        </r>
        <r>
          <rPr>
            <sz val="9"/>
            <color indexed="81"/>
            <rFont val="Tahoma"/>
            <family val="2"/>
          </rPr>
          <t xml:space="preserve">
rev0 = 53 km3
rev1 = 55 km3</t>
        </r>
      </text>
    </comment>
    <comment ref="BC8" authorId="2" shapeId="0" xr:uid="{00000000-0006-0000-0300-000041000000}">
      <text>
        <r>
          <rPr>
            <b/>
            <sz val="9"/>
            <color indexed="81"/>
            <rFont val="Tahoma"/>
            <family val="2"/>
          </rPr>
          <t>Windows User:</t>
        </r>
        <r>
          <rPr>
            <sz val="9"/>
            <color indexed="81"/>
            <rFont val="Tahoma"/>
            <family val="2"/>
          </rPr>
          <t xml:space="preserve">
rev0 = 43.6 Km3
</t>
        </r>
      </text>
    </comment>
    <comment ref="BD8" authorId="2" shapeId="0" xr:uid="{00000000-0006-0000-0300-000042000000}">
      <text>
        <r>
          <rPr>
            <b/>
            <sz val="9"/>
            <color indexed="81"/>
            <rFont val="Tahoma"/>
            <family val="2"/>
          </rPr>
          <t>Windows User:</t>
        </r>
        <r>
          <rPr>
            <sz val="9"/>
            <color indexed="81"/>
            <rFont val="Tahoma"/>
            <family val="2"/>
          </rPr>
          <t xml:space="preserve">
53.3 Km3 (Spot MOP'J - 34.5)</t>
        </r>
      </text>
    </comment>
    <comment ref="BE8" authorId="2" shapeId="0" xr:uid="{00000000-0006-0000-0300-000043000000}">
      <text>
        <r>
          <rPr>
            <b/>
            <sz val="9"/>
            <color indexed="81"/>
            <rFont val="Tahoma"/>
            <family val="2"/>
          </rPr>
          <t>Windows User:</t>
        </r>
        <r>
          <rPr>
            <sz val="9"/>
            <color indexed="81"/>
            <rFont val="Tahoma"/>
            <family val="2"/>
          </rPr>
          <t xml:space="preserve">
rev0 = 55 Km3 (30 Km3 normal price + 25 Km3 Spot MOP'J - 30)
rev1 = 58.858 Km3 (30 Km3 normal price + 30 up  Km3 Spot MOP'J - 30)</t>
        </r>
      </text>
    </comment>
    <comment ref="BI8" authorId="2" shapeId="0" xr:uid="{00000000-0006-0000-0300-000044000000}">
      <text>
        <r>
          <rPr>
            <b/>
            <sz val="9"/>
            <color indexed="81"/>
            <rFont val="Tahoma"/>
            <family val="2"/>
          </rPr>
          <t>Windows User:</t>
        </r>
        <r>
          <rPr>
            <sz val="9"/>
            <color indexed="81"/>
            <rFont val="Tahoma"/>
            <family val="2"/>
          </rPr>
          <t xml:space="preserve">
rev0 = 42.22 Km3
rev1 = 40 Km3
</t>
        </r>
      </text>
    </comment>
    <comment ref="BJ8" authorId="2" shapeId="0" xr:uid="{00000000-0006-0000-0300-000045000000}">
      <text>
        <r>
          <rPr>
            <b/>
            <sz val="9"/>
            <color indexed="81"/>
            <rFont val="Tahoma"/>
            <family val="2"/>
          </rPr>
          <t>Windows User:</t>
        </r>
        <r>
          <rPr>
            <sz val="9"/>
            <color indexed="81"/>
            <rFont val="Tahoma"/>
            <family val="2"/>
          </rPr>
          <t xml:space="preserve">
rev0 = 40.6 Km3
rev1 = 42.6 Km3 SCG ขอเพิ่ม</t>
        </r>
      </text>
    </comment>
    <comment ref="BK8" authorId="2" shapeId="0" xr:uid="{00000000-0006-0000-0300-000046000000}">
      <text>
        <r>
          <rPr>
            <b/>
            <sz val="9"/>
            <color indexed="81"/>
            <rFont val="Tahoma"/>
            <family val="2"/>
          </rPr>
          <t xml:space="preserve">Windows User:rev1
rev 1 = 45 Km3
</t>
        </r>
      </text>
    </comment>
    <comment ref="BQ8" authorId="2" shapeId="0" xr:uid="{00000000-0006-0000-0300-000047000000}">
      <text>
        <r>
          <rPr>
            <b/>
            <sz val="9"/>
            <color indexed="81"/>
            <rFont val="Tahoma"/>
            <family val="2"/>
          </rPr>
          <t>Windows User:</t>
        </r>
        <r>
          <rPr>
            <sz val="9"/>
            <color indexed="81"/>
            <rFont val="Tahoma"/>
            <family val="2"/>
          </rPr>
          <t xml:space="preserve">
rev0 = 33 KT
rev1 = 36.5 KT เสนอขาย SCG เพิ่ม 3.5 Km3 เนื่องจาก stabสูงกว่าแผน
rev2 = 38.00KT (25.06)  เสนอขาย SCG เพิ่ม 1.5 Km3 เนื่องจาก stabสูงกว่าแผน</t>
        </r>
      </text>
    </comment>
    <comment ref="BR8" authorId="1" shapeId="0" xr:uid="{00000000-0006-0000-0300-000048000000}">
      <text>
        <r>
          <rPr>
            <b/>
            <sz val="9"/>
            <color indexed="81"/>
            <rFont val="Tahoma"/>
            <family val="2"/>
          </rPr>
          <t>Quantumuser:</t>
        </r>
        <r>
          <rPr>
            <sz val="9"/>
            <color indexed="81"/>
            <rFont val="Tahoma"/>
            <family val="2"/>
          </rPr>
          <t xml:space="preserve">
rev0 = 43.63
rev1 = 45.95 PTT ปรับเพิ่มขาย
rev2 44.5 ptt ขอลด ก๊าซน้อย
rev3 43.5 ptt ขอลด gsp ลด load5%</t>
        </r>
      </text>
    </comment>
    <comment ref="BS8" authorId="1" shapeId="0" xr:uid="{00000000-0006-0000-0300-000049000000}">
      <text>
        <r>
          <rPr>
            <b/>
            <sz val="9"/>
            <color indexed="81"/>
            <rFont val="Tahoma"/>
            <family val="2"/>
          </rPr>
          <t xml:space="preserve">Quantumuser:
</t>
        </r>
        <r>
          <rPr>
            <sz val="9"/>
            <color indexed="81"/>
            <rFont val="Tahoma"/>
            <family val="2"/>
          </rPr>
          <t>rev0 =42.22
rev1 = 44.54 PTT ปรับเพิ่ม
rev2 = 43.54 stab มาน้อย</t>
        </r>
      </text>
    </comment>
    <comment ref="BU8" authorId="2" shapeId="0" xr:uid="{00000000-0006-0000-0300-00004A000000}">
      <text>
        <r>
          <rPr>
            <b/>
            <sz val="9"/>
            <color indexed="81"/>
            <rFont val="Tahoma"/>
            <family val="2"/>
          </rPr>
          <t>Windows User:</t>
        </r>
        <r>
          <rPr>
            <sz val="9"/>
            <color indexed="81"/>
            <rFont val="Tahoma"/>
            <family val="2"/>
          </rPr>
          <t xml:space="preserve">
rev0 = 43 Km3
rev1 = 45 Km3 SCG แจ้งขอรับเพิ่ม 
</t>
        </r>
      </text>
    </comment>
    <comment ref="K10" authorId="0" shapeId="0" xr:uid="{00000000-0006-0000-0300-00004B000000}">
      <text>
        <r>
          <rPr>
            <b/>
            <sz val="9"/>
            <color indexed="81"/>
            <rFont val="Tahoma"/>
            <family val="2"/>
          </rPr>
          <t>SAOWANI DETJAREANSRI:</t>
        </r>
        <r>
          <rPr>
            <sz val="9"/>
            <color indexed="81"/>
            <rFont val="Tahoma"/>
            <family val="2"/>
          </rPr>
          <t xml:space="preserve">
confirm Trading week ที่ 2-3 อาจจะออก ต.ค. ให้แจ้ง Trading ออก ต.ค. 59 แต่อาจจะเลื่อนเป็น ปลาย กย ถ้าของทะลัก</t>
        </r>
      </text>
    </comment>
    <comment ref="U10" authorId="0" shapeId="0" xr:uid="{00000000-0006-0000-0300-00004C000000}">
      <text>
        <r>
          <rPr>
            <b/>
            <sz val="9"/>
            <color indexed="81"/>
            <rFont val="Tahoma"/>
            <family val="2"/>
          </rPr>
          <t>SAOWANI DETJAREANSRI:</t>
        </r>
        <r>
          <rPr>
            <sz val="9"/>
            <color indexed="81"/>
            <rFont val="Tahoma"/>
            <family val="2"/>
          </rPr>
          <t xml:space="preserve">
ออก MT 1 ลำ : 2,400 m3 (ของส่งมาเก็บที่ MT ตั้งแต่ Jun'17)</t>
        </r>
      </text>
    </comment>
    <comment ref="Z10" authorId="0" shapeId="0" xr:uid="{00000000-0006-0000-0300-00004D000000}">
      <text>
        <r>
          <rPr>
            <b/>
            <sz val="9"/>
            <color indexed="81"/>
            <rFont val="Tahoma"/>
            <family val="2"/>
          </rPr>
          <t>SAOWANI DETJAREANSRI:</t>
        </r>
        <r>
          <rPr>
            <sz val="9"/>
            <color indexed="81"/>
            <rFont val="Tahoma"/>
            <family val="2"/>
          </rPr>
          <t xml:space="preserve">
Laycan 27-29 Nov'17 Dekay จาก Voyage ก่อนหน้า</t>
        </r>
      </text>
    </comment>
    <comment ref="AE10" authorId="0" shapeId="0" xr:uid="{00000000-0006-0000-0300-00004E000000}">
      <text>
        <r>
          <rPr>
            <b/>
            <sz val="9"/>
            <color indexed="81"/>
            <rFont val="Tahoma"/>
            <family val="2"/>
          </rPr>
          <t>SAOWANI DETJAREANSRI:</t>
        </r>
        <r>
          <rPr>
            <sz val="9"/>
            <color indexed="81"/>
            <rFont val="Tahoma"/>
            <family val="2"/>
          </rPr>
          <t xml:space="preserve">
***เลื่อน 
1,800 m3
Laycan 28-30 May 2018
@MT
ของมีอยู่แล้วที่ MT 2,300 m3 หัก dead stock 700 m3 เหลือ 1,550 m3 ดังนั้น GSP จึงส่ง NGL ไปเพิ่ม 780 m3 เพื่อให้พอออก 1,800 m3</t>
        </r>
      </text>
    </comment>
    <comment ref="AG10" authorId="0" shapeId="0" xr:uid="{00000000-0006-0000-0300-00004F000000}">
      <text>
        <r>
          <rPr>
            <b/>
            <sz val="9"/>
            <color indexed="81"/>
            <rFont val="Tahoma"/>
            <family val="2"/>
          </rPr>
          <t>SAOWANI DETJAREANSRI:</t>
        </r>
        <r>
          <rPr>
            <sz val="9"/>
            <color indexed="81"/>
            <rFont val="Tahoma"/>
            <family val="2"/>
          </rPr>
          <t xml:space="preserve">
20-22 July 18
PTT TANK</t>
        </r>
      </text>
    </comment>
    <comment ref="AI10" authorId="0" shapeId="0" xr:uid="{00000000-0006-0000-0300-000050000000}">
      <text>
        <r>
          <rPr>
            <b/>
            <sz val="9"/>
            <color indexed="81"/>
            <rFont val="Tahoma"/>
            <family val="2"/>
          </rPr>
          <t>SAOWANI DETJAREANSRI:</t>
        </r>
        <r>
          <rPr>
            <sz val="9"/>
            <color indexed="81"/>
            <rFont val="Tahoma"/>
            <family val="2"/>
          </rPr>
          <t xml:space="preserve">
PTT TANK</t>
        </r>
      </text>
    </comment>
    <comment ref="AJ10" authorId="0" shapeId="0" xr:uid="{00000000-0006-0000-0300-000051000000}">
      <text>
        <r>
          <rPr>
            <b/>
            <sz val="9"/>
            <color indexed="81"/>
            <rFont val="Tahoma"/>
            <family val="2"/>
          </rPr>
          <t>SAOWANI DETJAREANSRI:</t>
        </r>
        <r>
          <rPr>
            <sz val="9"/>
            <color indexed="81"/>
            <rFont val="Tahoma"/>
            <family val="2"/>
          </rPr>
          <t xml:space="preserve">
PTT TANK</t>
        </r>
      </text>
    </comment>
    <comment ref="AZ10" authorId="1" shapeId="0" xr:uid="{00000000-0006-0000-0300-000052000000}">
      <text>
        <r>
          <rPr>
            <b/>
            <sz val="9"/>
            <color indexed="81"/>
            <rFont val="Tahoma"/>
            <family val="2"/>
          </rPr>
          <t xml:space="preserve">Quantumuser:
rev 0 = 1.9 Km3
rev1 = 0.5 Km3 cancel
</t>
        </r>
      </text>
    </comment>
    <comment ref="BJ10" authorId="2" shapeId="0" xr:uid="{00000000-0006-0000-0300-000053000000}">
      <text>
        <r>
          <rPr>
            <b/>
            <sz val="9"/>
            <color indexed="81"/>
            <rFont val="Tahoma"/>
            <family val="2"/>
          </rPr>
          <t>Windows User:</t>
        </r>
        <r>
          <rPr>
            <sz val="9"/>
            <color indexed="81"/>
            <rFont val="Tahoma"/>
            <family val="2"/>
          </rPr>
          <t xml:space="preserve">
NGL Export @MT = 1.8 Km3 clear ของ MT</t>
        </r>
      </text>
    </comment>
    <comment ref="BK10" authorId="2" shapeId="0" xr:uid="{00000000-0006-0000-0300-000054000000}">
      <text>
        <r>
          <rPr>
            <b/>
            <sz val="9"/>
            <color indexed="81"/>
            <rFont val="Tahoma"/>
            <family val="2"/>
          </rPr>
          <t>Windows User:</t>
        </r>
        <r>
          <rPr>
            <sz val="9"/>
            <color indexed="81"/>
            <rFont val="Tahoma"/>
            <family val="2"/>
          </rPr>
          <t xml:space="preserve">
ส่งออก NGL to TBU 3-5 Feb
</t>
        </r>
      </text>
    </comment>
    <comment ref="BR10" authorId="1" shapeId="0" xr:uid="{00000000-0006-0000-0300-000055000000}">
      <text>
        <r>
          <rPr>
            <b/>
            <sz val="9"/>
            <color indexed="81"/>
            <rFont val="Tahoma"/>
            <family val="2"/>
          </rPr>
          <t>Quantumuser:</t>
        </r>
        <r>
          <rPr>
            <sz val="9"/>
            <color indexed="81"/>
            <rFont val="Tahoma"/>
            <family val="2"/>
          </rPr>
          <t xml:space="preserve">
ส่งไป MT เพื่อเติมเรือ เนื่องจากต้องเคลีย์ NGL คงค้าง @PTTTANK
แต่ติดปัญหาศุลกากรเรื่องจุดวัดปริมาณ ทำให้ต้องเลื่อนออกไปก่อน</t>
        </r>
      </text>
    </comment>
    <comment ref="BS10" authorId="1" shapeId="0" xr:uid="{00000000-0006-0000-0300-000056000000}">
      <text>
        <r>
          <rPr>
            <b/>
            <sz val="9"/>
            <color indexed="81"/>
            <rFont val="Tahoma"/>
            <family val="2"/>
          </rPr>
          <t>Quantumuser:</t>
        </r>
        <r>
          <rPr>
            <sz val="9"/>
            <color indexed="81"/>
            <rFont val="Tahoma"/>
            <family val="2"/>
          </rPr>
          <t xml:space="preserve">
ที่ต้องเคลีย์ NGL คงค้างที่ PTTANK ยังออกไม่ได้ แต่ต้องส่งออกแล้วตาม commit ลูกค้า จึงต้องส่งของไปเพิ่มที่ MT เติมเรือ</t>
        </r>
      </text>
    </comment>
    <comment ref="BT10" authorId="1" shapeId="0" xr:uid="{00000000-0006-0000-0300-000057000000}">
      <text>
        <r>
          <rPr>
            <b/>
            <sz val="9"/>
            <color indexed="81"/>
            <rFont val="Tahoma"/>
            <family val="2"/>
          </rPr>
          <t>Quantumuser:</t>
        </r>
        <r>
          <rPr>
            <sz val="9"/>
            <color indexed="81"/>
            <rFont val="Tahoma"/>
            <family val="2"/>
          </rPr>
          <t xml:space="preserve">
1. Project Pic need 1.1Km3 วผ ขอ within OCT, ตป วางให้ 1.45 เพราะเอาไปเติมเรือ ส่งออก PTTTANK
2. 0.3 วผ ขอเพิ่มเพราะ PIC ติด ขอเดือนนี้เลย และจะขออีก 1.2 เดือน พ.ย MT</t>
        </r>
      </text>
    </comment>
    <comment ref="BU10" authorId="1" shapeId="0" xr:uid="{00000000-0006-0000-0300-000058000000}">
      <text>
        <r>
          <rPr>
            <b/>
            <sz val="9"/>
            <color indexed="81"/>
            <rFont val="Tahoma"/>
            <family val="2"/>
          </rPr>
          <t>Quantumuser:</t>
        </r>
        <r>
          <rPr>
            <sz val="9"/>
            <color indexed="81"/>
            <rFont val="Tahoma"/>
            <family val="2"/>
          </rPr>
          <t xml:space="preserve">
วผ กำหนด vol เพื่อค้างท่อไว้ ที่ MTหลังจากนี้ต้องขายออกไม่เกิน 1 ปี
เหลือ 1.5 Km3 ค้างท่อ (check กผ.)</t>
        </r>
      </text>
    </comment>
    <comment ref="AX12" authorId="2" shapeId="0" xr:uid="{00000000-0006-0000-0300-000059000000}">
      <text>
        <r>
          <rPr>
            <b/>
            <sz val="9"/>
            <color indexed="81"/>
            <rFont val="Tahoma"/>
            <family val="2"/>
          </rPr>
          <t>Windows User:</t>
        </r>
        <r>
          <rPr>
            <sz val="9"/>
            <color indexed="81"/>
            <rFont val="Tahoma"/>
            <family val="2"/>
          </rPr>
          <t xml:space="preserve">
ห้ามเกิน 47%</t>
        </r>
      </text>
    </comment>
    <comment ref="AY12" authorId="1" shapeId="0" xr:uid="{00000000-0006-0000-0300-00005A000000}">
      <text>
        <r>
          <rPr>
            <b/>
            <sz val="9"/>
            <color indexed="81"/>
            <rFont val="Tahoma"/>
            <family val="2"/>
          </rPr>
          <t>Quantumuser:</t>
        </r>
        <r>
          <rPr>
            <sz val="9"/>
            <color indexed="81"/>
            <rFont val="Tahoma"/>
            <family val="2"/>
          </rPr>
          <t xml:space="preserve">
ไม่ควรปิดสูงกว่า 35%</t>
        </r>
      </text>
    </comment>
    <comment ref="BR12" authorId="1" shapeId="0" xr:uid="{00000000-0006-0000-0300-00005B000000}">
      <text>
        <r>
          <rPr>
            <b/>
            <sz val="9"/>
            <color indexed="81"/>
            <rFont val="Tahoma"/>
            <family val="2"/>
          </rPr>
          <t>Quantumuser:</t>
        </r>
        <r>
          <rPr>
            <sz val="9"/>
            <color indexed="81"/>
            <rFont val="Tahoma"/>
            <family val="2"/>
          </rPr>
          <t xml:space="preserve">
กผ มองว่า stab อาจเพิ่ม กลางเดือน กค คุยอีกที</t>
        </r>
      </text>
    </comment>
    <comment ref="BS12" authorId="1" shapeId="0" xr:uid="{00000000-0006-0000-0300-00005C000000}">
      <text>
        <r>
          <rPr>
            <b/>
            <sz val="9"/>
            <color indexed="81"/>
            <rFont val="Tahoma"/>
            <family val="2"/>
          </rPr>
          <t>Quantumuser:</t>
        </r>
        <r>
          <rPr>
            <sz val="9"/>
            <color indexed="81"/>
            <rFont val="Tahoma"/>
            <family val="2"/>
          </rPr>
          <t xml:space="preserve">
รายวันขอเก็บก่อน 47%</t>
        </r>
      </text>
    </comment>
  </commentList>
</comments>
</file>

<file path=xl/sharedStrings.xml><?xml version="1.0" encoding="utf-8"?>
<sst xmlns="http://schemas.openxmlformats.org/spreadsheetml/2006/main" count="684" uniqueCount="258">
  <si>
    <t>GC</t>
  </si>
  <si>
    <t>SPRC</t>
  </si>
  <si>
    <t>PTTEP (LKB)</t>
  </si>
  <si>
    <t>GSP RY</t>
  </si>
  <si>
    <t>Supply</t>
  </si>
  <si>
    <t>GSP KHM</t>
  </si>
  <si>
    <t>Demand</t>
  </si>
  <si>
    <t>Source</t>
  </si>
  <si>
    <t>Petro</t>
  </si>
  <si>
    <t>M.7</t>
  </si>
  <si>
    <t>Delivery Point</t>
  </si>
  <si>
    <t>GC (C3/LPG)</t>
  </si>
  <si>
    <t>HMC (C3)</t>
  </si>
  <si>
    <t>PTTAC (C3)</t>
  </si>
  <si>
    <t>MT</t>
  </si>
  <si>
    <t>SGP</t>
  </si>
  <si>
    <t>UGP</t>
  </si>
  <si>
    <t>BCP</t>
  </si>
  <si>
    <t>Big gas</t>
  </si>
  <si>
    <t>PTT TANK</t>
  </si>
  <si>
    <t>PTTOR</t>
  </si>
  <si>
    <t xml:space="preserve">BRP </t>
  </si>
  <si>
    <t>PTT TANK (Truck)</t>
  </si>
  <si>
    <t>PAP</t>
  </si>
  <si>
    <t>WP</t>
  </si>
  <si>
    <t xml:space="preserve">SPRC </t>
  </si>
  <si>
    <t>PTTEP/LKB (Truck)</t>
  </si>
  <si>
    <t xml:space="preserve">PTTEP/LKB </t>
  </si>
  <si>
    <t>IRPC</t>
  </si>
  <si>
    <t>ESSO</t>
  </si>
  <si>
    <t>Customer</t>
  </si>
  <si>
    <t>Total Supply</t>
  </si>
  <si>
    <t>Supply Source</t>
  </si>
  <si>
    <t>Updated</t>
  </si>
  <si>
    <t>Old</t>
  </si>
  <si>
    <t>Lastest</t>
  </si>
  <si>
    <t>Demand Petro</t>
  </si>
  <si>
    <t>Petro M.7</t>
  </si>
  <si>
    <t>Petro Non M.7</t>
  </si>
  <si>
    <t>GC+ROC</t>
  </si>
  <si>
    <t>HMC+PTTAC</t>
  </si>
  <si>
    <t>% Inventory</t>
  </si>
  <si>
    <t>Diff</t>
  </si>
  <si>
    <t>KT</t>
  </si>
  <si>
    <t>TON</t>
  </si>
  <si>
    <t>%</t>
  </si>
  <si>
    <t>Import</t>
  </si>
  <si>
    <t>รอจำหน่าย</t>
  </si>
  <si>
    <t>BRP</t>
  </si>
  <si>
    <t>Total Demand</t>
  </si>
  <si>
    <t>PTTOR (C3)</t>
  </si>
  <si>
    <t>ดึง Unknow untax</t>
  </si>
  <si>
    <t>UNO</t>
  </si>
  <si>
    <t>NGL (km3)</t>
  </si>
  <si>
    <t>Km3</t>
  </si>
  <si>
    <t>Supply (IN)</t>
  </si>
  <si>
    <t>Demand (OUT)</t>
  </si>
  <si>
    <t xml:space="preserve">PTTGC (km3) </t>
  </si>
  <si>
    <t>ALT</t>
  </si>
  <si>
    <t>Export RY</t>
  </si>
  <si>
    <t>-</t>
  </si>
  <si>
    <t>Inventory</t>
  </si>
  <si>
    <t>End Inventory (m3)</t>
  </si>
  <si>
    <t>End Inventory (%)</t>
  </si>
  <si>
    <t>Surplus/Deficit</t>
  </si>
  <si>
    <t>Total Petro</t>
  </si>
  <si>
    <t>Non M.7</t>
  </si>
  <si>
    <t>PTTGC (kTON)</t>
  </si>
  <si>
    <t>ROC</t>
  </si>
  <si>
    <t>NGL 2019</t>
  </si>
  <si>
    <t>MOP'J-15.5</t>
  </si>
  <si>
    <t>MOP'J-12</t>
  </si>
  <si>
    <t>Unit</t>
  </si>
  <si>
    <t>LPG</t>
  </si>
  <si>
    <t>10-15 KT</t>
  </si>
  <si>
    <t>ดึง Import จ่ายเพิ่ม</t>
  </si>
  <si>
    <t>Import จ่ายแทน GSP</t>
  </si>
  <si>
    <t>8-12 KT</t>
  </si>
  <si>
    <t>Ability 11 rev0</t>
  </si>
  <si>
    <t>Ability 11 rev0 (stab 600)</t>
  </si>
  <si>
    <t>Orchid</t>
  </si>
  <si>
    <t>(LPG GSP to MT,BRP)-GC-import</t>
  </si>
  <si>
    <t>LPG limit @MT/BRP 184 KT</t>
  </si>
  <si>
    <t>เพื่อดูไฟล์ Daily LPG GSP to MT/BRP/PTT TANK</t>
  </si>
  <si>
    <t>เพื่อดู Limit max cap ท่อ</t>
  </si>
  <si>
    <t>PTTOR (LPG ไม่มีกลิ่น)</t>
  </si>
  <si>
    <t>เพื่อใส่ใน New balance</t>
  </si>
  <si>
    <t>เพื่อดู การเสนอราคา import to PTTOR</t>
  </si>
  <si>
    <t>Import Cargo</t>
  </si>
  <si>
    <t>MT+BRP</t>
  </si>
  <si>
    <t xml:space="preserve">Supply </t>
  </si>
  <si>
    <t>GSP RY Production</t>
  </si>
  <si>
    <t>GC Production</t>
  </si>
  <si>
    <t>แผนขาย Petro</t>
  </si>
  <si>
    <t>จ่าย Domestic</t>
  </si>
  <si>
    <t>- PTT Tank</t>
  </si>
  <si>
    <t>- MT&amp;BRP (Vary)</t>
  </si>
  <si>
    <t>- GSP RY</t>
  </si>
  <si>
    <t>รอขายเพิ่ม</t>
  </si>
  <si>
    <t>GSP RY Ending Inventory</t>
  </si>
  <si>
    <t>MT&amp;BRP</t>
  </si>
  <si>
    <t>GSP</t>
  </si>
  <si>
    <t xml:space="preserve">- GSP ดึงจ่าย import </t>
  </si>
  <si>
    <t>- Re-Export</t>
  </si>
  <si>
    <t xml:space="preserve">Domestic </t>
  </si>
  <si>
    <t>Re-Export</t>
  </si>
  <si>
    <t>BRP Ending Inventory</t>
  </si>
  <si>
    <t xml:space="preserve">LR by Legal </t>
  </si>
  <si>
    <t>LR by Internal Control</t>
  </si>
  <si>
    <t>MT-Sphere Ending Inventory</t>
  </si>
  <si>
    <t>MT-C3 Refig Ending Inventory</t>
  </si>
  <si>
    <t>MT-C4 Refig Ending Inventory</t>
  </si>
  <si>
    <t>MT-C3 Refig Ending Inventory (LIFE)</t>
  </si>
  <si>
    <t>MT-C4 Refig Ending Inventory (LIFE)</t>
  </si>
  <si>
    <t>SCG</t>
  </si>
  <si>
    <t>MOP'J-12.5</t>
  </si>
  <si>
    <t>NGL 2020</t>
  </si>
  <si>
    <t>LPG GSP RY + KHM (156 + 5%) 161 KT</t>
  </si>
  <si>
    <t>GC (C3)</t>
  </si>
  <si>
    <t>SCG (C3)</t>
  </si>
  <si>
    <t>SCG/ROC (LPG)</t>
  </si>
  <si>
    <t>SUM</t>
  </si>
  <si>
    <t>Balance C3</t>
  </si>
  <si>
    <t>Balance LPG</t>
  </si>
  <si>
    <t>Balance C3/LPG</t>
  </si>
  <si>
    <t>C3 End Inventory</t>
  </si>
  <si>
    <t>LPG End Inventory</t>
  </si>
  <si>
    <t>C3/LPG End Inventory</t>
  </si>
  <si>
    <t>C3/LPG GSP RY</t>
  </si>
  <si>
    <t>C3 GSP RY</t>
  </si>
  <si>
    <t>LPG GSP RY</t>
  </si>
  <si>
    <t>% C3/LPG Inventory</t>
  </si>
  <si>
    <t xml:space="preserve">Balance C3 (Directly) --&gt; (-) ผลิตน้อยกว่าขาย </t>
  </si>
  <si>
    <t>Check</t>
  </si>
  <si>
    <t>GC (LPG)</t>
  </si>
  <si>
    <t>จำนวนวัน</t>
  </si>
  <si>
    <t>All Source</t>
  </si>
  <si>
    <t xml:space="preserve">Total Demand Petro + M.7 </t>
  </si>
  <si>
    <t>All Delivery Point</t>
  </si>
  <si>
    <t>All</t>
  </si>
  <si>
    <t>Demand M.7</t>
  </si>
  <si>
    <t>Demand Petro + M.7</t>
  </si>
  <si>
    <t>All Refinery</t>
  </si>
  <si>
    <t>M.7 C3+LPG Total Demand</t>
  </si>
  <si>
    <t>M.7 LPG Total Demand</t>
  </si>
  <si>
    <t>หน้า GSP RY</t>
  </si>
  <si>
    <r>
      <rPr>
        <b/>
        <sz val="11"/>
        <color theme="1"/>
        <rFont val="Calibri"/>
        <family val="2"/>
        <scheme val="minor"/>
      </rPr>
      <t>PTTOR</t>
    </r>
    <r>
      <rPr>
        <sz val="11"/>
        <color theme="1"/>
        <rFont val="Calibri"/>
        <family val="2"/>
        <scheme val="minor"/>
      </rPr>
      <t xml:space="preserve"> C3+LPG Total Demand</t>
    </r>
  </si>
  <si>
    <r>
      <t xml:space="preserve">M.7 </t>
    </r>
    <r>
      <rPr>
        <b/>
        <sz val="11"/>
        <color theme="1"/>
        <rFont val="Calibri"/>
        <family val="2"/>
        <scheme val="minor"/>
      </rPr>
      <t xml:space="preserve">LPG Total Demand </t>
    </r>
  </si>
  <si>
    <r>
      <rPr>
        <b/>
        <sz val="11"/>
        <color theme="1"/>
        <rFont val="Calibri"/>
        <family val="2"/>
        <scheme val="minor"/>
      </rPr>
      <t xml:space="preserve">WP </t>
    </r>
    <r>
      <rPr>
        <sz val="11"/>
        <color theme="1"/>
        <rFont val="Calibri"/>
        <family val="2"/>
        <scheme val="minor"/>
      </rPr>
      <t>LPG Total Demand</t>
    </r>
  </si>
  <si>
    <r>
      <rPr>
        <b/>
        <sz val="11"/>
        <color theme="1"/>
        <rFont val="Calibri"/>
        <family val="2"/>
        <scheme val="minor"/>
      </rPr>
      <t xml:space="preserve">PAP </t>
    </r>
    <r>
      <rPr>
        <sz val="11"/>
        <color theme="1"/>
        <rFont val="Calibri"/>
        <family val="2"/>
        <scheme val="minor"/>
      </rPr>
      <t>LPG Total Demand</t>
    </r>
  </si>
  <si>
    <r>
      <rPr>
        <b/>
        <sz val="11"/>
        <color theme="1"/>
        <rFont val="Calibri"/>
        <family val="2"/>
        <scheme val="minor"/>
      </rPr>
      <t xml:space="preserve">SGP+UGP </t>
    </r>
    <r>
      <rPr>
        <sz val="11"/>
        <color theme="1"/>
        <rFont val="Calibri"/>
        <family val="2"/>
        <scheme val="minor"/>
      </rPr>
      <t>LPG Total Demand</t>
    </r>
  </si>
  <si>
    <t>% Inventory (&lt;30% จจ. พิจารณาดึง import แทน C3 Cross to LPG)</t>
  </si>
  <si>
    <t>MT ก่อนหัก import</t>
  </si>
  <si>
    <t>SPRC+EP+KHM</t>
  </si>
  <si>
    <r>
      <rPr>
        <b/>
        <sz val="8"/>
        <color theme="0" tint="-0.499984740745262"/>
        <rFont val="Calibri"/>
        <family val="2"/>
        <scheme val="minor"/>
      </rPr>
      <t>PTTOR</t>
    </r>
    <r>
      <rPr>
        <sz val="8"/>
        <color theme="0" tint="-0.499984740745262"/>
        <rFont val="Calibri"/>
        <family val="2"/>
        <scheme val="minor"/>
      </rPr>
      <t xml:space="preserve"> C3+LPG หัก C3 Truck/Ordourant</t>
    </r>
  </si>
  <si>
    <t>SUM Y2021</t>
  </si>
  <si>
    <t>Chevron</t>
  </si>
  <si>
    <r>
      <rPr>
        <b/>
        <sz val="11"/>
        <color theme="1"/>
        <rFont val="Calibri"/>
        <family val="2"/>
        <scheme val="minor"/>
      </rPr>
      <t xml:space="preserve">Chevron </t>
    </r>
    <r>
      <rPr>
        <sz val="11"/>
        <color theme="1"/>
        <rFont val="Calibri"/>
        <family val="2"/>
        <scheme val="minor"/>
      </rPr>
      <t>LPG Total Demand</t>
    </r>
  </si>
  <si>
    <t>เสนอ import OR (+)</t>
  </si>
  <si>
    <t>Atlas</t>
  </si>
  <si>
    <r>
      <rPr>
        <b/>
        <sz val="11"/>
        <color theme="1"/>
        <rFont val="Calibri"/>
        <family val="2"/>
        <scheme val="minor"/>
      </rPr>
      <t xml:space="preserve">BCP </t>
    </r>
    <r>
      <rPr>
        <sz val="11"/>
        <color theme="1"/>
        <rFont val="Calibri"/>
        <family val="2"/>
        <scheme val="minor"/>
      </rPr>
      <t>LPG Total Demand</t>
    </r>
  </si>
  <si>
    <r>
      <rPr>
        <b/>
        <sz val="11"/>
        <color theme="1"/>
        <rFont val="Calibri"/>
        <family val="2"/>
        <scheme val="minor"/>
      </rPr>
      <t xml:space="preserve">Big Gas </t>
    </r>
    <r>
      <rPr>
        <sz val="11"/>
        <color theme="1"/>
        <rFont val="Calibri"/>
        <family val="2"/>
        <scheme val="minor"/>
      </rPr>
      <t>LPG Total Demand</t>
    </r>
  </si>
  <si>
    <r>
      <rPr>
        <b/>
        <sz val="11"/>
        <color theme="1"/>
        <rFont val="Calibri"/>
        <family val="2"/>
        <scheme val="minor"/>
      </rPr>
      <t xml:space="preserve">Atlas </t>
    </r>
    <r>
      <rPr>
        <sz val="11"/>
        <color theme="1"/>
        <rFont val="Calibri"/>
        <family val="2"/>
        <scheme val="minor"/>
      </rPr>
      <t>LPG Total Demand</t>
    </r>
  </si>
  <si>
    <t>Term import</t>
  </si>
  <si>
    <t>GSP need</t>
  </si>
  <si>
    <t>GSP C2 Production</t>
  </si>
  <si>
    <t>Ton/hr.</t>
  </si>
  <si>
    <t>Low CO2 (ETU 65 Ton/hr.)</t>
  </si>
  <si>
    <t>Standard Rate</t>
  </si>
  <si>
    <t>Allocate ลดลงตามสัดส่วน</t>
  </si>
  <si>
    <t>C2 GC</t>
  </si>
  <si>
    <t>C2 SCG</t>
  </si>
  <si>
    <t xml:space="preserve">Diff New - Old </t>
  </si>
  <si>
    <t>Allo C2 Low CO2 to SCG</t>
  </si>
  <si>
    <t>Allo C2 Low CO2 to GC</t>
  </si>
  <si>
    <t>Allo C2 High CO2 to GC</t>
  </si>
  <si>
    <t>SCG (Sum C3)</t>
  </si>
  <si>
    <t>MOC (Sub C3)</t>
  </si>
  <si>
    <t>C3 import</t>
  </si>
  <si>
    <t>Ton/day</t>
  </si>
  <si>
    <t>MT (หัก import แล้ว)</t>
  </si>
  <si>
    <t>PTTAC (C3 Spot)</t>
  </si>
  <si>
    <t>LPG Petro Tank capacity (11,502 TON)</t>
  </si>
  <si>
    <t>LPG Petro End Inventory</t>
  </si>
  <si>
    <t>% LPG Petro Inventory (&gt;30%)</t>
  </si>
  <si>
    <t>Balance LPG Dom</t>
  </si>
  <si>
    <t>LPG Dom End Inventory</t>
  </si>
  <si>
    <t>% LPG Dom Inventory (&gt;30%)</t>
  </si>
  <si>
    <t>LPG Tank capacity (36,655.2 TON)</t>
  </si>
  <si>
    <t>C3 Tank capacity (10,820.4 TON)</t>
  </si>
  <si>
    <t>LPG Dom Tank capacity (25,153.2 TON)</t>
  </si>
  <si>
    <t>C3/LPG Tank capacity (47,475.6 TON)</t>
  </si>
  <si>
    <t>LPG GSP RY - Petro</t>
  </si>
  <si>
    <t>LPG GSP RY - Dom</t>
  </si>
  <si>
    <t>LPG Petro Cross to LPG Dom</t>
  </si>
  <si>
    <t>GSP C2 Low CO2 Production &lt; 65 Ton/hr.</t>
  </si>
  <si>
    <t>Total C2 to GC</t>
  </si>
  <si>
    <t xml:space="preserve">Balance Total C2 </t>
  </si>
  <si>
    <t>Balance C2 Low CO2</t>
  </si>
  <si>
    <t>Total Allo to GC</t>
  </si>
  <si>
    <t>C3 Import to SCG</t>
  </si>
  <si>
    <t>C2 Low CO2 to SCG</t>
  </si>
  <si>
    <t>น้ำเงิน</t>
  </si>
  <si>
    <t>แดง</t>
  </si>
  <si>
    <t>Tentative</t>
  </si>
  <si>
    <t>ลูกค้า OK</t>
  </si>
  <si>
    <t>Balance LPG Petro (ประมาณ 54 KT check เดือนต่อเดือน)</t>
  </si>
  <si>
    <t>Since Jul'21 วาง max 15 Ton/hr. แล้วตัดตามอัตราส่วน</t>
  </si>
  <si>
    <t>Cross to LPG (normal cross C3 to aerosol 1,000 Ton/เดือน)</t>
  </si>
  <si>
    <t>SCG Demand (Updated on 31/5/64)</t>
  </si>
  <si>
    <t>ข้อมูลจาก เมย์ ending month</t>
  </si>
  <si>
    <t>วางให้ถูกเดือน / ปี</t>
  </si>
  <si>
    <t>Total C2 (Ability 7rev0_2June'21)</t>
  </si>
  <si>
    <r>
      <t>ROC</t>
    </r>
    <r>
      <rPr>
        <sz val="8"/>
        <color theme="1"/>
        <rFont val="Calibri"/>
        <family val="2"/>
        <scheme val="minor"/>
      </rPr>
      <t xml:space="preserve"> (max meter 48 T/hr.)72 m3/hr)--&gt; </t>
    </r>
    <r>
      <rPr>
        <sz val="8"/>
        <color rgb="FFFF0000"/>
        <rFont val="Calibri"/>
        <family val="2"/>
        <scheme val="minor"/>
      </rPr>
      <t>38 T/hr.</t>
    </r>
  </si>
  <si>
    <t>ม่วง</t>
  </si>
  <si>
    <t>ลูกค้า confirm รอ offical mail</t>
  </si>
  <si>
    <t>ไม่ต่ำกว่า 50% ไม่เกิน 85%</t>
  </si>
  <si>
    <t>Old plan</t>
  </si>
  <si>
    <t>Ac unit rate</t>
  </si>
  <si>
    <t>SUM Y2022</t>
  </si>
  <si>
    <t>C3 รายย้อน</t>
  </si>
  <si>
    <t>GC group ที่ต้องลดขาย</t>
  </si>
  <si>
    <t>Import C3</t>
  </si>
  <si>
    <t>Import C4</t>
  </si>
  <si>
    <t>Actual</t>
  </si>
  <si>
    <t>Actual + Est</t>
  </si>
  <si>
    <t>Est</t>
  </si>
  <si>
    <t>C3 to Petro</t>
  </si>
  <si>
    <t>Dom</t>
  </si>
  <si>
    <r>
      <t xml:space="preserve">Closing stock @GSP+MT+BRP (LR) </t>
    </r>
    <r>
      <rPr>
        <b/>
        <sz val="10"/>
        <rFont val="Calibri"/>
        <family val="2"/>
        <scheme val="minor"/>
      </rPr>
      <t>(min กม. 22.03 KT/ internal LR 39.03 KT) 37.6 /54.6</t>
    </r>
  </si>
  <si>
    <t>22/22</t>
  </si>
  <si>
    <t>Import Cargo to MT Port</t>
  </si>
  <si>
    <t>Import Cargo of PTT</t>
  </si>
  <si>
    <t>ตัด AC ให้ได้ตาม Unit Run</t>
  </si>
  <si>
    <t>C3 รายย้อน to SCG</t>
  </si>
  <si>
    <t>C3 รายย้อน to GC</t>
  </si>
  <si>
    <t>C3:C4 Portion</t>
  </si>
  <si>
    <t>33/11</t>
  </si>
  <si>
    <t>MT ไม่ใช่โรงผลิต ถ้าจะขายในประเทศ ลูกค้าจะต้องทำเอกสารเอง</t>
  </si>
  <si>
    <t>รายย้อน
 ห้ามเกิน 75 KT/month</t>
  </si>
  <si>
    <t>Check ห้ามเกิน 75 KT/m (ห้ามติดลบ)</t>
  </si>
  <si>
    <t>Check ห้ามเกิน 120 KT/m</t>
  </si>
  <si>
    <t xml:space="preserve">Dec'22 GC ลดรับ C2 </t>
  </si>
  <si>
    <t>BRP (หัก import แล้ว)</t>
  </si>
  <si>
    <t>หักรายย้อนแล้ว</t>
  </si>
  <si>
    <t>- ดึง Import ขาย Re-Export to TBU (Vessel)</t>
  </si>
  <si>
    <t>- ดึง Import ขาย Re-Export to OR (Vessel)</t>
  </si>
  <si>
    <t>- ดึง Import ขาย Re-Export to OR (Truck)</t>
  </si>
  <si>
    <t>Ability 12rev4_22Nov'21 clear 27</t>
  </si>
  <si>
    <t>Total C2 (Ability 12rev4_22Nov'21 clear27)</t>
  </si>
  <si>
    <t>Ability 12rev4_22Nov'21 clear27</t>
  </si>
  <si>
    <t>Closing stock @GSP+MT+BRP (LR)</t>
  </si>
  <si>
    <t>Balance Stock (GSP RY+MT+BRP)</t>
  </si>
  <si>
    <t xml:space="preserve">หากเกิกเหตุยึด SCG ตาม Nomination </t>
  </si>
  <si>
    <t>ตัด GC เท่านั้น</t>
  </si>
  <si>
    <t>Total C2 (Ability 12rev5_23Nov'21)</t>
  </si>
  <si>
    <t>Ability 12rev5_23Nov'21</t>
  </si>
  <si>
    <t>GSP RY (Truck)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</si>
</sst>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8">
    <numFmt numFmtId="6" formatCode="&quot;$&quot;#,##0_);[Red]\(&quot;$&quot;#,##0\)"/>
    <numFmt numFmtId="8" formatCode="&quot;$&quot;#,##0.00_);[Red]\(&quot;$&quot;#,##0.00\)"/>
    <numFmt numFmtId="41" formatCode="_(* #,##0_);_(* \(#,##0\);_(* &quot;-&quot;_);_(@_)"/>
    <numFmt numFmtId="43" formatCode="_(* #,##0.00_);_(* \(#,##0.00\);_(* &quot;-&quot;??_);_(@_)"/>
    <numFmt numFmtId="164" formatCode="&quot;฿&quot;#,##0_);\(&quot;฿&quot;#,##0\)"/>
    <numFmt numFmtId="165" formatCode="&quot;฿&quot;#,##0_);[Red]\(&quot;฿&quot;#,##0\)"/>
    <numFmt numFmtId="166" formatCode="_(&quot;฿&quot;* #,##0_);_(&quot;฿&quot;* \(#,##0\);_(&quot;฿&quot;* &quot;-&quot;_);_(@_)"/>
    <numFmt numFmtId="167" formatCode="_(&quot;฿&quot;* #,##0.00_);_(&quot;฿&quot;* \(#,##0.00\);_(&quot;฿&quot;* &quot;-&quot;??_);_(@_)"/>
    <numFmt numFmtId="168" formatCode="B1mmm\-yy"/>
    <numFmt numFmtId="169" formatCode="_-* #,##0.0_-;\-* #,##0.0_-;_-* &quot;-&quot;??_-;_-@_-"/>
    <numFmt numFmtId="170" formatCode="B1d\-mmm"/>
    <numFmt numFmtId="171" formatCode="_-* #,##0_-;\-* #,##0_-;_-* &quot;-&quot;??_-;_-@_-"/>
    <numFmt numFmtId="172" formatCode="_(* #,##0_);_(* \(#,##0\);_(* &quot;-&quot;??_);_(@_)"/>
    <numFmt numFmtId="173" formatCode="_(* #,##0.0_);_(* \(#,##0.0\);_(* &quot;-&quot;??_);_(@_)"/>
    <numFmt numFmtId="174" formatCode="0.0"/>
    <numFmt numFmtId="175" formatCode="0.00_)"/>
    <numFmt numFmtId="176" formatCode="0.00000_)"/>
    <numFmt numFmtId="177" formatCode="0000"/>
    <numFmt numFmtId="178" formatCode="&quot;฿&quot;##,#00_);\(&quot;฿&quot;##,#00\)"/>
    <numFmt numFmtId="179" formatCode="#,##0.000000"/>
    <numFmt numFmtId="180" formatCode="\t#,##0.00_);\(\t#,##0.00\)"/>
    <numFmt numFmtId="181" formatCode="#,##0.0;[Red]\(#,##0.0\)"/>
    <numFmt numFmtId="182" formatCode="#,##0;\(#,##0\)"/>
    <numFmt numFmtId="183" formatCode="&quot;$&quot;#,##0.0_);\(&quot;$&quot;#,##0.0\)"/>
    <numFmt numFmtId="184" formatCode="&quot;$&quot;#,##0.0"/>
    <numFmt numFmtId="185" formatCode="General_)"/>
    <numFmt numFmtId="186" formatCode="&quot;?&quot;#,##0.0;\(&quot;?&quot;#,##0.0\)"/>
    <numFmt numFmtId="187" formatCode="#,##0\ \d\a\y\s"/>
    <numFmt numFmtId="188" formatCode="#,##0\ \m\o\n\t\h"/>
    <numFmt numFmtId="189" formatCode="[$-409]mmmm\ yyyy;@"/>
    <numFmt numFmtId="190" formatCode="[$-409]dd/mmm/yy;@"/>
    <numFmt numFmtId="191" formatCode="[$-409]mmm\-yy;@"/>
    <numFmt numFmtId="192" formatCode="yyyy"/>
    <numFmt numFmtId="193" formatCode="#,##0\ \y\r."/>
    <numFmt numFmtId="194" formatCode="_(* #,##0.0000_);_(* \(#,##0.0000\);_(* &quot;-&quot;??_);_(@_)"/>
    <numFmt numFmtId="195" formatCode="_(* #,##0.00000_);_(* \(#,##0.00000\);_(* &quot;-&quot;??_);_(@_)"/>
    <numFmt numFmtId="196" formatCode="_-* #,##0.000_-;\-* #,##0.000_-;_-* &quot;-&quot;??_-;_-@_-"/>
    <numFmt numFmtId="197" formatCode="_(* #,##0.000_);_(* \(#,##0.000\);_(* &quot;-&quot;??_);_(@_)"/>
  </numFmts>
  <fonts count="195">
    <font>
      <sz val="11"/>
      <color theme="1"/>
      <name val="Calibri"/>
      <family val="2"/>
      <charset val="222"/>
      <scheme val="minor"/>
    </font>
    <font>
      <sz val="11"/>
      <color theme="1"/>
      <name val="Calibri"/>
      <family val="2"/>
      <scheme val="minor"/>
    </font>
    <font>
      <sz val="16"/>
      <color theme="1"/>
      <name val="Tahoma"/>
      <family val="2"/>
      <charset val="222"/>
    </font>
    <font>
      <sz val="11"/>
      <color theme="1"/>
      <name val="Calibri"/>
      <family val="2"/>
      <charset val="222"/>
      <scheme val="minor"/>
    </font>
    <font>
      <sz val="11"/>
      <color rgb="FFFF0000"/>
      <name val="Calibri"/>
      <family val="2"/>
      <charset val="222"/>
      <scheme val="minor"/>
    </font>
    <font>
      <b/>
      <sz val="11"/>
      <color rgb="FFFF0000"/>
      <name val="Calibri"/>
      <family val="2"/>
      <scheme val="minor"/>
    </font>
    <font>
      <b/>
      <sz val="11"/>
      <color theme="1"/>
      <name val="Calibri"/>
      <family val="2"/>
      <scheme val="minor"/>
    </font>
    <font>
      <sz val="11"/>
      <color theme="1"/>
      <name val="Calibri"/>
      <family val="2"/>
      <scheme val="minor"/>
    </font>
    <font>
      <sz val="11"/>
      <color rgb="FF0000FF"/>
      <name val="Calibri"/>
      <family val="2"/>
      <scheme val="minor"/>
    </font>
    <font>
      <sz val="11"/>
      <name val="Calibri"/>
      <family val="2"/>
      <scheme val="minor"/>
    </font>
    <font>
      <sz val="11"/>
      <color rgb="FFFF0000"/>
      <name val="Calibri"/>
      <family val="2"/>
      <scheme val="minor"/>
    </font>
    <font>
      <sz val="11"/>
      <color theme="5" tint="-0.249977111117893"/>
      <name val="Calibri"/>
      <family val="2"/>
      <scheme val="minor"/>
    </font>
    <font>
      <sz val="11"/>
      <color theme="8" tint="-0.249977111117893"/>
      <name val="Calibri"/>
      <family val="2"/>
      <scheme val="minor"/>
    </font>
    <font>
      <sz val="11"/>
      <color rgb="FF7030A0"/>
      <name val="Calibri"/>
      <family val="2"/>
      <scheme val="minor"/>
    </font>
    <font>
      <sz val="11"/>
      <color rgb="FF00B050"/>
      <name val="Calibri"/>
      <family val="2"/>
      <scheme val="minor"/>
    </font>
    <font>
      <b/>
      <sz val="18"/>
      <color rgb="FF0000FF"/>
      <name val="Calibri"/>
      <family val="2"/>
      <scheme val="minor"/>
    </font>
    <font>
      <b/>
      <sz val="11"/>
      <color rgb="FFC00000"/>
      <name val="Calibri"/>
      <family val="2"/>
      <scheme val="minor"/>
    </font>
    <font>
      <sz val="11"/>
      <color rgb="FFC00000"/>
      <name val="Calibri"/>
      <family val="2"/>
      <charset val="222"/>
      <scheme val="minor"/>
    </font>
    <font>
      <b/>
      <sz val="11"/>
      <color theme="8" tint="-0.249977111117893"/>
      <name val="Calibri"/>
      <family val="2"/>
      <scheme val="minor"/>
    </font>
    <font>
      <b/>
      <sz val="11"/>
      <name val="Calibri"/>
      <family val="2"/>
      <scheme val="minor"/>
    </font>
    <font>
      <b/>
      <sz val="11"/>
      <color theme="0"/>
      <name val="Calibri"/>
      <family val="2"/>
      <scheme val="minor"/>
    </font>
    <font>
      <sz val="8"/>
      <color theme="1"/>
      <name val="Calibri"/>
      <family val="2"/>
      <scheme val="minor"/>
    </font>
    <font>
      <sz val="9"/>
      <color indexed="81"/>
      <name val="Tahoma"/>
      <family val="2"/>
    </font>
    <font>
      <b/>
      <sz val="9"/>
      <color indexed="81"/>
      <name val="Tahoma"/>
      <family val="2"/>
    </font>
    <font>
      <sz val="11"/>
      <color rgb="FF0000FF"/>
      <name val="Calibri"/>
      <family val="2"/>
      <charset val="222"/>
      <scheme val="minor"/>
    </font>
    <font>
      <b/>
      <sz val="8"/>
      <color theme="1"/>
      <name val="Calibri"/>
      <family val="2"/>
      <scheme val="minor"/>
    </font>
    <font>
      <sz val="11"/>
      <name val="Calibri"/>
      <family val="2"/>
      <charset val="222"/>
      <scheme val="minor"/>
    </font>
    <font>
      <b/>
      <sz val="11"/>
      <color rgb="FF0000FF"/>
      <name val="Calibri"/>
      <family val="2"/>
      <scheme val="minor"/>
    </font>
    <font>
      <b/>
      <sz val="11"/>
      <color rgb="FF0000FF"/>
      <name val="Tahoma"/>
      <family val="2"/>
    </font>
    <font>
      <b/>
      <sz val="11"/>
      <color rgb="FFFF0000"/>
      <name val="Tahoma"/>
      <family val="2"/>
    </font>
    <font>
      <b/>
      <sz val="11"/>
      <color theme="6" tint="0.59999389629810485"/>
      <name val="Tahoma"/>
      <family val="2"/>
    </font>
    <font>
      <b/>
      <sz val="11"/>
      <color rgb="FF92D050"/>
      <name val="Calibri"/>
      <family val="2"/>
      <scheme val="minor"/>
    </font>
    <font>
      <b/>
      <sz val="11"/>
      <color rgb="FFFF00FF"/>
      <name val="Calibri"/>
      <family val="2"/>
      <scheme val="minor"/>
    </font>
    <font>
      <sz val="11"/>
      <color rgb="FF00B050"/>
      <name val="Calibri"/>
      <family val="2"/>
      <charset val="222"/>
      <scheme val="minor"/>
    </font>
    <font>
      <sz val="9"/>
      <color rgb="FF0000FF"/>
      <name val="Calibri"/>
      <family val="2"/>
      <scheme val="minor"/>
    </font>
    <font>
      <b/>
      <sz val="9"/>
      <color theme="1"/>
      <name val="Calibri"/>
      <family val="2"/>
      <scheme val="minor"/>
    </font>
    <font>
      <sz val="11"/>
      <color theme="1"/>
      <name val="Arial"/>
      <family val="2"/>
      <charset val="222"/>
    </font>
    <font>
      <b/>
      <u/>
      <sz val="11"/>
      <color rgb="FFC00000"/>
      <name val="Calibri"/>
      <family val="2"/>
      <scheme val="minor"/>
    </font>
    <font>
      <b/>
      <u/>
      <sz val="11"/>
      <color rgb="FF0000FF"/>
      <name val="Calibri"/>
      <family val="2"/>
      <scheme val="minor"/>
    </font>
    <font>
      <sz val="11"/>
      <color rgb="FF00B0F0"/>
      <name val="Calibri"/>
      <family val="2"/>
      <scheme val="minor"/>
    </font>
    <font>
      <sz val="11"/>
      <color theme="5"/>
      <name val="Calibri"/>
      <family val="2"/>
      <scheme val="minor"/>
    </font>
    <font>
      <sz val="14"/>
      <name val="AngsanaUPC"/>
      <family val="1"/>
      <charset val="222"/>
    </font>
    <font>
      <sz val="10"/>
      <name val="MS Dialog Light"/>
      <family val="2"/>
    </font>
    <font>
      <sz val="12"/>
      <name val="นูลมรผ"/>
      <charset val="129"/>
    </font>
    <font>
      <sz val="14"/>
      <name val="Cordia New"/>
      <family val="2"/>
    </font>
    <font>
      <b/>
      <sz val="12"/>
      <name val="Arial"/>
      <family val="2"/>
    </font>
    <font>
      <sz val="14"/>
      <name val="CordiaUPC"/>
      <family val="2"/>
      <charset val="222"/>
    </font>
    <font>
      <b/>
      <i/>
      <sz val="16"/>
      <name val="Helv"/>
    </font>
    <font>
      <sz val="10"/>
      <name val="Arial"/>
      <family val="2"/>
    </font>
    <font>
      <b/>
      <sz val="10"/>
      <name val="Arial"/>
      <family val="2"/>
    </font>
    <font>
      <sz val="10"/>
      <color indexed="10"/>
      <name val="Arial"/>
      <family val="2"/>
    </font>
    <font>
      <sz val="8"/>
      <name val="Arial"/>
      <family val="2"/>
    </font>
    <font>
      <sz val="11"/>
      <color indexed="8"/>
      <name val="Tahoma"/>
      <family val="2"/>
    </font>
    <font>
      <sz val="11"/>
      <color indexed="9"/>
      <name val="Tahoma"/>
      <family val="2"/>
    </font>
    <font>
      <sz val="11"/>
      <color indexed="20"/>
      <name val="Tahoma"/>
      <family val="2"/>
    </font>
    <font>
      <b/>
      <sz val="11"/>
      <color indexed="52"/>
      <name val="Tahoma"/>
      <family val="2"/>
    </font>
    <font>
      <b/>
      <sz val="11"/>
      <color indexed="9"/>
      <name val="Tahoma"/>
      <family val="2"/>
    </font>
    <font>
      <sz val="14"/>
      <name val="Angsana New"/>
      <family val="1"/>
    </font>
    <font>
      <i/>
      <sz val="11"/>
      <color indexed="23"/>
      <name val="Tahoma"/>
      <family val="2"/>
    </font>
    <font>
      <sz val="11"/>
      <color indexed="17"/>
      <name val="Tahoma"/>
      <family val="2"/>
    </font>
    <font>
      <b/>
      <sz val="15"/>
      <color indexed="56"/>
      <name val="Tahoma"/>
      <family val="2"/>
    </font>
    <font>
      <b/>
      <sz val="13"/>
      <color indexed="56"/>
      <name val="Tahoma"/>
      <family val="2"/>
    </font>
    <font>
      <b/>
      <sz val="11"/>
      <color indexed="56"/>
      <name val="Tahoma"/>
      <family val="2"/>
    </font>
    <font>
      <sz val="11"/>
      <color indexed="62"/>
      <name val="Tahoma"/>
      <family val="2"/>
    </font>
    <font>
      <sz val="11"/>
      <color indexed="52"/>
      <name val="Tahoma"/>
      <family val="2"/>
    </font>
    <font>
      <sz val="11"/>
      <color indexed="60"/>
      <name val="Tahoma"/>
      <family val="2"/>
    </font>
    <font>
      <b/>
      <sz val="11"/>
      <color indexed="63"/>
      <name val="Tahoma"/>
      <family val="2"/>
    </font>
    <font>
      <b/>
      <sz val="18"/>
      <color indexed="56"/>
      <name val="Tahoma"/>
      <family val="2"/>
    </font>
    <font>
      <b/>
      <sz val="11"/>
      <color indexed="8"/>
      <name val="Tahoma"/>
      <family val="2"/>
    </font>
    <font>
      <sz val="11"/>
      <color indexed="10"/>
      <name val="Tahoma"/>
      <family val="2"/>
    </font>
    <font>
      <sz val="12"/>
      <name val="Arial"/>
      <family val="2"/>
    </font>
    <font>
      <sz val="14"/>
      <name val="Arial"/>
      <family val="2"/>
    </font>
    <font>
      <b/>
      <sz val="10"/>
      <color indexed="8"/>
      <name val="Arial"/>
      <family val="2"/>
    </font>
    <font>
      <sz val="10"/>
      <color indexed="8"/>
      <name val="Arial"/>
      <family val="2"/>
    </font>
    <font>
      <sz val="10"/>
      <name val="Tahoma"/>
      <family val="2"/>
    </font>
    <font>
      <sz val="10"/>
      <name val="Times New Roman"/>
      <family val="1"/>
    </font>
    <font>
      <sz val="10"/>
      <color indexed="39"/>
      <name val="Arial"/>
      <family val="2"/>
    </font>
    <font>
      <b/>
      <sz val="12"/>
      <color indexed="8"/>
      <name val="Arial"/>
      <family val="2"/>
    </font>
    <font>
      <b/>
      <sz val="16"/>
      <color indexed="23"/>
      <name val="Arial"/>
      <family val="2"/>
    </font>
    <font>
      <sz val="11"/>
      <color indexed="8"/>
      <name val="Calibri"/>
      <family val="2"/>
    </font>
    <font>
      <sz val="10"/>
      <name val="Courier"/>
      <family val="3"/>
    </font>
    <font>
      <sz val="16"/>
      <name val="Angsana New"/>
      <family val="1"/>
    </font>
    <font>
      <sz val="11"/>
      <color theme="1"/>
      <name val="Calibri"/>
      <family val="2"/>
      <charset val="222"/>
    </font>
    <font>
      <b/>
      <sz val="10"/>
      <name val="Tms Rmn"/>
    </font>
    <font>
      <u/>
      <sz val="9"/>
      <color theme="10"/>
      <name val="Tahoma"/>
      <family val="2"/>
    </font>
    <font>
      <u/>
      <sz val="10"/>
      <color indexed="12"/>
      <name val="Arial"/>
      <family val="2"/>
    </font>
    <font>
      <sz val="10"/>
      <name val="MS Sans Serif"/>
      <family val="2"/>
      <charset val="222"/>
    </font>
    <font>
      <sz val="7"/>
      <name val="Small Fonts"/>
      <family val="2"/>
    </font>
    <font>
      <sz val="19"/>
      <color indexed="48"/>
      <name val="Arial"/>
      <family val="2"/>
    </font>
    <font>
      <sz val="11"/>
      <color indexed="8"/>
      <name val="Calibri"/>
      <family val="2"/>
      <charset val="222"/>
    </font>
    <font>
      <sz val="11"/>
      <color indexed="9"/>
      <name val="Calibri"/>
      <family val="2"/>
      <charset val="222"/>
    </font>
    <font>
      <sz val="11"/>
      <color indexed="9"/>
      <name val="Calibri"/>
      <family val="2"/>
    </font>
    <font>
      <sz val="11"/>
      <color indexed="20"/>
      <name val="Calibri"/>
      <family val="2"/>
      <charset val="222"/>
    </font>
    <font>
      <sz val="11"/>
      <color indexed="37"/>
      <name val="Calibri"/>
      <family val="2"/>
    </font>
    <font>
      <b/>
      <sz val="11"/>
      <color indexed="52"/>
      <name val="Calibri"/>
      <family val="2"/>
      <charset val="222"/>
    </font>
    <font>
      <b/>
      <sz val="11"/>
      <color indexed="17"/>
      <name val="Calibri"/>
      <family val="2"/>
    </font>
    <font>
      <b/>
      <sz val="11"/>
      <color indexed="9"/>
      <name val="Calibri"/>
      <family val="2"/>
      <charset val="222"/>
    </font>
    <font>
      <b/>
      <sz val="11"/>
      <color indexed="9"/>
      <name val="Calibri"/>
      <family val="2"/>
    </font>
    <font>
      <sz val="11"/>
      <color indexed="8"/>
      <name val="Tahoma"/>
      <family val="2"/>
      <charset val="222"/>
    </font>
    <font>
      <b/>
      <sz val="11"/>
      <color indexed="8"/>
      <name val="Calibri"/>
      <family val="2"/>
    </font>
    <font>
      <i/>
      <sz val="11"/>
      <color indexed="23"/>
      <name val="Calibri"/>
      <family val="2"/>
      <charset val="222"/>
    </font>
    <font>
      <b/>
      <sz val="15"/>
      <color indexed="56"/>
      <name val="Calibri"/>
      <family val="2"/>
      <charset val="222"/>
    </font>
    <font>
      <b/>
      <sz val="15"/>
      <color indexed="62"/>
      <name val="Calibri"/>
      <family val="2"/>
    </font>
    <font>
      <b/>
      <sz val="13"/>
      <color indexed="56"/>
      <name val="Calibri"/>
      <family val="2"/>
      <charset val="222"/>
    </font>
    <font>
      <b/>
      <sz val="13"/>
      <color indexed="62"/>
      <name val="Calibri"/>
      <family val="2"/>
    </font>
    <font>
      <b/>
      <sz val="11"/>
      <color indexed="56"/>
      <name val="Calibri"/>
      <family val="2"/>
      <charset val="222"/>
    </font>
    <font>
      <b/>
      <sz val="11"/>
      <color indexed="62"/>
      <name val="Calibri"/>
      <family val="2"/>
    </font>
    <font>
      <u/>
      <sz val="14"/>
      <color indexed="12"/>
      <name val="Cordia New"/>
      <family val="2"/>
    </font>
    <font>
      <sz val="11"/>
      <color indexed="48"/>
      <name val="Calibri"/>
      <family val="2"/>
    </font>
    <font>
      <sz val="11"/>
      <color indexed="62"/>
      <name val="Calibri"/>
      <family val="2"/>
      <charset val="222"/>
    </font>
    <font>
      <sz val="11"/>
      <color indexed="52"/>
      <name val="Calibri"/>
      <family val="2"/>
      <charset val="222"/>
    </font>
    <font>
      <sz val="11"/>
      <color indexed="17"/>
      <name val="Calibri"/>
      <family val="2"/>
    </font>
    <font>
      <sz val="11"/>
      <color indexed="60"/>
      <name val="Calibri"/>
      <family val="2"/>
      <charset val="222"/>
    </font>
    <font>
      <sz val="14"/>
      <name val="AngsanaUPC"/>
      <family val="1"/>
    </font>
    <font>
      <b/>
      <sz val="11"/>
      <color indexed="63"/>
      <name val="Calibri"/>
      <family val="2"/>
      <charset val="222"/>
    </font>
    <font>
      <b/>
      <sz val="11"/>
      <color indexed="63"/>
      <name val="Calibri"/>
      <family val="2"/>
    </font>
    <font>
      <b/>
      <sz val="10"/>
      <color indexed="39"/>
      <name val="Arial"/>
      <family val="2"/>
    </font>
    <font>
      <sz val="8"/>
      <color indexed="62"/>
      <name val="Arial"/>
      <family val="2"/>
    </font>
    <font>
      <b/>
      <sz val="8"/>
      <color indexed="8"/>
      <name val="Arial"/>
      <family val="2"/>
    </font>
    <font>
      <b/>
      <sz val="8"/>
      <name val="Arial"/>
      <family val="2"/>
    </font>
    <font>
      <sz val="8"/>
      <color indexed="8"/>
      <name val="Arial"/>
      <family val="2"/>
    </font>
    <font>
      <sz val="19"/>
      <name val="Arial"/>
      <family val="2"/>
    </font>
    <font>
      <sz val="8"/>
      <color indexed="14"/>
      <name val="Arial"/>
      <family val="2"/>
    </font>
    <font>
      <b/>
      <sz val="18"/>
      <color indexed="62"/>
      <name val="Cambria"/>
      <family val="2"/>
    </font>
    <font>
      <b/>
      <sz val="18"/>
      <color indexed="56"/>
      <name val="Cambria"/>
      <family val="2"/>
      <charset val="222"/>
    </font>
    <font>
      <b/>
      <sz val="11"/>
      <color indexed="8"/>
      <name val="Calibri"/>
      <family val="2"/>
      <charset val="222"/>
    </font>
    <font>
      <sz val="11"/>
      <color indexed="10"/>
      <name val="Calibri"/>
      <family val="2"/>
      <charset val="222"/>
    </font>
    <font>
      <sz val="11"/>
      <color indexed="14"/>
      <name val="Calibri"/>
      <family val="2"/>
    </font>
    <font>
      <sz val="11"/>
      <color rgb="FF006100"/>
      <name val="Calibri"/>
      <family val="2"/>
      <charset val="222"/>
    </font>
    <font>
      <u/>
      <sz val="10"/>
      <color theme="10"/>
      <name val="Arial"/>
      <family val="2"/>
    </font>
    <font>
      <sz val="11"/>
      <color indexed="9"/>
      <name val="Tahoma"/>
      <family val="2"/>
      <charset val="222"/>
    </font>
    <font>
      <sz val="11"/>
      <color indexed="20"/>
      <name val="Tahoma"/>
      <family val="2"/>
      <charset val="222"/>
    </font>
    <font>
      <b/>
      <sz val="11"/>
      <color indexed="52"/>
      <name val="Tahoma"/>
      <family val="2"/>
      <charset val="222"/>
    </font>
    <font>
      <b/>
      <sz val="11"/>
      <color indexed="9"/>
      <name val="Tahoma"/>
      <family val="2"/>
      <charset val="222"/>
    </font>
    <font>
      <sz val="10"/>
      <color indexed="8"/>
      <name val="Tahoma"/>
      <family val="2"/>
    </font>
    <font>
      <sz val="12"/>
      <name val="EucrosiaUPC"/>
      <family val="1"/>
      <charset val="222"/>
    </font>
    <font>
      <sz val="8"/>
      <color indexed="17"/>
      <name val="Arial"/>
      <family val="2"/>
    </font>
    <font>
      <i/>
      <sz val="11"/>
      <color indexed="23"/>
      <name val="Tahoma"/>
      <family val="2"/>
      <charset val="222"/>
    </font>
    <font>
      <sz val="11"/>
      <color indexed="17"/>
      <name val="Tahoma"/>
      <family val="2"/>
      <charset val="222"/>
    </font>
    <font>
      <b/>
      <i/>
      <sz val="9"/>
      <name val="Arial"/>
      <family val="2"/>
    </font>
    <font>
      <b/>
      <sz val="14"/>
      <name val="Arial Black"/>
      <family val="2"/>
    </font>
    <font>
      <b/>
      <sz val="15"/>
      <color indexed="56"/>
      <name val="Tahoma"/>
      <family val="2"/>
      <charset val="222"/>
    </font>
    <font>
      <b/>
      <sz val="13"/>
      <color indexed="56"/>
      <name val="Tahoma"/>
      <family val="2"/>
      <charset val="222"/>
    </font>
    <font>
      <b/>
      <sz val="11"/>
      <color indexed="56"/>
      <name val="Tahoma"/>
      <family val="2"/>
      <charset val="222"/>
    </font>
    <font>
      <u/>
      <sz val="10.5"/>
      <color indexed="12"/>
      <name val="CordiaUPC"/>
      <family val="2"/>
      <charset val="222"/>
    </font>
    <font>
      <sz val="11"/>
      <color indexed="62"/>
      <name val="Tahoma"/>
      <family val="2"/>
      <charset val="222"/>
    </font>
    <font>
      <sz val="11"/>
      <color indexed="52"/>
      <name val="Tahoma"/>
      <family val="2"/>
      <charset val="222"/>
    </font>
    <font>
      <sz val="9"/>
      <color indexed="17"/>
      <name val="Arial Narrow"/>
      <family val="2"/>
    </font>
    <font>
      <sz val="11"/>
      <color indexed="60"/>
      <name val="Tahoma"/>
      <family val="2"/>
      <charset val="222"/>
    </font>
    <font>
      <sz val="8"/>
      <name val="Tahoma"/>
      <family val="2"/>
    </font>
    <font>
      <sz val="16"/>
      <name val="DilleniaUPC"/>
      <family val="1"/>
      <charset val="222"/>
    </font>
    <font>
      <sz val="8"/>
      <color indexed="8"/>
      <name val="Tahoma"/>
      <family val="2"/>
    </font>
    <font>
      <b/>
      <sz val="11"/>
      <color indexed="63"/>
      <name val="Tahoma"/>
      <family val="2"/>
      <charset val="222"/>
    </font>
    <font>
      <sz val="11"/>
      <name val="Tahoma"/>
      <family val="2"/>
    </font>
    <font>
      <sz val="10"/>
      <name val="Tms Rmn"/>
      <charset val="222"/>
    </font>
    <font>
      <b/>
      <sz val="18"/>
      <color indexed="56"/>
      <name val="Tahoma"/>
      <family val="2"/>
      <charset val="222"/>
    </font>
    <font>
      <b/>
      <sz val="11"/>
      <color indexed="8"/>
      <name val="Tahoma"/>
      <family val="2"/>
      <charset val="222"/>
    </font>
    <font>
      <sz val="11"/>
      <color indexed="10"/>
      <name val="Tahoma"/>
      <family val="2"/>
      <charset val="222"/>
    </font>
    <font>
      <sz val="8"/>
      <color indexed="17"/>
      <name val="Arial Narrow"/>
      <family val="2"/>
    </font>
    <font>
      <sz val="8"/>
      <color theme="1"/>
      <name val="Tahoma"/>
      <family val="2"/>
    </font>
    <font>
      <b/>
      <sz val="10"/>
      <name val="Calibri"/>
      <family val="2"/>
      <scheme val="minor"/>
    </font>
    <font>
      <sz val="11"/>
      <color theme="0" tint="-0.499984740745262"/>
      <name val="Calibri"/>
      <family val="2"/>
      <scheme val="minor"/>
    </font>
    <font>
      <sz val="8"/>
      <color theme="0" tint="-0.499984740745262"/>
      <name val="Calibri"/>
      <family val="2"/>
      <scheme val="minor"/>
    </font>
    <font>
      <b/>
      <sz val="8"/>
      <color theme="0" tint="-0.499984740745262"/>
      <name val="Calibri"/>
      <family val="2"/>
      <scheme val="minor"/>
    </font>
    <font>
      <sz val="11"/>
      <color theme="0" tint="-0.499984740745262"/>
      <name val="Calibri"/>
      <family val="2"/>
      <charset val="222"/>
      <scheme val="minor"/>
    </font>
    <font>
      <sz val="11"/>
      <color rgb="FFC00000"/>
      <name val="Calibri"/>
      <family val="2"/>
      <scheme val="minor"/>
    </font>
    <font>
      <b/>
      <sz val="8"/>
      <color rgb="FF0000FF"/>
      <name val="Calibri"/>
      <family val="2"/>
      <scheme val="minor"/>
    </font>
    <font>
      <b/>
      <sz val="11"/>
      <color theme="1"/>
      <name val="Calibri"/>
      <family val="2"/>
      <charset val="222"/>
      <scheme val="minor"/>
    </font>
    <font>
      <sz val="10"/>
      <color theme="1"/>
      <name val="Tahoma"/>
      <family val="2"/>
    </font>
    <font>
      <b/>
      <sz val="10"/>
      <name val="Tahoma"/>
      <family val="2"/>
    </font>
    <font>
      <b/>
      <sz val="11"/>
      <color rgb="FF0033CC"/>
      <name val="Calibri"/>
      <family val="2"/>
      <charset val="222"/>
      <scheme val="minor"/>
    </font>
    <font>
      <sz val="11"/>
      <color rgb="FF0033CC"/>
      <name val="Calibri"/>
      <family val="2"/>
      <charset val="222"/>
      <scheme val="minor"/>
    </font>
    <font>
      <b/>
      <sz val="11"/>
      <color theme="0" tint="-0.499984740745262"/>
      <name val="Calibri"/>
      <family val="2"/>
      <charset val="222"/>
      <scheme val="minor"/>
    </font>
    <font>
      <sz val="11"/>
      <color theme="0" tint="-0.499984740745262"/>
      <name val="Tahoma"/>
      <family val="2"/>
      <charset val="222"/>
    </font>
    <font>
      <sz val="11"/>
      <name val="Tahoma"/>
      <family val="2"/>
      <charset val="222"/>
    </font>
    <font>
      <b/>
      <sz val="10"/>
      <color theme="0" tint="-0.499984740745262"/>
      <name val="Tahoma"/>
      <family val="2"/>
    </font>
    <font>
      <b/>
      <sz val="10"/>
      <color rgb="FF0000FF"/>
      <name val="Tahoma"/>
      <family val="2"/>
    </font>
    <font>
      <sz val="9"/>
      <color theme="1"/>
      <name val="Calibri"/>
      <family val="2"/>
      <charset val="222"/>
      <scheme val="minor"/>
    </font>
    <font>
      <b/>
      <sz val="11"/>
      <color rgb="FF0000FF"/>
      <name val="Calibri"/>
      <family val="2"/>
      <charset val="222"/>
      <scheme val="minor"/>
    </font>
    <font>
      <sz val="10"/>
      <color rgb="FFFF0000"/>
      <name val="Tahoma"/>
      <family val="2"/>
    </font>
    <font>
      <b/>
      <sz val="10"/>
      <color rgb="FFFF0000"/>
      <name val="Calibri"/>
      <family val="2"/>
      <scheme val="minor"/>
    </font>
    <font>
      <sz val="12"/>
      <color rgb="FF0000FF"/>
      <name val="Calibri"/>
      <family val="2"/>
      <scheme val="minor"/>
    </font>
    <font>
      <sz val="11"/>
      <color theme="1"/>
      <name val="Tahoma"/>
      <family val="2"/>
      <charset val="222"/>
    </font>
    <font>
      <b/>
      <sz val="11"/>
      <name val="Calibri"/>
      <family val="2"/>
      <charset val="222"/>
      <scheme val="minor"/>
    </font>
    <font>
      <b/>
      <sz val="10"/>
      <color rgb="FFFF0000"/>
      <name val="Tahoma"/>
      <family val="2"/>
    </font>
    <font>
      <sz val="11"/>
      <color rgb="FF0000FF"/>
      <name val="Tahoma"/>
      <family val="2"/>
      <charset val="222"/>
    </font>
    <font>
      <b/>
      <sz val="10"/>
      <color rgb="FF7030A0"/>
      <name val="Tahoma"/>
      <family val="2"/>
    </font>
    <font>
      <sz val="11"/>
      <color rgb="FF7030A0"/>
      <name val="Calibri"/>
      <family val="2"/>
      <charset val="222"/>
      <scheme val="minor"/>
    </font>
    <font>
      <sz val="8"/>
      <color rgb="FFFF0000"/>
      <name val="Calibri"/>
      <family val="2"/>
      <scheme val="minor"/>
    </font>
    <font>
      <sz val="11"/>
      <color rgb="FFE265FF"/>
      <name val="Calibri"/>
      <family val="2"/>
      <charset val="222"/>
      <scheme val="minor"/>
    </font>
    <font>
      <sz val="11"/>
      <color theme="0"/>
      <name val="Calibri"/>
      <family val="2"/>
      <charset val="222"/>
      <scheme val="minor"/>
    </font>
    <font>
      <sz val="11"/>
      <color theme="0" tint="-0.249977111117893"/>
      <name val="Calibri"/>
      <family val="2"/>
      <charset val="222"/>
      <scheme val="minor"/>
    </font>
    <font>
      <b/>
      <sz val="11"/>
      <color theme="0" tint="-0.34998626667073579"/>
      <name val="Calibri"/>
      <family val="2"/>
      <scheme val="minor"/>
    </font>
    <font>
      <sz val="11"/>
      <color theme="0" tint="-0.34998626667073579"/>
      <name val="Calibri"/>
      <family val="2"/>
      <scheme val="minor"/>
    </font>
    <font>
      <b/>
      <sz val="11"/>
      <name val="Tahoma"/>
      <family val="2"/>
    </font>
  </fonts>
  <fills count="121">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E5FF"/>
        <bgColor indexed="64"/>
      </patternFill>
    </fill>
    <fill>
      <patternFill patternType="solid">
        <fgColor theme="0" tint="-0.14999847407452621"/>
        <bgColor indexed="64"/>
      </patternFill>
    </fill>
    <fill>
      <patternFill patternType="solid">
        <fgColor theme="0"/>
        <bgColor indexed="64"/>
      </patternFill>
    </fill>
    <fill>
      <patternFill patternType="solid">
        <fgColor rgb="FFC00000"/>
        <bgColor indexed="64"/>
      </patternFill>
    </fill>
    <fill>
      <patternFill patternType="solid">
        <fgColor theme="9" tint="-0.249977111117893"/>
        <bgColor indexed="64"/>
      </patternFill>
    </fill>
    <fill>
      <patternFill patternType="solid">
        <fgColor theme="9"/>
        <bgColor indexed="64"/>
      </patternFill>
    </fill>
    <fill>
      <patternFill patternType="solid">
        <fgColor rgb="FFFFFF00"/>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FCD5B4"/>
        <bgColor rgb="FF000000"/>
      </patternFill>
    </fill>
    <fill>
      <patternFill patternType="solid">
        <fgColor theme="6" tint="0.59999389629810485"/>
        <bgColor rgb="FF000000"/>
      </patternFill>
    </fill>
    <fill>
      <patternFill patternType="solid">
        <fgColor rgb="FFD8E4BC"/>
        <bgColor rgb="FF000000"/>
      </patternFill>
    </fill>
    <fill>
      <patternFill patternType="solid">
        <fgColor theme="6" tint="0.79998168889431442"/>
        <bgColor indexed="64"/>
      </patternFill>
    </fill>
    <fill>
      <patternFill patternType="solid">
        <fgColor rgb="FFEBF1DE"/>
        <bgColor rgb="FF000000"/>
      </patternFill>
    </fill>
    <fill>
      <patternFill patternType="solid">
        <fgColor rgb="FFFFFF00"/>
        <bgColor rgb="FF000000"/>
      </patternFill>
    </fill>
    <fill>
      <patternFill patternType="solid">
        <fgColor theme="5" tint="0.79998168889431442"/>
        <bgColor indexed="64"/>
      </patternFill>
    </fill>
    <fill>
      <patternFill patternType="solid">
        <fgColor rgb="FFFFC00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rgb="FFC6EFCE"/>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40"/>
        <bgColor indexed="64"/>
      </patternFill>
    </fill>
    <fill>
      <patternFill patternType="solid">
        <fgColor indexed="40"/>
      </patternFill>
    </fill>
    <fill>
      <patternFill patternType="solid">
        <fgColor indexed="41"/>
      </patternFill>
    </fill>
    <fill>
      <patternFill patternType="solid">
        <fgColor indexed="22"/>
        <bgColor indexed="64"/>
      </patternFill>
    </fill>
    <fill>
      <patternFill patternType="solid">
        <fgColor indexed="41"/>
        <bgColor indexed="64"/>
      </patternFill>
    </fill>
    <fill>
      <patternFill patternType="solid">
        <fgColor indexed="44"/>
        <bgColor indexed="64"/>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23"/>
        <bgColor indexed="64"/>
      </patternFill>
    </fill>
    <fill>
      <patternFill patternType="solid">
        <fgColor indexed="55"/>
        <bgColor indexed="64"/>
      </patternFill>
    </fill>
    <fill>
      <patternFill patternType="solid">
        <fgColor indexed="26"/>
        <bgColor indexed="64"/>
      </patternFill>
    </fill>
    <fill>
      <patternFill patternType="solid">
        <fgColor indexed="15"/>
      </patternFill>
    </fill>
    <fill>
      <patternFill patternType="solid">
        <fgColor indexed="61"/>
        <bgColor indexed="61"/>
      </patternFill>
    </fill>
    <fill>
      <patternFill patternType="solid">
        <fgColor indexed="22"/>
        <bgColor indexed="22"/>
      </patternFill>
    </fill>
    <fill>
      <patternFill patternType="solid">
        <fgColor indexed="58"/>
        <bgColor indexed="58"/>
      </patternFill>
    </fill>
    <fill>
      <patternFill patternType="solid">
        <fgColor indexed="48"/>
        <bgColor indexed="48"/>
      </patternFill>
    </fill>
    <fill>
      <patternFill patternType="solid">
        <fgColor indexed="31"/>
        <bgColor indexed="31"/>
      </patternFill>
    </fill>
    <fill>
      <patternFill patternType="solid">
        <fgColor indexed="40"/>
        <bgColor indexed="40"/>
      </patternFill>
    </fill>
    <fill>
      <patternFill patternType="solid">
        <fgColor indexed="45"/>
        <bgColor indexed="45"/>
      </patternFill>
    </fill>
    <fill>
      <patternFill patternType="solid">
        <fgColor indexed="25"/>
        <bgColor indexed="25"/>
      </patternFill>
    </fill>
    <fill>
      <patternFill patternType="solid">
        <fgColor indexed="60"/>
        <bgColor indexed="60"/>
      </patternFill>
    </fill>
    <fill>
      <patternFill patternType="solid">
        <fgColor indexed="11"/>
        <bgColor indexed="11"/>
      </patternFill>
    </fill>
    <fill>
      <patternFill patternType="solid">
        <fgColor indexed="50"/>
        <bgColor indexed="50"/>
      </patternFill>
    </fill>
    <fill>
      <patternFill patternType="solid">
        <fgColor indexed="57"/>
        <bgColor indexed="57"/>
      </patternFill>
    </fill>
    <fill>
      <patternFill patternType="solid">
        <fgColor indexed="55"/>
        <bgColor indexed="55"/>
      </patternFill>
    </fill>
    <fill>
      <patternFill patternType="solid">
        <fgColor indexed="18"/>
        <bgColor indexed="18"/>
      </patternFill>
    </fill>
    <fill>
      <patternFill patternType="solid">
        <fgColor indexed="41"/>
        <bgColor indexed="41"/>
      </patternFill>
    </fill>
    <fill>
      <patternFill patternType="solid">
        <fgColor indexed="54"/>
        <bgColor indexed="54"/>
      </patternFill>
    </fill>
    <fill>
      <patternFill patternType="solid">
        <fgColor indexed="26"/>
        <bgColor indexed="26"/>
      </patternFill>
    </fill>
    <fill>
      <patternFill patternType="solid">
        <fgColor indexed="47"/>
        <bgColor indexed="47"/>
      </patternFill>
    </fill>
    <fill>
      <patternFill patternType="solid">
        <fgColor indexed="51"/>
        <bgColor indexed="51"/>
      </patternFill>
    </fill>
    <fill>
      <patternFill patternType="solid">
        <fgColor indexed="53"/>
        <bgColor indexed="53"/>
      </patternFill>
    </fill>
    <fill>
      <patternFill patternType="solid">
        <fgColor indexed="35"/>
        <bgColor indexed="35"/>
      </patternFill>
    </fill>
    <fill>
      <patternFill patternType="lightUp">
        <fgColor indexed="9"/>
        <bgColor indexed="24"/>
      </patternFill>
    </fill>
    <fill>
      <patternFill patternType="lightUp">
        <fgColor indexed="9"/>
        <bgColor indexed="12"/>
      </patternFill>
    </fill>
    <fill>
      <patternFill patternType="lightUp">
        <fgColor indexed="9"/>
        <bgColor indexed="57"/>
      </patternFill>
    </fill>
    <fill>
      <patternFill patternType="solid">
        <fgColor indexed="60"/>
      </patternFill>
    </fill>
    <fill>
      <patternFill patternType="solid">
        <fgColor indexed="12"/>
      </patternFill>
    </fill>
    <fill>
      <patternFill patternType="solid">
        <fgColor indexed="50"/>
      </patternFill>
    </fill>
    <fill>
      <patternFill patternType="lightUp">
        <fgColor indexed="48"/>
        <bgColor indexed="41"/>
      </patternFill>
    </fill>
    <fill>
      <patternFill patternType="solid">
        <fgColor indexed="54"/>
      </patternFill>
    </fill>
    <fill>
      <patternFill patternType="solid">
        <fgColor indexed="23"/>
      </patternFill>
    </fill>
    <fill>
      <patternFill patternType="solid">
        <fgColor indexed="9"/>
      </patternFill>
    </fill>
    <fill>
      <patternFill patternType="solid">
        <fgColor indexed="9"/>
        <bgColor indexed="64"/>
      </patternFill>
    </fill>
    <fill>
      <patternFill patternType="solid">
        <fgColor indexed="20"/>
      </patternFill>
    </fill>
    <fill>
      <patternFill patternType="solid">
        <fgColor theme="2"/>
        <bgColor indexed="64"/>
      </patternFill>
    </fill>
    <fill>
      <patternFill patternType="solid">
        <fgColor rgb="FF8ADFF6"/>
        <bgColor indexed="64"/>
      </patternFill>
    </fill>
    <fill>
      <patternFill patternType="solid">
        <fgColor rgb="FF92D050"/>
        <bgColor indexed="64"/>
      </patternFill>
    </fill>
    <fill>
      <patternFill patternType="solid">
        <fgColor theme="7"/>
        <bgColor indexed="64"/>
      </patternFill>
    </fill>
    <fill>
      <patternFill patternType="solid">
        <fgColor theme="4" tint="0.39997558519241921"/>
        <bgColor indexed="64"/>
      </patternFill>
    </fill>
    <fill>
      <patternFill patternType="solid">
        <fgColor rgb="FFCCFFFF"/>
        <bgColor indexed="64"/>
      </patternFill>
    </fill>
    <fill>
      <patternFill patternType="solid">
        <fgColor theme="9" tint="0.59999389629810485"/>
        <bgColor rgb="FF000000"/>
      </patternFill>
    </fill>
    <fill>
      <patternFill patternType="solid">
        <fgColor rgb="FFE265FF"/>
        <bgColor indexed="64"/>
      </patternFill>
    </fill>
    <fill>
      <patternFill patternType="solid">
        <fgColor theme="4" tint="0.59999389629810485"/>
        <bgColor indexed="64"/>
      </patternFill>
    </fill>
    <fill>
      <patternFill patternType="solid">
        <fgColor rgb="FF0000FF"/>
        <bgColor indexed="64"/>
      </patternFill>
    </fill>
    <fill>
      <patternFill patternType="solid">
        <fgColor rgb="FFFFCCFF"/>
        <bgColor indexed="64"/>
      </patternFill>
    </fill>
    <fill>
      <patternFill patternType="solid">
        <fgColor rgb="FFFFA7FF"/>
        <bgColor indexed="64"/>
      </patternFill>
    </fill>
  </fills>
  <borders count="59">
    <border>
      <left/>
      <right/>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diagonal/>
    </border>
    <border>
      <left style="thin">
        <color indexed="64"/>
      </left>
      <right/>
      <top/>
      <bottom/>
      <diagonal/>
    </border>
    <border>
      <left/>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medium">
        <color indexed="64"/>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indexed="63"/>
      </left>
      <right style="thin">
        <color indexed="63"/>
      </right>
      <top style="thin">
        <color indexed="64"/>
      </top>
      <bottom style="thin">
        <color indexed="63"/>
      </bottom>
      <diagonal/>
    </border>
    <border>
      <left style="thin">
        <color indexed="18"/>
      </left>
      <right style="thin">
        <color indexed="18"/>
      </right>
      <top style="thin">
        <color indexed="18"/>
      </top>
      <bottom style="thin">
        <color indexed="18"/>
      </bottom>
      <diagonal/>
    </border>
    <border>
      <left/>
      <right/>
      <top/>
      <bottom style="thick">
        <color indexed="48"/>
      </bottom>
      <diagonal/>
    </border>
    <border>
      <left/>
      <right/>
      <top/>
      <bottom style="thick">
        <color indexed="58"/>
      </bottom>
      <diagonal/>
    </border>
    <border>
      <left/>
      <right/>
      <top/>
      <bottom style="medium">
        <color indexed="58"/>
      </bottom>
      <diagonal/>
    </border>
    <border>
      <left/>
      <right/>
      <top/>
      <bottom style="double">
        <color indexed="17"/>
      </bottom>
      <diagonal/>
    </border>
    <border>
      <left style="thin">
        <color indexed="8"/>
      </left>
      <right style="thin">
        <color indexed="8"/>
      </right>
      <top style="thin">
        <color indexed="8"/>
      </top>
      <bottom style="thin">
        <color indexed="8"/>
      </bottom>
      <diagonal/>
    </border>
    <border>
      <left style="thin">
        <color indexed="41"/>
      </left>
      <right style="thin">
        <color indexed="48"/>
      </right>
      <top style="medium">
        <color indexed="41"/>
      </top>
      <bottom style="thin">
        <color indexed="48"/>
      </bottom>
      <diagonal/>
    </border>
    <border>
      <left style="thin">
        <color indexed="58"/>
      </left>
      <right style="medium">
        <color indexed="58"/>
      </right>
      <top style="medium">
        <color indexed="58"/>
      </top>
      <bottom style="thin">
        <color indexed="58"/>
      </bottom>
      <diagonal/>
    </border>
    <border>
      <left style="thin">
        <color indexed="54"/>
      </left>
      <right/>
      <top style="thin">
        <color indexed="54"/>
      </top>
      <bottom/>
      <diagonal/>
    </border>
    <border>
      <left/>
      <right/>
      <top style="thin">
        <color indexed="48"/>
      </top>
      <bottom style="double">
        <color indexed="48"/>
      </bottom>
      <diagonal/>
    </border>
    <border>
      <left/>
      <right/>
      <top/>
      <bottom style="dashDotDot">
        <color indexed="64"/>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s>
  <cellStyleXfs count="4113">
    <xf numFmtId="0" fontId="0"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7" fillId="0" borderId="0" applyFont="0" applyFill="0" applyBorder="0" applyAlignment="0" applyProtection="0"/>
    <xf numFmtId="0" fontId="36" fillId="0" borderId="0"/>
    <xf numFmtId="43" fontId="3" fillId="0" borderId="0" applyFont="0" applyFill="0" applyBorder="0" applyAlignment="0" applyProtection="0"/>
    <xf numFmtId="0" fontId="41" fillId="0" borderId="0"/>
    <xf numFmtId="0" fontId="52" fillId="30" borderId="0" applyNumberFormat="0" applyBorder="0" applyAlignment="0" applyProtection="0"/>
    <xf numFmtId="0" fontId="52" fillId="30" borderId="0" applyNumberFormat="0" applyBorder="0" applyAlignment="0" applyProtection="0"/>
    <xf numFmtId="0" fontId="52" fillId="30"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2" borderId="0" applyNumberFormat="0" applyBorder="0" applyAlignment="0" applyProtection="0"/>
    <xf numFmtId="0" fontId="52" fillId="32" borderId="0" applyNumberFormat="0" applyBorder="0" applyAlignment="0" applyProtection="0"/>
    <xf numFmtId="0" fontId="52" fillId="32"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4" borderId="0" applyNumberFormat="0" applyBorder="0" applyAlignment="0" applyProtection="0"/>
    <xf numFmtId="0" fontId="52" fillId="35" borderId="0" applyNumberFormat="0" applyBorder="0" applyAlignment="0" applyProtection="0"/>
    <xf numFmtId="0" fontId="52" fillId="35" borderId="0" applyNumberFormat="0" applyBorder="0" applyAlignment="0" applyProtection="0"/>
    <xf numFmtId="0" fontId="52" fillId="35" borderId="0" applyNumberFormat="0" applyBorder="0" applyAlignment="0" applyProtection="0"/>
    <xf numFmtId="0" fontId="52" fillId="36" borderId="0" applyNumberFormat="0" applyBorder="0" applyAlignment="0" applyProtection="0"/>
    <xf numFmtId="0" fontId="52" fillId="36" borderId="0" applyNumberFormat="0" applyBorder="0" applyAlignment="0" applyProtection="0"/>
    <xf numFmtId="0" fontId="52" fillId="36" borderId="0" applyNumberFormat="0" applyBorder="0" applyAlignment="0" applyProtection="0"/>
    <xf numFmtId="0" fontId="52" fillId="37" borderId="0" applyNumberFormat="0" applyBorder="0" applyAlignment="0" applyProtection="0"/>
    <xf numFmtId="0" fontId="52" fillId="37" borderId="0" applyNumberFormat="0" applyBorder="0" applyAlignment="0" applyProtection="0"/>
    <xf numFmtId="0" fontId="52" fillId="37" borderId="0" applyNumberFormat="0" applyBorder="0" applyAlignment="0" applyProtection="0"/>
    <xf numFmtId="0" fontId="52" fillId="38" borderId="0" applyNumberFormat="0" applyBorder="0" applyAlignment="0" applyProtection="0"/>
    <xf numFmtId="0" fontId="52" fillId="38" borderId="0" applyNumberFormat="0" applyBorder="0" applyAlignment="0" applyProtection="0"/>
    <xf numFmtId="0" fontId="52" fillId="38"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3" borderId="0" applyNumberFormat="0" applyBorder="0" applyAlignment="0" applyProtection="0"/>
    <xf numFmtId="0" fontId="52" fillId="36" borderId="0" applyNumberFormat="0" applyBorder="0" applyAlignment="0" applyProtection="0"/>
    <xf numFmtId="0" fontId="52" fillId="36" borderId="0" applyNumberFormat="0" applyBorder="0" applyAlignment="0" applyProtection="0"/>
    <xf numFmtId="0" fontId="52" fillId="36"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2" fillId="39"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37" borderId="0" applyNumberFormat="0" applyBorder="0" applyAlignment="0" applyProtection="0"/>
    <xf numFmtId="0" fontId="53" fillId="37" borderId="0" applyNumberFormat="0" applyBorder="0" applyAlignment="0" applyProtection="0"/>
    <xf numFmtId="0" fontId="53" fillId="37" borderId="0" applyNumberFormat="0" applyBorder="0" applyAlignment="0" applyProtection="0"/>
    <xf numFmtId="0" fontId="53" fillId="38" borderId="0" applyNumberFormat="0" applyBorder="0" applyAlignment="0" applyProtection="0"/>
    <xf numFmtId="0" fontId="53" fillId="38" borderId="0" applyNumberFormat="0" applyBorder="0" applyAlignment="0" applyProtection="0"/>
    <xf numFmtId="0" fontId="53" fillId="38"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9" fontId="41" fillId="0" borderId="0"/>
    <xf numFmtId="9" fontId="41" fillId="0" borderId="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4" fillId="31" borderId="0" applyNumberFormat="0" applyBorder="0" applyAlignment="0" applyProtection="0"/>
    <xf numFmtId="0" fontId="54" fillId="31" borderId="0" applyNumberFormat="0" applyBorder="0" applyAlignment="0" applyProtection="0"/>
    <xf numFmtId="0" fontId="54" fillId="31" borderId="0" applyNumberFormat="0" applyBorder="0" applyAlignment="0" applyProtection="0"/>
    <xf numFmtId="0" fontId="55" fillId="48" borderId="33" applyNumberFormat="0" applyAlignment="0" applyProtection="0"/>
    <xf numFmtId="0" fontId="55" fillId="48" borderId="33" applyNumberFormat="0" applyAlignment="0" applyProtection="0"/>
    <xf numFmtId="0" fontId="55" fillId="48" borderId="33" applyNumberFormat="0" applyAlignment="0" applyProtection="0"/>
    <xf numFmtId="0" fontId="56" fillId="49" borderId="34" applyNumberFormat="0" applyAlignment="0" applyProtection="0"/>
    <xf numFmtId="0" fontId="56" fillId="49" borderId="34" applyNumberFormat="0" applyAlignment="0" applyProtection="0"/>
    <xf numFmtId="0" fontId="56" fillId="49" borderId="34" applyNumberFormat="0" applyAlignment="0" applyProtection="0"/>
    <xf numFmtId="43" fontId="42"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176" fontId="41" fillId="0" borderId="0"/>
    <xf numFmtId="179" fontId="41" fillId="0" borderId="0"/>
    <xf numFmtId="14" fontId="41" fillId="0" borderId="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9" fillId="32" borderId="0" applyNumberFormat="0" applyBorder="0" applyAlignment="0" applyProtection="0"/>
    <xf numFmtId="0" fontId="59" fillId="32" borderId="0" applyNumberFormat="0" applyBorder="0" applyAlignment="0" applyProtection="0"/>
    <xf numFmtId="0" fontId="59" fillId="32" borderId="0" applyNumberFormat="0" applyBorder="0" applyAlignment="0" applyProtection="0"/>
    <xf numFmtId="0" fontId="45" fillId="0" borderId="15" applyNumberFormat="0" applyAlignment="0" applyProtection="0">
      <alignment horizontal="left" vertical="center"/>
    </xf>
    <xf numFmtId="0" fontId="45" fillId="0" borderId="26">
      <alignment horizontal="left" vertical="center"/>
    </xf>
    <xf numFmtId="0" fontId="60" fillId="0" borderId="35" applyNumberFormat="0" applyFill="0" applyAlignment="0" applyProtection="0"/>
    <xf numFmtId="0" fontId="60" fillId="0" borderId="35" applyNumberFormat="0" applyFill="0" applyAlignment="0" applyProtection="0"/>
    <xf numFmtId="0" fontId="60" fillId="0" borderId="35" applyNumberFormat="0" applyFill="0" applyAlignment="0" applyProtection="0"/>
    <xf numFmtId="0" fontId="61" fillId="0" borderId="36" applyNumberFormat="0" applyFill="0" applyAlignment="0" applyProtection="0"/>
    <xf numFmtId="0" fontId="61" fillId="0" borderId="36" applyNumberFormat="0" applyFill="0" applyAlignment="0" applyProtection="0"/>
    <xf numFmtId="0" fontId="61" fillId="0" borderId="36" applyNumberFormat="0" applyFill="0" applyAlignment="0" applyProtection="0"/>
    <xf numFmtId="0" fontId="62" fillId="0" borderId="37" applyNumberFormat="0" applyFill="0" applyAlignment="0" applyProtection="0"/>
    <xf numFmtId="0" fontId="62" fillId="0" borderId="37" applyNumberFormat="0" applyFill="0" applyAlignment="0" applyProtection="0"/>
    <xf numFmtId="0" fontId="62" fillId="0" borderId="37"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3" fillId="35" borderId="33" applyNumberFormat="0" applyAlignment="0" applyProtection="0"/>
    <xf numFmtId="0" fontId="63" fillId="35" borderId="33" applyNumberFormat="0" applyAlignment="0" applyProtection="0"/>
    <xf numFmtId="0" fontId="63" fillId="35" borderId="33" applyNumberFormat="0" applyAlignment="0" applyProtection="0"/>
    <xf numFmtId="0" fontId="64" fillId="0" borderId="38" applyNumberFormat="0" applyFill="0" applyAlignment="0" applyProtection="0"/>
    <xf numFmtId="0" fontId="64" fillId="0" borderId="38" applyNumberFormat="0" applyFill="0" applyAlignment="0" applyProtection="0"/>
    <xf numFmtId="0" fontId="64" fillId="0" borderId="38" applyNumberFormat="0" applyFill="0" applyAlignment="0" applyProtection="0"/>
    <xf numFmtId="0" fontId="65" fillId="50" borderId="0" applyNumberFormat="0" applyBorder="0" applyAlignment="0" applyProtection="0"/>
    <xf numFmtId="0" fontId="65" fillId="50" borderId="0" applyNumberFormat="0" applyBorder="0" applyAlignment="0" applyProtection="0"/>
    <xf numFmtId="0" fontId="65" fillId="50" borderId="0" applyNumberFormat="0" applyBorder="0" applyAlignment="0" applyProtection="0"/>
    <xf numFmtId="175" fontId="47" fillId="0" borderId="0"/>
    <xf numFmtId="0" fontId="48" fillId="0" borderId="0"/>
    <xf numFmtId="0" fontId="48" fillId="0" borderId="0"/>
    <xf numFmtId="0" fontId="48" fillId="0" borderId="0"/>
    <xf numFmtId="0" fontId="7" fillId="0" borderId="0"/>
    <xf numFmtId="0" fontId="41" fillId="0" borderId="0"/>
    <xf numFmtId="0" fontId="57" fillId="51" borderId="39" applyNumberFormat="0" applyFont="0" applyAlignment="0" applyProtection="0"/>
    <xf numFmtId="0" fontId="57" fillId="51" borderId="39" applyNumberFormat="0" applyFont="0" applyAlignment="0" applyProtection="0"/>
    <xf numFmtId="0" fontId="57" fillId="51" borderId="39" applyNumberFormat="0" applyFont="0" applyAlignment="0" applyProtection="0"/>
    <xf numFmtId="0" fontId="66" fillId="48" borderId="40" applyNumberFormat="0" applyAlignment="0" applyProtection="0"/>
    <xf numFmtId="0" fontId="66" fillId="48" borderId="40" applyNumberFormat="0" applyAlignment="0" applyProtection="0"/>
    <xf numFmtId="0" fontId="66" fillId="48" borderId="40" applyNumberFormat="0" applyAlignment="0" applyProtection="0"/>
    <xf numFmtId="4" fontId="72" fillId="50" borderId="41" applyNumberFormat="0" applyProtection="0">
      <alignment vertical="center"/>
    </xf>
    <xf numFmtId="4" fontId="72" fillId="52" borderId="41" applyNumberFormat="0" applyProtection="0">
      <alignment horizontal="left" vertical="center" indent="1"/>
    </xf>
    <xf numFmtId="4" fontId="72" fillId="53" borderId="0" applyNumberFormat="0" applyProtection="0">
      <alignment horizontal="left" vertical="center" indent="1"/>
    </xf>
    <xf numFmtId="4" fontId="73" fillId="54" borderId="41" applyNumberFormat="0" applyProtection="0">
      <alignment horizontal="right" vertical="center"/>
    </xf>
    <xf numFmtId="4" fontId="73" fillId="55" borderId="41" applyNumberFormat="0" applyProtection="0">
      <alignment horizontal="right" vertical="center"/>
    </xf>
    <xf numFmtId="4" fontId="73" fillId="54" borderId="41" applyNumberFormat="0" applyProtection="0">
      <alignment horizontal="left" vertical="center" indent="1"/>
    </xf>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42" applyNumberFormat="0" applyFill="0" applyAlignment="0" applyProtection="0"/>
    <xf numFmtId="0" fontId="68" fillId="0" borderId="42" applyNumberFormat="0" applyFill="0" applyAlignment="0" applyProtection="0"/>
    <xf numFmtId="0" fontId="68" fillId="0" borderId="42" applyNumberFormat="0" applyFill="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9" fontId="43" fillId="0" borderId="0" applyFont="0" applyFill="0" applyBorder="0" applyAlignment="0" applyProtection="0"/>
    <xf numFmtId="178" fontId="41" fillId="0" borderId="0" applyFont="0" applyFill="0" applyBorder="0" applyAlignment="0" applyProtection="0"/>
    <xf numFmtId="180" fontId="41" fillId="0" borderId="0" applyFont="0" applyFill="0" applyBorder="0" applyAlignment="0" applyProtection="0"/>
    <xf numFmtId="177" fontId="41" fillId="0" borderId="0" applyFont="0" applyFill="0" applyBorder="0" applyAlignment="0" applyProtection="0"/>
    <xf numFmtId="181" fontId="42" fillId="0" borderId="0" applyFont="0" applyFill="0" applyBorder="0" applyAlignment="0" applyProtection="0"/>
    <xf numFmtId="0" fontId="43" fillId="0" borderId="0"/>
    <xf numFmtId="0" fontId="41" fillId="0" borderId="0"/>
    <xf numFmtId="0" fontId="7" fillId="0" borderId="0"/>
    <xf numFmtId="0" fontId="41" fillId="0" borderId="0"/>
    <xf numFmtId="0" fontId="44" fillId="0" borderId="0"/>
    <xf numFmtId="0" fontId="7" fillId="0" borderId="0"/>
    <xf numFmtId="43" fontId="42" fillId="0" borderId="0" applyFont="0" applyFill="0" applyBorder="0" applyAlignment="0" applyProtection="0"/>
    <xf numFmtId="182" fontId="75" fillId="0" borderId="0"/>
    <xf numFmtId="183" fontId="46" fillId="0" borderId="0"/>
    <xf numFmtId="184" fontId="46" fillId="0" borderId="0"/>
    <xf numFmtId="0" fontId="48" fillId="0" borderId="0"/>
    <xf numFmtId="0" fontId="7" fillId="0" borderId="0"/>
    <xf numFmtId="9" fontId="41" fillId="0" borderId="0" applyFont="0" applyFill="0" applyBorder="0" applyAlignment="0" applyProtection="0"/>
    <xf numFmtId="0" fontId="7" fillId="0" borderId="0"/>
    <xf numFmtId="0" fontId="7" fillId="0" borderId="0"/>
    <xf numFmtId="0" fontId="3" fillId="0" borderId="0"/>
    <xf numFmtId="4" fontId="73" fillId="52" borderId="40" applyNumberFormat="0" applyProtection="0">
      <alignment vertical="center"/>
    </xf>
    <xf numFmtId="4" fontId="76" fillId="52" borderId="40" applyNumberFormat="0" applyProtection="0">
      <alignment vertical="center"/>
    </xf>
    <xf numFmtId="4" fontId="73" fillId="52" borderId="40" applyNumberFormat="0" applyProtection="0">
      <alignment horizontal="left" vertical="center" indent="1"/>
    </xf>
    <xf numFmtId="4" fontId="73" fillId="52" borderId="40" applyNumberFormat="0" applyProtection="0">
      <alignment horizontal="left" vertical="center" indent="1"/>
    </xf>
    <xf numFmtId="0" fontId="48" fillId="59" borderId="40" applyNumberFormat="0" applyProtection="0">
      <alignment horizontal="left" vertical="center" indent="1"/>
    </xf>
    <xf numFmtId="4" fontId="73" fillId="60" borderId="40" applyNumberFormat="0" applyProtection="0">
      <alignment horizontal="right" vertical="center"/>
    </xf>
    <xf numFmtId="4" fontId="73" fillId="61" borderId="40" applyNumberFormat="0" applyProtection="0">
      <alignment horizontal="right" vertical="center"/>
    </xf>
    <xf numFmtId="4" fontId="73" fillId="62" borderId="40" applyNumberFormat="0" applyProtection="0">
      <alignment horizontal="right" vertical="center"/>
    </xf>
    <xf numFmtId="4" fontId="73" fillId="63" borderId="40" applyNumberFormat="0" applyProtection="0">
      <alignment horizontal="right" vertical="center"/>
    </xf>
    <xf numFmtId="4" fontId="73" fillId="64" borderId="40" applyNumberFormat="0" applyProtection="0">
      <alignment horizontal="right" vertical="center"/>
    </xf>
    <xf numFmtId="4" fontId="73" fillId="65" borderId="40" applyNumberFormat="0" applyProtection="0">
      <alignment horizontal="right" vertical="center"/>
    </xf>
    <xf numFmtId="4" fontId="73" fillId="66" borderId="40" applyNumberFormat="0" applyProtection="0">
      <alignment horizontal="right" vertical="center"/>
    </xf>
    <xf numFmtId="4" fontId="73" fillId="67" borderId="40" applyNumberFormat="0" applyProtection="0">
      <alignment horizontal="right" vertical="center"/>
    </xf>
    <xf numFmtId="4" fontId="73" fillId="68" borderId="40" applyNumberFormat="0" applyProtection="0">
      <alignment horizontal="right" vertical="center"/>
    </xf>
    <xf numFmtId="4" fontId="72" fillId="69" borderId="40" applyNumberFormat="0" applyProtection="0">
      <alignment horizontal="left" vertical="center" indent="1"/>
    </xf>
    <xf numFmtId="4" fontId="73" fillId="70" borderId="43" applyNumberFormat="0" applyProtection="0">
      <alignment horizontal="left" vertical="center" indent="1"/>
    </xf>
    <xf numFmtId="4" fontId="77" fillId="71" borderId="0" applyNumberFormat="0" applyProtection="0">
      <alignment horizontal="left" vertical="center" indent="1"/>
    </xf>
    <xf numFmtId="0" fontId="48" fillId="59" borderId="40" applyNumberFormat="0" applyProtection="0">
      <alignment horizontal="left" vertical="center" indent="1"/>
    </xf>
    <xf numFmtId="4" fontId="73" fillId="70" borderId="40" applyNumberFormat="0" applyProtection="0">
      <alignment horizontal="left" vertical="center" indent="1"/>
    </xf>
    <xf numFmtId="4" fontId="73" fillId="72" borderId="40" applyNumberFormat="0" applyProtection="0">
      <alignment horizontal="left" vertical="center" indent="1"/>
    </xf>
    <xf numFmtId="0" fontId="48" fillId="72" borderId="40" applyNumberFormat="0" applyProtection="0">
      <alignment horizontal="left" vertical="center" indent="1"/>
    </xf>
    <xf numFmtId="0" fontId="48" fillId="72" borderId="40" applyNumberFormat="0" applyProtection="0">
      <alignment horizontal="left" vertical="center" indent="1"/>
    </xf>
    <xf numFmtId="0" fontId="48" fillId="73" borderId="40" applyNumberFormat="0" applyProtection="0">
      <alignment horizontal="left" vertical="center" indent="1"/>
    </xf>
    <xf numFmtId="0" fontId="48" fillId="73" borderId="40" applyNumberFormat="0" applyProtection="0">
      <alignment horizontal="left" vertical="center" indent="1"/>
    </xf>
    <xf numFmtId="0" fontId="48" fillId="56" borderId="40" applyNumberFormat="0" applyProtection="0">
      <alignment horizontal="left" vertical="center" indent="1"/>
    </xf>
    <xf numFmtId="0" fontId="48" fillId="56"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4" fontId="73" fillId="74" borderId="40" applyNumberFormat="0" applyProtection="0">
      <alignment vertical="center"/>
    </xf>
    <xf numFmtId="4" fontId="76" fillId="74" borderId="40" applyNumberFormat="0" applyProtection="0">
      <alignment vertical="center"/>
    </xf>
    <xf numFmtId="4" fontId="73" fillId="74" borderId="40" applyNumberFormat="0" applyProtection="0">
      <alignment horizontal="left" vertical="center" indent="1"/>
    </xf>
    <xf numFmtId="4" fontId="73" fillId="74" borderId="40" applyNumberFormat="0" applyProtection="0">
      <alignment horizontal="left" vertical="center" indent="1"/>
    </xf>
    <xf numFmtId="4" fontId="73" fillId="70" borderId="40" applyNumberFormat="0" applyProtection="0">
      <alignment horizontal="right" vertical="center"/>
    </xf>
    <xf numFmtId="4" fontId="76" fillId="70" borderId="40" applyNumberFormat="0" applyProtection="0">
      <alignment horizontal="right" vertical="center"/>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78" fillId="0" borderId="0"/>
    <xf numFmtId="4" fontId="50" fillId="70" borderId="40" applyNumberFormat="0" applyProtection="0">
      <alignment horizontal="right" vertical="center"/>
    </xf>
    <xf numFmtId="43" fontId="3" fillId="0" borderId="0" applyFont="0" applyFill="0" applyBorder="0" applyAlignment="0" applyProtection="0"/>
    <xf numFmtId="0" fontId="3" fillId="0" borderId="0"/>
    <xf numFmtId="0" fontId="7" fillId="0" borderId="0"/>
    <xf numFmtId="0" fontId="7" fillId="0" borderId="0"/>
    <xf numFmtId="43" fontId="42" fillId="0" borderId="0" applyFont="0" applyFill="0" applyBorder="0" applyAlignment="0" applyProtection="0"/>
    <xf numFmtId="43" fontId="48" fillId="0" borderId="0" applyFont="0" applyFill="0" applyBorder="0" applyAlignment="0" applyProtection="0"/>
    <xf numFmtId="0" fontId="48" fillId="0" borderId="0"/>
    <xf numFmtId="0" fontId="7" fillId="0" borderId="0"/>
    <xf numFmtId="0" fontId="7" fillId="0" borderId="0"/>
    <xf numFmtId="0" fontId="7" fillId="0" borderId="0"/>
    <xf numFmtId="0" fontId="48" fillId="0" borderId="0"/>
    <xf numFmtId="43" fontId="44" fillId="0" borderId="0" applyFont="0" applyFill="0" applyBorder="0" applyAlignment="0" applyProtection="0"/>
    <xf numFmtId="43" fontId="79" fillId="0" borderId="0" applyFont="0" applyFill="0" applyBorder="0" applyAlignment="0" applyProtection="0"/>
    <xf numFmtId="43" fontId="48" fillId="0" borderId="0" applyFont="0" applyFill="0" applyBorder="0" applyAlignment="0" applyProtection="0"/>
    <xf numFmtId="43" fontId="7" fillId="0" borderId="0" applyFont="0" applyFill="0" applyBorder="0" applyAlignment="0" applyProtection="0"/>
    <xf numFmtId="43" fontId="70" fillId="0" borderId="0" applyFont="0" applyFill="0" applyBorder="0" applyAlignment="0" applyProtection="0"/>
    <xf numFmtId="0" fontId="48" fillId="0" borderId="0"/>
    <xf numFmtId="0" fontId="48" fillId="0" borderId="0"/>
    <xf numFmtId="43" fontId="41" fillId="0" borderId="0" applyFont="0" applyFill="0" applyBorder="0" applyAlignment="0" applyProtection="0"/>
    <xf numFmtId="41" fontId="70" fillId="0" borderId="0" applyFont="0" applyFill="0" applyBorder="0" applyAlignment="0" applyProtection="0"/>
    <xf numFmtId="0" fontId="7" fillId="0" borderId="0"/>
    <xf numFmtId="0" fontId="3" fillId="0" borderId="0"/>
    <xf numFmtId="43" fontId="79" fillId="0" borderId="0" applyFont="0" applyFill="0" applyBorder="0" applyAlignment="0" applyProtection="0"/>
    <xf numFmtId="0" fontId="3" fillId="0" borderId="0"/>
    <xf numFmtId="43" fontId="3" fillId="0" borderId="0" applyFont="0" applyFill="0" applyBorder="0" applyAlignment="0" applyProtection="0"/>
    <xf numFmtId="0" fontId="48" fillId="0" borderId="0"/>
    <xf numFmtId="0" fontId="48" fillId="0" borderId="0"/>
    <xf numFmtId="0" fontId="7" fillId="0" borderId="0"/>
    <xf numFmtId="0" fontId="48" fillId="0" borderId="0"/>
    <xf numFmtId="0" fontId="48" fillId="0" borderId="0"/>
    <xf numFmtId="0" fontId="81" fillId="0" borderId="0"/>
    <xf numFmtId="0" fontId="48" fillId="0" borderId="0"/>
    <xf numFmtId="0" fontId="48" fillId="0" borderId="0"/>
    <xf numFmtId="0" fontId="48" fillId="0" borderId="0"/>
    <xf numFmtId="0" fontId="81" fillId="0" borderId="0"/>
    <xf numFmtId="0" fontId="48" fillId="0" borderId="0"/>
    <xf numFmtId="0" fontId="82" fillId="0" borderId="0"/>
    <xf numFmtId="0" fontId="48" fillId="0" borderId="0"/>
    <xf numFmtId="0" fontId="48" fillId="0" borderId="0"/>
    <xf numFmtId="9" fontId="79" fillId="0" borderId="0" applyFont="0" applyFill="0" applyBorder="0" applyAlignment="0" applyProtection="0"/>
    <xf numFmtId="9" fontId="48" fillId="0" borderId="0" applyFont="0" applyFill="0" applyBorder="0" applyAlignment="0" applyProtection="0"/>
    <xf numFmtId="9" fontId="79" fillId="0" borderId="0" applyFont="0" applyFill="0" applyBorder="0" applyAlignment="0" applyProtection="0"/>
    <xf numFmtId="9" fontId="41" fillId="0" borderId="0" applyFont="0" applyFill="0" applyBorder="0" applyAlignment="0" applyProtection="0"/>
    <xf numFmtId="0" fontId="3" fillId="0" borderId="0"/>
    <xf numFmtId="185" fontId="80" fillId="0" borderId="0"/>
    <xf numFmtId="166" fontId="70" fillId="0" borderId="0" applyFont="0" applyFill="0" applyBorder="0" applyAlignment="0" applyProtection="0"/>
    <xf numFmtId="167" fontId="70" fillId="0" borderId="0" applyFont="0" applyFill="0" applyBorder="0" applyAlignment="0" applyProtection="0"/>
    <xf numFmtId="0" fontId="3" fillId="0" borderId="0"/>
    <xf numFmtId="43" fontId="41" fillId="0" borderId="0" applyFont="0" applyFill="0" applyBorder="0" applyAlignment="0" applyProtection="0"/>
    <xf numFmtId="0" fontId="83" fillId="0" borderId="0"/>
    <xf numFmtId="43" fontId="48"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2"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3"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1"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0" fontId="83" fillId="0" borderId="0"/>
    <xf numFmtId="0" fontId="83" fillId="0" borderId="0"/>
    <xf numFmtId="38" fontId="51" fillId="56" borderId="0" applyNumberFormat="0" applyBorder="0" applyAlignment="0" applyProtection="0"/>
    <xf numFmtId="0" fontId="84"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0" fontId="85" fillId="0" borderId="0" applyNumberFormat="0" applyFill="0" applyBorder="0" applyAlignment="0" applyProtection="0">
      <alignment vertical="top"/>
      <protection locked="0"/>
    </xf>
    <xf numFmtId="10" fontId="51" fillId="74" borderId="28" applyNumberFormat="0" applyBorder="0" applyAlignment="0" applyProtection="0"/>
    <xf numFmtId="38" fontId="86" fillId="0" borderId="0" applyFont="0" applyFill="0" applyBorder="0" applyAlignment="0" applyProtection="0"/>
    <xf numFmtId="40" fontId="86" fillId="0" borderId="0" applyFont="0" applyFill="0" applyBorder="0" applyAlignment="0" applyProtection="0"/>
    <xf numFmtId="6" fontId="86" fillId="0" borderId="0" applyFont="0" applyFill="0" applyBorder="0" applyAlignment="0" applyProtection="0"/>
    <xf numFmtId="8" fontId="86" fillId="0" borderId="0" applyFont="0" applyFill="0" applyBorder="0" applyAlignment="0" applyProtection="0"/>
    <xf numFmtId="37" fontId="87" fillId="0" borderId="0"/>
    <xf numFmtId="0" fontId="83" fillId="0" borderId="0"/>
    <xf numFmtId="0" fontId="74" fillId="0" borderId="0"/>
    <xf numFmtId="0" fontId="41" fillId="0" borderId="0"/>
    <xf numFmtId="0" fontId="44" fillId="0" borderId="0"/>
    <xf numFmtId="0" fontId="48" fillId="0" borderId="0"/>
    <xf numFmtId="0" fontId="74" fillId="0" borderId="0"/>
    <xf numFmtId="0" fontId="41" fillId="0" borderId="0"/>
    <xf numFmtId="0" fontId="48" fillId="0" borderId="0"/>
    <xf numFmtId="0" fontId="74" fillId="0" borderId="0"/>
    <xf numFmtId="0" fontId="48" fillId="0" borderId="0"/>
    <xf numFmtId="0" fontId="41" fillId="0" borderId="0"/>
    <xf numFmtId="0" fontId="48" fillId="0" borderId="0"/>
    <xf numFmtId="0" fontId="48" fillId="0" borderId="0"/>
    <xf numFmtId="0" fontId="74" fillId="0" borderId="0"/>
    <xf numFmtId="0" fontId="44" fillId="0" borderId="0"/>
    <xf numFmtId="0" fontId="44" fillId="0" borderId="0"/>
    <xf numFmtId="0" fontId="48" fillId="0" borderId="0"/>
    <xf numFmtId="0" fontId="48" fillId="0" borderId="0"/>
    <xf numFmtId="0" fontId="74" fillId="0" borderId="0"/>
    <xf numFmtId="0" fontId="7" fillId="0" borderId="0"/>
    <xf numFmtId="0" fontId="41" fillId="0" borderId="0"/>
    <xf numFmtId="0" fontId="41" fillId="0" borderId="0"/>
    <xf numFmtId="0" fontId="41" fillId="0" borderId="0"/>
    <xf numFmtId="0" fontId="74" fillId="0" borderId="0"/>
    <xf numFmtId="0" fontId="48" fillId="0" borderId="0"/>
    <xf numFmtId="0" fontId="48" fillId="0" borderId="0"/>
    <xf numFmtId="0" fontId="41" fillId="0" borderId="0"/>
    <xf numFmtId="0" fontId="74" fillId="0" borderId="0"/>
    <xf numFmtId="0" fontId="48" fillId="0" borderId="0"/>
    <xf numFmtId="0" fontId="74" fillId="0" borderId="0"/>
    <xf numFmtId="0" fontId="41" fillId="0" borderId="0"/>
    <xf numFmtId="0" fontId="44" fillId="0" borderId="0"/>
    <xf numFmtId="0" fontId="74" fillId="0" borderId="0"/>
    <xf numFmtId="0" fontId="48" fillId="0" borderId="0"/>
    <xf numFmtId="0" fontId="48" fillId="0" borderId="0"/>
    <xf numFmtId="0" fontId="48" fillId="0" borderId="0"/>
    <xf numFmtId="0" fontId="41" fillId="0" borderId="0"/>
    <xf numFmtId="0" fontId="74" fillId="0" borderId="0"/>
    <xf numFmtId="0" fontId="48" fillId="0" borderId="0"/>
    <xf numFmtId="0" fontId="48" fillId="0" borderId="0"/>
    <xf numFmtId="0" fontId="48" fillId="0" borderId="0"/>
    <xf numFmtId="0" fontId="48" fillId="0" borderId="0"/>
    <xf numFmtId="0" fontId="44" fillId="0" borderId="0"/>
    <xf numFmtId="0" fontId="44" fillId="0" borderId="0"/>
    <xf numFmtId="0" fontId="74" fillId="0" borderId="0"/>
    <xf numFmtId="0" fontId="41" fillId="0" borderId="0"/>
    <xf numFmtId="0" fontId="48" fillId="0" borderId="0"/>
    <xf numFmtId="0" fontId="74" fillId="0" borderId="0"/>
    <xf numFmtId="0" fontId="41" fillId="0" borderId="0"/>
    <xf numFmtId="0" fontId="74" fillId="0" borderId="0"/>
    <xf numFmtId="0" fontId="74" fillId="0" borderId="0"/>
    <xf numFmtId="0" fontId="74" fillId="0" borderId="0"/>
    <xf numFmtId="0" fontId="74" fillId="0" borderId="0"/>
    <xf numFmtId="0" fontId="41" fillId="0" borderId="0"/>
    <xf numFmtId="0" fontId="41" fillId="0" borderId="0"/>
    <xf numFmtId="0" fontId="74" fillId="0" borderId="0"/>
    <xf numFmtId="0" fontId="48" fillId="0" borderId="0"/>
    <xf numFmtId="0" fontId="74" fillId="0" borderId="0"/>
    <xf numFmtId="0" fontId="41" fillId="0" borderId="0"/>
    <xf numFmtId="0" fontId="74" fillId="0" borderId="0"/>
    <xf numFmtId="0" fontId="48" fillId="0" borderId="0"/>
    <xf numFmtId="0" fontId="74" fillId="0" borderId="0"/>
    <xf numFmtId="0" fontId="74" fillId="0" borderId="0"/>
    <xf numFmtId="0" fontId="74" fillId="0" borderId="0"/>
    <xf numFmtId="0" fontId="48" fillId="0" borderId="0"/>
    <xf numFmtId="0" fontId="41" fillId="0" borderId="0"/>
    <xf numFmtId="0" fontId="48" fillId="0" borderId="0"/>
    <xf numFmtId="0" fontId="74" fillId="0" borderId="0"/>
    <xf numFmtId="0" fontId="41" fillId="0" borderId="0"/>
    <xf numFmtId="0" fontId="48" fillId="0" borderId="0"/>
    <xf numFmtId="0" fontId="48" fillId="0" borderId="0"/>
    <xf numFmtId="0" fontId="74" fillId="0" borderId="0"/>
    <xf numFmtId="0" fontId="74" fillId="0" borderId="0"/>
    <xf numFmtId="0" fontId="41" fillId="0" borderId="0"/>
    <xf numFmtId="0" fontId="48" fillId="0" borderId="0"/>
    <xf numFmtId="0" fontId="48" fillId="0" borderId="0"/>
    <xf numFmtId="0" fontId="44" fillId="0" borderId="0"/>
    <xf numFmtId="0" fontId="3" fillId="0" borderId="0"/>
    <xf numFmtId="0" fontId="74" fillId="0" borderId="0"/>
    <xf numFmtId="0" fontId="41" fillId="0" borderId="0"/>
    <xf numFmtId="0" fontId="48" fillId="0" borderId="0"/>
    <xf numFmtId="0" fontId="74" fillId="0" borderId="0"/>
    <xf numFmtId="0" fontId="41" fillId="0" borderId="0"/>
    <xf numFmtId="0" fontId="48" fillId="0" borderId="0"/>
    <xf numFmtId="0" fontId="48" fillId="0" borderId="0"/>
    <xf numFmtId="0" fontId="74" fillId="0" borderId="0"/>
    <xf numFmtId="0" fontId="41" fillId="0" borderId="0"/>
    <xf numFmtId="0" fontId="41" fillId="0" borderId="0"/>
    <xf numFmtId="10" fontId="48"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1" fillId="0" borderId="0" applyFont="0" applyFill="0" applyBorder="0" applyAlignment="0" applyProtection="0"/>
    <xf numFmtId="9" fontId="86" fillId="0" borderId="7" applyNumberFormat="0" applyBorder="0"/>
    <xf numFmtId="1" fontId="48" fillId="0" borderId="30" applyNumberFormat="0" applyFill="0" applyAlignment="0" applyProtection="0">
      <alignment horizontal="center" vertical="center"/>
    </xf>
    <xf numFmtId="4" fontId="73" fillId="55" borderId="41" applyNumberFormat="0" applyProtection="0">
      <alignment horizontal="right" vertical="center"/>
    </xf>
    <xf numFmtId="4" fontId="73" fillId="54" borderId="41" applyNumberFormat="0" applyProtection="0">
      <alignment horizontal="left" vertical="center" indent="1"/>
    </xf>
    <xf numFmtId="0" fontId="73" fillId="53" borderId="41" applyNumberFormat="0" applyProtection="0">
      <alignment horizontal="left" vertical="top" indent="1"/>
    </xf>
    <xf numFmtId="4" fontId="88" fillId="75" borderId="0" applyNumberFormat="0" applyProtection="0">
      <alignment horizontal="left" vertical="center" indent="1"/>
    </xf>
    <xf numFmtId="0" fontId="3" fillId="0" borderId="0"/>
    <xf numFmtId="0" fontId="3" fillId="0" borderId="0"/>
    <xf numFmtId="0" fontId="3" fillId="0" borderId="0"/>
    <xf numFmtId="0" fontId="3" fillId="0" borderId="0"/>
    <xf numFmtId="0" fontId="3" fillId="0" borderId="0"/>
    <xf numFmtId="0" fontId="89" fillId="30" borderId="0" applyNumberFormat="0" applyBorder="0" applyAlignment="0" applyProtection="0"/>
    <xf numFmtId="0" fontId="130" fillId="41" borderId="0" applyNumberFormat="0" applyBorder="0" applyAlignment="0" applyProtection="0"/>
    <xf numFmtId="0" fontId="89" fillId="31" borderId="0" applyNumberFormat="0" applyBorder="0" applyAlignment="0" applyProtection="0"/>
    <xf numFmtId="0" fontId="130" fillId="41" borderId="0" applyNumberFormat="0" applyBorder="0" applyAlignment="0" applyProtection="0"/>
    <xf numFmtId="0" fontId="89" fillId="32" borderId="0" applyNumberFormat="0" applyBorder="0" applyAlignment="0" applyProtection="0"/>
    <xf numFmtId="0" fontId="130" fillId="41" borderId="0" applyNumberFormat="0" applyBorder="0" applyAlignment="0" applyProtection="0"/>
    <xf numFmtId="0" fontId="89" fillId="33" borderId="0" applyNumberFormat="0" applyBorder="0" applyAlignment="0" applyProtection="0"/>
    <xf numFmtId="0" fontId="130" fillId="41" borderId="0" applyNumberFormat="0" applyBorder="0" applyAlignment="0" applyProtection="0"/>
    <xf numFmtId="0" fontId="89" fillId="34" borderId="0" applyNumberFormat="0" applyBorder="0" applyAlignment="0" applyProtection="0"/>
    <xf numFmtId="0" fontId="130" fillId="41" borderId="0" applyNumberFormat="0" applyBorder="0" applyAlignment="0" applyProtection="0"/>
    <xf numFmtId="0" fontId="89" fillId="35" borderId="0" applyNumberFormat="0" applyBorder="0" applyAlignment="0" applyProtection="0"/>
    <xf numFmtId="0" fontId="130" fillId="41" borderId="0" applyNumberFormat="0" applyBorder="0" applyAlignment="0" applyProtection="0"/>
    <xf numFmtId="0" fontId="89" fillId="36" borderId="0" applyNumberFormat="0" applyBorder="0" applyAlignment="0" applyProtection="0"/>
    <xf numFmtId="0" fontId="130" fillId="41" borderId="0" applyNumberFormat="0" applyBorder="0" applyAlignment="0" applyProtection="0"/>
    <xf numFmtId="0" fontId="89" fillId="37" borderId="0" applyNumberFormat="0" applyBorder="0" applyAlignment="0" applyProtection="0"/>
    <xf numFmtId="0" fontId="130" fillId="41" borderId="0" applyNumberFormat="0" applyBorder="0" applyAlignment="0" applyProtection="0"/>
    <xf numFmtId="0" fontId="89" fillId="38" borderId="0" applyNumberFormat="0" applyBorder="0" applyAlignment="0" applyProtection="0"/>
    <xf numFmtId="0" fontId="130" fillId="41" borderId="0" applyNumberFormat="0" applyBorder="0" applyAlignment="0" applyProtection="0"/>
    <xf numFmtId="0" fontId="89" fillId="33" borderId="0" applyNumberFormat="0" applyBorder="0" applyAlignment="0" applyProtection="0"/>
    <xf numFmtId="0" fontId="130" fillId="41" borderId="0" applyNumberFormat="0" applyBorder="0" applyAlignment="0" applyProtection="0"/>
    <xf numFmtId="0" fontId="89" fillId="36" borderId="0" applyNumberFormat="0" applyBorder="0" applyAlignment="0" applyProtection="0"/>
    <xf numFmtId="0" fontId="130" fillId="41" borderId="0" applyNumberFormat="0" applyBorder="0" applyAlignment="0" applyProtection="0"/>
    <xf numFmtId="0" fontId="89" fillId="39" borderId="0" applyNumberFormat="0" applyBorder="0" applyAlignment="0" applyProtection="0"/>
    <xf numFmtId="0" fontId="130" fillId="41" borderId="0" applyNumberFormat="0" applyBorder="0" applyAlignment="0" applyProtection="0"/>
    <xf numFmtId="0" fontId="90" fillId="40" borderId="0" applyNumberFormat="0" applyBorder="0" applyAlignment="0" applyProtection="0"/>
    <xf numFmtId="0" fontId="130" fillId="41" borderId="0" applyNumberFormat="0" applyBorder="0" applyAlignment="0" applyProtection="0"/>
    <xf numFmtId="0" fontId="90" fillId="37" borderId="0" applyNumberFormat="0" applyBorder="0" applyAlignment="0" applyProtection="0"/>
    <xf numFmtId="0" fontId="130" fillId="41" borderId="0" applyNumberFormat="0" applyBorder="0" applyAlignment="0" applyProtection="0"/>
    <xf numFmtId="0" fontId="90" fillId="38" borderId="0" applyNumberFormat="0" applyBorder="0" applyAlignment="0" applyProtection="0"/>
    <xf numFmtId="0" fontId="130" fillId="41" borderId="0" applyNumberFormat="0" applyBorder="0" applyAlignment="0" applyProtection="0"/>
    <xf numFmtId="0" fontId="90" fillId="41" borderId="0" applyNumberFormat="0" applyBorder="0" applyAlignment="0" applyProtection="0"/>
    <xf numFmtId="0" fontId="130" fillId="41" borderId="0" applyNumberFormat="0" applyBorder="0" applyAlignment="0" applyProtection="0"/>
    <xf numFmtId="0" fontId="90" fillId="42" borderId="0" applyNumberFormat="0" applyBorder="0" applyAlignment="0" applyProtection="0"/>
    <xf numFmtId="0" fontId="130" fillId="41" borderId="0" applyNumberFormat="0" applyBorder="0" applyAlignment="0" applyProtection="0"/>
    <xf numFmtId="0" fontId="90" fillId="43"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79" fillId="76" borderId="0" applyNumberFormat="0" applyBorder="0" applyAlignment="0" applyProtection="0"/>
    <xf numFmtId="0" fontId="79" fillId="77" borderId="0" applyNumberFormat="0" applyBorder="0" applyAlignment="0" applyProtection="0"/>
    <xf numFmtId="0" fontId="91" fillId="78"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0" fillId="44"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130" fillId="41"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91" fillId="79" borderId="0" applyNumberFormat="0" applyBorder="0" applyAlignment="0" applyProtection="0"/>
    <xf numFmtId="0" fontId="79" fillId="80" borderId="0" applyNumberFormat="0" applyBorder="0" applyAlignment="0" applyProtection="0"/>
    <xf numFmtId="0" fontId="79" fillId="81" borderId="0" applyNumberFormat="0" applyBorder="0" applyAlignment="0" applyProtection="0"/>
    <xf numFmtId="0" fontId="91" fillId="82"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0" fillId="45"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130" fillId="41"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91" fillId="83" borderId="0" applyNumberFormat="0" applyBorder="0" applyAlignment="0" applyProtection="0"/>
    <xf numFmtId="0" fontId="79" fillId="84" borderId="0" applyNumberFormat="0" applyBorder="0" applyAlignment="0" applyProtection="0"/>
    <xf numFmtId="0" fontId="79" fillId="85" borderId="0" applyNumberFormat="0" applyBorder="0" applyAlignment="0" applyProtection="0"/>
    <xf numFmtId="0" fontId="91" fillId="86"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0" fillId="46"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130" fillId="41"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91" fillId="87" borderId="0" applyNumberFormat="0" applyBorder="0" applyAlignment="0" applyProtection="0"/>
    <xf numFmtId="0" fontId="79" fillId="80" borderId="0" applyNumberFormat="0" applyBorder="0" applyAlignment="0" applyProtection="0"/>
    <xf numFmtId="0" fontId="79" fillId="88" borderId="0" applyNumberFormat="0" applyBorder="0" applyAlignment="0" applyProtection="0"/>
    <xf numFmtId="0" fontId="91" fillId="81"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0" fillId="41"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130" fillId="41"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91" fillId="89" borderId="0" applyNumberFormat="0" applyBorder="0" applyAlignment="0" applyProtection="0"/>
    <xf numFmtId="0" fontId="79" fillId="90" borderId="0" applyNumberFormat="0" applyBorder="0" applyAlignment="0" applyProtection="0"/>
    <xf numFmtId="0" fontId="79" fillId="91"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0" fillId="42"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130" fillId="41"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91" fillId="78" borderId="0" applyNumberFormat="0" applyBorder="0" applyAlignment="0" applyProtection="0"/>
    <xf numFmtId="0" fontId="79" fillId="92" borderId="0" applyNumberFormat="0" applyBorder="0" applyAlignment="0" applyProtection="0"/>
    <xf numFmtId="0" fontId="79" fillId="93" borderId="0" applyNumberFormat="0" applyBorder="0" applyAlignment="0" applyProtection="0"/>
    <xf numFmtId="0" fontId="91" fillId="94"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0" fillId="47"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130" fillId="41"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1" fillId="95" borderId="0" applyNumberFormat="0" applyBorder="0" applyAlignment="0" applyProtection="0"/>
    <xf numFmtId="0" fontId="92" fillId="31" borderId="0" applyNumberFormat="0" applyBorder="0" applyAlignment="0" applyProtection="0"/>
    <xf numFmtId="0" fontId="130" fillId="41" borderId="0" applyNumberFormat="0" applyBorder="0" applyAlignment="0" applyProtection="0"/>
    <xf numFmtId="0" fontId="93" fillId="92" borderId="0" applyNumberFormat="0" applyBorder="0" applyAlignment="0" applyProtection="0"/>
    <xf numFmtId="0" fontId="94" fillId="48" borderId="33" applyNumberFormat="0" applyAlignment="0" applyProtection="0"/>
    <xf numFmtId="0" fontId="130" fillId="41" borderId="0" applyNumberFormat="0" applyBorder="0" applyAlignment="0" applyProtection="0"/>
    <xf numFmtId="0" fontId="95" fillId="96" borderId="44" applyNumberFormat="0" applyAlignment="0" applyProtection="0"/>
    <xf numFmtId="0" fontId="96" fillId="49" borderId="34" applyNumberFormat="0" applyAlignment="0" applyProtection="0"/>
    <xf numFmtId="0" fontId="130" fillId="41" borderId="0" applyNumberFormat="0" applyBorder="0" applyAlignment="0" applyProtection="0"/>
    <xf numFmtId="0" fontId="97" fillId="89" borderId="34" applyNumberFormat="0" applyAlignment="0" applyProtection="0"/>
    <xf numFmtId="0" fontId="130" fillId="41" borderId="0" applyNumberFormat="0" applyBorder="0" applyAlignment="0" applyProtection="0"/>
    <xf numFmtId="0" fontId="130" fillId="41" borderId="0" applyNumberFormat="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1"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0" fontId="130" fillId="41" borderId="0" applyNumberFormat="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89"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4" fillId="0" borderId="0" applyFont="0" applyFill="0" applyBorder="0" applyAlignment="0" applyProtection="0"/>
    <xf numFmtId="0" fontId="130" fillId="41" borderId="0" applyNumberFormat="0" applyBorder="0" applyAlignment="0" applyProtection="0"/>
    <xf numFmtId="43" fontId="48"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98" fillId="0" borderId="0" applyFont="0" applyFill="0" applyBorder="0" applyAlignment="0" applyProtection="0"/>
    <xf numFmtId="43" fontId="89" fillId="0" borderId="0" applyFont="0" applyFill="0" applyBorder="0" applyAlignment="0" applyProtection="0"/>
    <xf numFmtId="43" fontId="79" fillId="0" borderId="0" applyFont="0" applyFill="0" applyBorder="0" applyAlignment="0" applyProtection="0"/>
    <xf numFmtId="43" fontId="7" fillId="0" borderId="0" applyFont="0" applyFill="0" applyBorder="0" applyAlignment="0" applyProtection="0"/>
    <xf numFmtId="43" fontId="41" fillId="0" borderId="0" applyFont="0" applyFill="0" applyBorder="0" applyAlignment="0" applyProtection="0"/>
    <xf numFmtId="43" fontId="44" fillId="0" borderId="0" applyFont="0" applyFill="0" applyBorder="0" applyAlignment="0" applyProtection="0"/>
    <xf numFmtId="43" fontId="48" fillId="0" borderId="0" applyFont="0" applyFill="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167" fontId="44" fillId="0" borderId="0" applyFont="0" applyFill="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99" fillId="97" borderId="0" applyNumberFormat="0" applyBorder="0" applyAlignment="0" applyProtection="0"/>
    <xf numFmtId="0" fontId="99" fillId="98" borderId="0" applyNumberFormat="0" applyBorder="0" applyAlignment="0" applyProtection="0"/>
    <xf numFmtId="0" fontId="99" fillId="99" borderId="0" applyNumberFormat="0" applyBorder="0" applyAlignment="0" applyProtection="0"/>
    <xf numFmtId="0" fontId="100" fillId="0" borderId="0" applyNumberFormat="0" applyFill="0" applyBorder="0" applyAlignment="0" applyProtection="0"/>
    <xf numFmtId="0" fontId="130" fillId="41" borderId="0" applyNumberFormat="0" applyBorder="0" applyAlignment="0" applyProtection="0"/>
    <xf numFmtId="0" fontId="128" fillId="28" borderId="0" applyNumberFormat="0" applyBorder="0" applyAlignment="0" applyProtection="0"/>
    <xf numFmtId="0" fontId="130" fillId="41" borderId="0" applyNumberFormat="0" applyBorder="0" applyAlignment="0" applyProtection="0"/>
    <xf numFmtId="0" fontId="79" fillId="85"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01" fillId="0" borderId="35" applyNumberFormat="0" applyFill="0" applyAlignment="0" applyProtection="0"/>
    <xf numFmtId="0" fontId="130" fillId="41" borderId="0" applyNumberFormat="0" applyBorder="0" applyAlignment="0" applyProtection="0"/>
    <xf numFmtId="0" fontId="102" fillId="0" borderId="45" applyNumberFormat="0" applyFill="0" applyAlignment="0" applyProtection="0"/>
    <xf numFmtId="0" fontId="103" fillId="0" borderId="36" applyNumberFormat="0" applyFill="0" applyAlignment="0" applyProtection="0"/>
    <xf numFmtId="0" fontId="130" fillId="41" borderId="0" applyNumberFormat="0" applyBorder="0" applyAlignment="0" applyProtection="0"/>
    <xf numFmtId="0" fontId="104" fillId="0" borderId="46" applyNumberFormat="0" applyFill="0" applyAlignment="0" applyProtection="0"/>
    <xf numFmtId="0" fontId="105" fillId="0" borderId="37" applyNumberFormat="0" applyFill="0" applyAlignment="0" applyProtection="0"/>
    <xf numFmtId="0" fontId="130" fillId="41" borderId="0" applyNumberFormat="0" applyBorder="0" applyAlignment="0" applyProtection="0"/>
    <xf numFmtId="0" fontId="106" fillId="0" borderId="47" applyNumberFormat="0" applyFill="0" applyAlignment="0" applyProtection="0"/>
    <xf numFmtId="0" fontId="105" fillId="0" borderId="0" applyNumberFormat="0" applyFill="0" applyBorder="0" applyAlignment="0" applyProtection="0"/>
    <xf numFmtId="0" fontId="130" fillId="41" borderId="0" applyNumberFormat="0" applyBorder="0" applyAlignment="0" applyProtection="0"/>
    <xf numFmtId="0" fontId="106" fillId="0" borderId="0" applyNumberFormat="0" applyFill="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07"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29" fillId="0" borderId="0" applyNumberFormat="0" applyFill="0" applyBorder="0" applyAlignment="0" applyProtection="0">
      <alignment vertical="top"/>
      <protection locked="0"/>
    </xf>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9" fillId="35" borderId="33"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9" fillId="35" borderId="33"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08" fillId="93" borderId="44" applyNumberFormat="0" applyAlignment="0" applyProtection="0"/>
    <xf numFmtId="0" fontId="110" fillId="0" borderId="38" applyNumberFormat="0" applyFill="0" applyAlignment="0" applyProtection="0"/>
    <xf numFmtId="0" fontId="130" fillId="42" borderId="0" applyNumberFormat="0" applyBorder="0" applyAlignment="0" applyProtection="0"/>
    <xf numFmtId="0" fontId="111" fillId="0" borderId="48" applyNumberFormat="0" applyFill="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12" fillId="50" borderId="0" applyNumberFormat="0" applyBorder="0" applyAlignment="0" applyProtection="0"/>
    <xf numFmtId="0" fontId="130" fillId="42" borderId="0" applyNumberFormat="0" applyBorder="0" applyAlignment="0" applyProtection="0"/>
    <xf numFmtId="0" fontId="111" fillId="93"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74" fillId="0" borderId="0"/>
    <xf numFmtId="0" fontId="113" fillId="0" borderId="0"/>
    <xf numFmtId="0" fontId="74" fillId="0" borderId="0"/>
    <xf numFmtId="0" fontId="113" fillId="0" borderId="0"/>
    <xf numFmtId="0" fontId="74" fillId="0" borderId="0"/>
    <xf numFmtId="0" fontId="48" fillId="0" borderId="0"/>
    <xf numFmtId="0" fontId="48" fillId="0" borderId="0"/>
    <xf numFmtId="0" fontId="74" fillId="0" borderId="0"/>
    <xf numFmtId="0" fontId="113" fillId="0" borderId="0"/>
    <xf numFmtId="0" fontId="48" fillId="0" borderId="0"/>
    <xf numFmtId="0" fontId="130" fillId="42" borderId="0" applyNumberFormat="0" applyBorder="0" applyAlignment="0" applyProtection="0"/>
    <xf numFmtId="0" fontId="48" fillId="0" borderId="0"/>
    <xf numFmtId="0" fontId="48" fillId="0" borderId="0"/>
    <xf numFmtId="0" fontId="48" fillId="0" borderId="0"/>
    <xf numFmtId="0" fontId="74" fillId="0" borderId="0"/>
    <xf numFmtId="0" fontId="113" fillId="0" borderId="0"/>
    <xf numFmtId="0" fontId="3" fillId="0" borderId="0"/>
    <xf numFmtId="0" fontId="48" fillId="0" borderId="0"/>
    <xf numFmtId="0" fontId="3" fillId="0" borderId="0"/>
    <xf numFmtId="0" fontId="3" fillId="0" borderId="0"/>
    <xf numFmtId="0" fontId="74" fillId="0" borderId="0"/>
    <xf numFmtId="0" fontId="130" fillId="42" borderId="0" applyNumberFormat="0" applyBorder="0" applyAlignment="0" applyProtection="0"/>
    <xf numFmtId="0" fontId="44" fillId="0" borderId="0"/>
    <xf numFmtId="0" fontId="7" fillId="0" borderId="0"/>
    <xf numFmtId="0" fontId="113" fillId="0" borderId="0"/>
    <xf numFmtId="0" fontId="74" fillId="0" borderId="0"/>
    <xf numFmtId="0" fontId="3" fillId="0" borderId="0"/>
    <xf numFmtId="0" fontId="3" fillId="0" borderId="0"/>
    <xf numFmtId="0" fontId="81" fillId="0" borderId="0"/>
    <xf numFmtId="0" fontId="81" fillId="0" borderId="0"/>
    <xf numFmtId="0" fontId="81" fillId="0" borderId="0"/>
    <xf numFmtId="0" fontId="81" fillId="0" borderId="0"/>
    <xf numFmtId="0" fontId="81" fillId="0" borderId="0"/>
    <xf numFmtId="0" fontId="130" fillId="42" borderId="0" applyNumberFormat="0" applyBorder="0" applyAlignment="0" applyProtection="0"/>
    <xf numFmtId="0" fontId="81" fillId="0" borderId="0"/>
    <xf numFmtId="0" fontId="81" fillId="0" borderId="0"/>
    <xf numFmtId="0" fontId="81" fillId="0" borderId="0"/>
    <xf numFmtId="0" fontId="81" fillId="0" borderId="0"/>
    <xf numFmtId="0" fontId="3" fillId="0" borderId="0"/>
    <xf numFmtId="0" fontId="51" fillId="100" borderId="0"/>
    <xf numFmtId="0" fontId="51" fillId="100" borderId="0"/>
    <xf numFmtId="0" fontId="51" fillId="100" borderId="0"/>
    <xf numFmtId="0" fontId="51" fillId="100" borderId="0"/>
    <xf numFmtId="0" fontId="51" fillId="100" borderId="0"/>
    <xf numFmtId="0" fontId="130" fillId="42" borderId="0" applyNumberFormat="0" applyBorder="0" applyAlignment="0" applyProtection="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130" fillId="42" borderId="0" applyNumberFormat="0" applyBorder="0" applyAlignment="0" applyProtection="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130" fillId="42" borderId="0" applyNumberFormat="0" applyBorder="0" applyAlignment="0" applyProtection="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130" fillId="42" borderId="0" applyNumberFormat="0" applyBorder="0" applyAlignment="0" applyProtection="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130" fillId="42" borderId="0" applyNumberFormat="0" applyBorder="0" applyAlignment="0" applyProtection="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130" fillId="42" borderId="0" applyNumberFormat="0" applyBorder="0" applyAlignment="0" applyProtection="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130" fillId="42" borderId="0" applyNumberFormat="0" applyBorder="0" applyAlignment="0" applyProtection="0"/>
    <xf numFmtId="0" fontId="130" fillId="42" borderId="0" applyNumberFormat="0" applyBorder="0" applyAlignment="0" applyProtection="0"/>
    <xf numFmtId="0" fontId="44" fillId="0" borderId="0"/>
    <xf numFmtId="0" fontId="74" fillId="0" borderId="0"/>
    <xf numFmtId="0" fontId="74" fillId="0" borderId="0"/>
    <xf numFmtId="0" fontId="74" fillId="0" borderId="0"/>
    <xf numFmtId="0" fontId="3" fillId="0" borderId="0"/>
    <xf numFmtId="0" fontId="41" fillId="0" borderId="0"/>
    <xf numFmtId="0" fontId="130" fillId="42" borderId="0" applyNumberFormat="0" applyBorder="0" applyAlignment="0" applyProtection="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130" fillId="42" borderId="0" applyNumberFormat="0" applyBorder="0" applyAlignment="0" applyProtection="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130" fillId="42" borderId="0" applyNumberFormat="0" applyBorder="0" applyAlignment="0" applyProtection="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130" fillId="42" borderId="0" applyNumberFormat="0" applyBorder="0" applyAlignment="0" applyProtection="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51" fillId="100" borderId="0"/>
    <xf numFmtId="0" fontId="130" fillId="42" borderId="0" applyNumberFormat="0" applyBorder="0" applyAlignment="0" applyProtection="0"/>
    <xf numFmtId="0" fontId="41" fillId="0" borderId="0"/>
    <xf numFmtId="0" fontId="74" fillId="0" borderId="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71" fillId="0" borderId="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74" fillId="0" borderId="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3" fillId="0" borderId="0"/>
    <xf numFmtId="0" fontId="3" fillId="0" borderId="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44" fillId="0" borderId="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4" fillId="0" borderId="0"/>
    <xf numFmtId="0" fontId="3" fillId="0" borderId="0"/>
    <xf numFmtId="0" fontId="3" fillId="0" borderId="0"/>
    <xf numFmtId="0" fontId="4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41" fillId="0" borderId="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130" fillId="47" borderId="0" applyNumberFormat="0" applyBorder="0" applyAlignment="0" applyProtection="0"/>
    <xf numFmtId="0" fontId="41" fillId="0" borderId="0"/>
    <xf numFmtId="0" fontId="130" fillId="47" borderId="0" applyNumberFormat="0" applyBorder="0" applyAlignment="0" applyProtection="0"/>
    <xf numFmtId="0" fontId="74" fillId="0" borderId="0"/>
    <xf numFmtId="0" fontId="48" fillId="0" borderId="0"/>
    <xf numFmtId="0" fontId="44" fillId="0" borderId="0"/>
    <xf numFmtId="0" fontId="41" fillId="0" borderId="0"/>
    <xf numFmtId="0" fontId="74" fillId="0" borderId="0"/>
    <xf numFmtId="0" fontId="48" fillId="0" borderId="0"/>
    <xf numFmtId="0" fontId="74" fillId="0" borderId="0"/>
    <xf numFmtId="0" fontId="74" fillId="0" borderId="0"/>
    <xf numFmtId="0" fontId="48" fillId="0" borderId="0"/>
    <xf numFmtId="0" fontId="48" fillId="0" borderId="0"/>
    <xf numFmtId="0" fontId="113" fillId="0" borderId="0"/>
    <xf numFmtId="0" fontId="131" fillId="31" borderId="0" applyNumberFormat="0" applyBorder="0" applyAlignment="0" applyProtection="0"/>
    <xf numFmtId="0" fontId="131" fillId="31" borderId="0" applyNumberFormat="0" applyBorder="0" applyAlignment="0" applyProtection="0"/>
    <xf numFmtId="0" fontId="89" fillId="29" borderId="32" applyNumberFormat="0" applyFont="0" applyAlignment="0" applyProtection="0"/>
    <xf numFmtId="0" fontId="131" fillId="31" borderId="0" applyNumberFormat="0" applyBorder="0" applyAlignment="0" applyProtection="0"/>
    <xf numFmtId="0" fontId="51" fillId="92" borderId="44" applyNumberFormat="0" applyFont="0" applyAlignment="0" applyProtection="0"/>
    <xf numFmtId="0" fontId="114" fillId="48" borderId="40" applyNumberFormat="0" applyAlignment="0" applyProtection="0"/>
    <xf numFmtId="0" fontId="131" fillId="31" borderId="0" applyNumberFormat="0" applyBorder="0" applyAlignment="0" applyProtection="0"/>
    <xf numFmtId="0" fontId="115" fillId="96" borderId="40" applyNumberFormat="0" applyAlignment="0" applyProtection="0"/>
    <xf numFmtId="9" fontId="3" fillId="0" borderId="0" applyFont="0" applyFill="0" applyBorder="0" applyAlignment="0" applyProtection="0"/>
    <xf numFmtId="0" fontId="131" fillId="31" borderId="0" applyNumberFormat="0" applyBorder="0" applyAlignment="0" applyProtection="0"/>
    <xf numFmtId="0" fontId="131" fillId="31" borderId="0" applyNumberFormat="0" applyBorder="0" applyAlignment="0" applyProtection="0"/>
    <xf numFmtId="9" fontId="48" fillId="0" borderId="0" applyFont="0" applyFill="0" applyBorder="0" applyAlignment="0" applyProtection="0"/>
    <xf numFmtId="0" fontId="131" fillId="31" borderId="0" applyNumberFormat="0" applyBorder="0" applyAlignment="0" applyProtection="0"/>
    <xf numFmtId="0" fontId="131" fillId="31" borderId="0" applyNumberFormat="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79" fillId="0" borderId="0" applyFont="0" applyFill="0" applyBorder="0" applyAlignment="0" applyProtection="0"/>
    <xf numFmtId="9" fontId="89" fillId="0" borderId="0" applyFont="0" applyFill="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4" fontId="51" fillId="50" borderId="44" applyNumberFormat="0" applyProtection="0">
      <alignment vertical="center"/>
    </xf>
    <xf numFmtId="4" fontId="116" fillId="52" borderId="41" applyNumberFormat="0" applyProtection="0">
      <alignment vertical="center"/>
    </xf>
    <xf numFmtId="4" fontId="117" fillId="52" borderId="44" applyNumberFormat="0" applyProtection="0">
      <alignment vertical="center"/>
    </xf>
    <xf numFmtId="0" fontId="131" fillId="31" borderId="0" applyNumberFormat="0" applyBorder="0" applyAlignment="0" applyProtection="0"/>
    <xf numFmtId="0" fontId="131" fillId="31" borderId="0" applyNumberFormat="0" applyBorder="0" applyAlignment="0" applyProtection="0"/>
    <xf numFmtId="4" fontId="51" fillId="52" borderId="44" applyNumberFormat="0" applyProtection="0">
      <alignment horizontal="left" vertical="center" indent="1"/>
    </xf>
    <xf numFmtId="0" fontId="72" fillId="52" borderId="41" applyNumberFormat="0" applyProtection="0">
      <alignment horizontal="left" vertical="top" indent="1"/>
    </xf>
    <xf numFmtId="0" fontId="118" fillId="50" borderId="41" applyNumberFormat="0" applyProtection="0">
      <alignment horizontal="left" vertical="top" indent="1"/>
    </xf>
    <xf numFmtId="0" fontId="131" fillId="31" borderId="0" applyNumberFormat="0" applyBorder="0" applyAlignment="0" applyProtection="0"/>
    <xf numFmtId="0" fontId="131" fillId="31" borderId="0" applyNumberFormat="0" applyBorder="0" applyAlignment="0" applyProtection="0"/>
    <xf numFmtId="4" fontId="51" fillId="42" borderId="44" applyNumberFormat="0" applyProtection="0">
      <alignment horizontal="left" vertical="center" indent="1"/>
    </xf>
    <xf numFmtId="4" fontId="73" fillId="31" borderId="41" applyNumberFormat="0" applyProtection="0">
      <alignment horizontal="right" vertical="center"/>
    </xf>
    <xf numFmtId="4" fontId="51" fillId="31" borderId="44" applyNumberFormat="0" applyProtection="0">
      <alignment horizontal="right" vertical="center"/>
    </xf>
    <xf numFmtId="4" fontId="73" fillId="37" borderId="41" applyNumberFormat="0" applyProtection="0">
      <alignment horizontal="right" vertical="center"/>
    </xf>
    <xf numFmtId="4" fontId="51" fillId="101" borderId="44" applyNumberFormat="0" applyProtection="0">
      <alignment horizontal="right" vertical="center"/>
    </xf>
    <xf numFmtId="4" fontId="73" fillId="45" borderId="41" applyNumberFormat="0" applyProtection="0">
      <alignment horizontal="right" vertical="center"/>
    </xf>
    <xf numFmtId="4" fontId="51" fillId="45" borderId="49" applyNumberFormat="0" applyProtection="0">
      <alignment horizontal="right" vertical="center"/>
    </xf>
    <xf numFmtId="4" fontId="73" fillId="39" borderId="41" applyNumberFormat="0" applyProtection="0">
      <alignment horizontal="right" vertical="center"/>
    </xf>
    <xf numFmtId="4" fontId="51" fillId="39" borderId="44" applyNumberFormat="0" applyProtection="0">
      <alignment horizontal="right" vertical="center"/>
    </xf>
    <xf numFmtId="4" fontId="73" fillId="43" borderId="41" applyNumberFormat="0" applyProtection="0">
      <alignment horizontal="right" vertical="center"/>
    </xf>
    <xf numFmtId="4" fontId="51" fillId="43" borderId="44" applyNumberFormat="0" applyProtection="0">
      <alignment horizontal="right" vertical="center"/>
    </xf>
    <xf numFmtId="4" fontId="73" fillId="47" borderId="41" applyNumberFormat="0" applyProtection="0">
      <alignment horizontal="right" vertical="center"/>
    </xf>
    <xf numFmtId="4" fontId="51" fillId="47" borderId="44" applyNumberFormat="0" applyProtection="0">
      <alignment horizontal="right" vertical="center"/>
    </xf>
    <xf numFmtId="4" fontId="73" fillId="46" borderId="41" applyNumberFormat="0" applyProtection="0">
      <alignment horizontal="right" vertical="center"/>
    </xf>
    <xf numFmtId="4" fontId="51" fillId="46" borderId="44" applyNumberFormat="0" applyProtection="0">
      <alignment horizontal="right" vertical="center"/>
    </xf>
    <xf numFmtId="4" fontId="73" fillId="102" borderId="41" applyNumberFormat="0" applyProtection="0">
      <alignment horizontal="right" vertical="center"/>
    </xf>
    <xf numFmtId="4" fontId="51" fillId="102" borderId="44" applyNumberFormat="0" applyProtection="0">
      <alignment horizontal="right" vertical="center"/>
    </xf>
    <xf numFmtId="4" fontId="73" fillId="38" borderId="41" applyNumberFormat="0" applyProtection="0">
      <alignment horizontal="right" vertical="center"/>
    </xf>
    <xf numFmtId="4" fontId="51" fillId="38" borderId="44" applyNumberFormat="0" applyProtection="0">
      <alignment horizontal="right" vertical="center"/>
    </xf>
    <xf numFmtId="4" fontId="72" fillId="103" borderId="50" applyNumberFormat="0" applyProtection="0">
      <alignment horizontal="left" vertical="center" indent="1"/>
    </xf>
    <xf numFmtId="4" fontId="51" fillId="103" borderId="49" applyNumberFormat="0" applyProtection="0">
      <alignment horizontal="left" vertical="center" indent="1"/>
    </xf>
    <xf numFmtId="4" fontId="73" fillId="55" borderId="0" applyNumberFormat="0" applyProtection="0">
      <alignment horizontal="left" vertical="center" indent="1"/>
    </xf>
    <xf numFmtId="4" fontId="48" fillId="104" borderId="49" applyNumberFormat="0" applyProtection="0">
      <alignment horizontal="left" vertical="center" indent="1"/>
    </xf>
    <xf numFmtId="0" fontId="131" fillId="31" borderId="0" applyNumberFormat="0" applyBorder="0" applyAlignment="0" applyProtection="0"/>
    <xf numFmtId="4" fontId="48" fillId="104" borderId="49" applyNumberFormat="0" applyProtection="0">
      <alignment horizontal="left" vertical="center" indent="1"/>
    </xf>
    <xf numFmtId="0" fontId="131" fillId="31" borderId="0" applyNumberFormat="0" applyBorder="0" applyAlignment="0" applyProtection="0"/>
    <xf numFmtId="4" fontId="51" fillId="54" borderId="44" applyNumberFormat="0" applyProtection="0">
      <alignment horizontal="right" vertical="center"/>
    </xf>
    <xf numFmtId="4" fontId="73" fillId="55" borderId="0" applyNumberFormat="0" applyProtection="0">
      <alignment horizontal="left" vertical="center" indent="1"/>
    </xf>
    <xf numFmtId="4" fontId="51" fillId="55" borderId="49" applyNumberFormat="0" applyProtection="0">
      <alignment horizontal="left" vertical="center" indent="1"/>
    </xf>
    <xf numFmtId="4" fontId="73" fillId="53" borderId="0" applyNumberFormat="0" applyProtection="0">
      <alignment horizontal="left" vertical="center" indent="1"/>
    </xf>
    <xf numFmtId="4" fontId="51" fillId="54" borderId="49" applyNumberFormat="0" applyProtection="0">
      <alignment horizontal="left" vertical="center" indent="1"/>
    </xf>
    <xf numFmtId="0" fontId="48" fillId="71" borderId="41" applyNumberFormat="0" applyProtection="0">
      <alignment horizontal="left" vertical="center" indent="1"/>
    </xf>
    <xf numFmtId="0" fontId="51" fillId="48" borderId="44" applyNumberFormat="0" applyProtection="0">
      <alignment horizontal="left" vertical="center" indent="1"/>
    </xf>
    <xf numFmtId="0" fontId="48" fillId="71" borderId="41" applyNumberFormat="0" applyProtection="0">
      <alignment horizontal="left" vertical="top" indent="1"/>
    </xf>
    <xf numFmtId="0" fontId="51" fillId="104" borderId="41" applyNumberFormat="0" applyProtection="0">
      <alignment horizontal="left" vertical="top" indent="1"/>
    </xf>
    <xf numFmtId="0" fontId="48" fillId="53" borderId="41" applyNumberFormat="0" applyProtection="0">
      <alignment horizontal="left" vertical="center" indent="1"/>
    </xf>
    <xf numFmtId="0" fontId="51" fillId="105" borderId="44" applyNumberFormat="0" applyProtection="0">
      <alignment horizontal="left" vertical="center" indent="1"/>
    </xf>
    <xf numFmtId="0" fontId="48" fillId="53" borderId="41" applyNumberFormat="0" applyProtection="0">
      <alignment horizontal="left" vertical="top" indent="1"/>
    </xf>
    <xf numFmtId="0" fontId="51" fillId="54" borderId="41" applyNumberFormat="0" applyProtection="0">
      <alignment horizontal="left" vertical="top" indent="1"/>
    </xf>
    <xf numFmtId="0" fontId="48" fillId="58" borderId="41" applyNumberFormat="0" applyProtection="0">
      <alignment horizontal="left" vertical="center" indent="1"/>
    </xf>
    <xf numFmtId="0" fontId="51" fillId="36" borderId="44" applyNumberFormat="0" applyProtection="0">
      <alignment horizontal="left" vertical="center" indent="1"/>
    </xf>
    <xf numFmtId="0" fontId="48" fillId="58" borderId="41" applyNumberFormat="0" applyProtection="0">
      <alignment horizontal="left" vertical="top" indent="1"/>
    </xf>
    <xf numFmtId="0" fontId="51" fillId="36" borderId="41" applyNumberFormat="0" applyProtection="0">
      <alignment horizontal="left" vertical="top" indent="1"/>
    </xf>
    <xf numFmtId="0" fontId="48" fillId="57" borderId="41" applyNumberFormat="0" applyProtection="0">
      <alignment horizontal="left" vertical="center" indent="1"/>
    </xf>
    <xf numFmtId="0" fontId="51" fillId="55" borderId="44" applyNumberFormat="0" applyProtection="0">
      <alignment horizontal="left" vertical="center" indent="1"/>
    </xf>
    <xf numFmtId="0" fontId="48" fillId="57" borderId="41" applyNumberFormat="0" applyProtection="0">
      <alignment horizontal="left" vertical="top" indent="1"/>
    </xf>
    <xf numFmtId="0" fontId="51" fillId="55" borderId="41" applyNumberFormat="0" applyProtection="0">
      <alignment horizontal="left" vertical="top" indent="1"/>
    </xf>
    <xf numFmtId="0" fontId="51" fillId="106" borderId="51" applyNumberFormat="0">
      <protection locked="0"/>
    </xf>
    <xf numFmtId="0" fontId="119" fillId="104" borderId="52" applyBorder="0"/>
    <xf numFmtId="4" fontId="73" fillId="74" borderId="41" applyNumberFormat="0" applyProtection="0">
      <alignment vertical="center"/>
    </xf>
    <xf numFmtId="4" fontId="120" fillId="51" borderId="41" applyNumberFormat="0" applyProtection="0">
      <alignment vertical="center"/>
    </xf>
    <xf numFmtId="4" fontId="76" fillId="74" borderId="41" applyNumberFormat="0" applyProtection="0">
      <alignment vertical="center"/>
    </xf>
    <xf numFmtId="4" fontId="117" fillId="74" borderId="28" applyNumberFormat="0" applyProtection="0">
      <alignment vertical="center"/>
    </xf>
    <xf numFmtId="4" fontId="73" fillId="74" borderId="41" applyNumberFormat="0" applyProtection="0">
      <alignment horizontal="left" vertical="center" indent="1"/>
    </xf>
    <xf numFmtId="4" fontId="120" fillId="48" borderId="41" applyNumberFormat="0" applyProtection="0">
      <alignment horizontal="left" vertical="center" indent="1"/>
    </xf>
    <xf numFmtId="0" fontId="73" fillId="74" borderId="41" applyNumberFormat="0" applyProtection="0">
      <alignment horizontal="left" vertical="top" indent="1"/>
    </xf>
    <xf numFmtId="0" fontId="120" fillId="51" borderId="41" applyNumberFormat="0" applyProtection="0">
      <alignment horizontal="left" vertical="top" indent="1"/>
    </xf>
    <xf numFmtId="0" fontId="131" fillId="31" borderId="0" applyNumberFormat="0" applyBorder="0" applyAlignment="0" applyProtection="0"/>
    <xf numFmtId="0" fontId="131" fillId="31" borderId="0" applyNumberFormat="0" applyBorder="0" applyAlignment="0" applyProtection="0"/>
    <xf numFmtId="4" fontId="51" fillId="0" borderId="44" applyNumberFormat="0" applyProtection="0">
      <alignment horizontal="right" vertical="center"/>
    </xf>
    <xf numFmtId="4" fontId="76" fillId="55" borderId="41" applyNumberFormat="0" applyProtection="0">
      <alignment horizontal="right" vertical="center"/>
    </xf>
    <xf numFmtId="4" fontId="117" fillId="107" borderId="44" applyNumberFormat="0" applyProtection="0">
      <alignment horizontal="right" vertical="center"/>
    </xf>
    <xf numFmtId="0" fontId="131" fillId="31" borderId="0" applyNumberFormat="0" applyBorder="0" applyAlignment="0" applyProtection="0"/>
    <xf numFmtId="0" fontId="131" fillId="31" borderId="0" applyNumberFormat="0" applyBorder="0" applyAlignment="0" applyProtection="0"/>
    <xf numFmtId="4" fontId="51" fillId="42" borderId="44" applyNumberFormat="0" applyProtection="0">
      <alignment horizontal="left" vertical="center" indent="1"/>
    </xf>
    <xf numFmtId="0" fontId="131" fillId="31" borderId="0" applyNumberFormat="0" applyBorder="0" applyAlignment="0" applyProtection="0"/>
    <xf numFmtId="0" fontId="48" fillId="59" borderId="40" applyNumberFormat="0" applyProtection="0">
      <alignment horizontal="left" vertical="center" indent="1"/>
    </xf>
    <xf numFmtId="0" fontId="120" fillId="54" borderId="41" applyNumberFormat="0" applyProtection="0">
      <alignment horizontal="left" vertical="top" indent="1"/>
    </xf>
    <xf numFmtId="0" fontId="131" fillId="31" borderId="0" applyNumberFormat="0" applyBorder="0" applyAlignment="0" applyProtection="0"/>
    <xf numFmtId="0" fontId="78" fillId="0" borderId="0"/>
    <xf numFmtId="4" fontId="121" fillId="75" borderId="49" applyNumberFormat="0" applyProtection="0">
      <alignment horizontal="left" vertical="center" indent="1"/>
    </xf>
    <xf numFmtId="0" fontId="51" fillId="108" borderId="28"/>
    <xf numFmtId="4" fontId="50" fillId="55" borderId="41" applyNumberFormat="0" applyProtection="0">
      <alignment horizontal="right" vertical="center"/>
    </xf>
    <xf numFmtId="4" fontId="122" fillId="106" borderId="44" applyNumberFormat="0" applyProtection="0">
      <alignment horizontal="right" vertical="center"/>
    </xf>
    <xf numFmtId="0" fontId="123" fillId="0" borderId="0" applyNumberFormat="0" applyFill="0" applyBorder="0" applyAlignment="0" applyProtection="0"/>
    <xf numFmtId="0" fontId="124" fillId="0" borderId="0" applyNumberFormat="0" applyFill="0" applyBorder="0" applyAlignment="0" applyProtection="0"/>
    <xf numFmtId="0" fontId="131" fillId="31" borderId="0" applyNumberFormat="0" applyBorder="0" applyAlignment="0" applyProtection="0"/>
    <xf numFmtId="0" fontId="125" fillId="0" borderId="42" applyNumberFormat="0" applyFill="0" applyAlignment="0" applyProtection="0"/>
    <xf numFmtId="0" fontId="44" fillId="0" borderId="42" applyNumberFormat="0" applyFill="0" applyAlignment="0" applyProtection="0"/>
    <xf numFmtId="0" fontId="99" fillId="0" borderId="53" applyNumberFormat="0" applyFill="0" applyAlignment="0" applyProtection="0"/>
    <xf numFmtId="0" fontId="126" fillId="0" borderId="0" applyNumberFormat="0" applyFill="0" applyBorder="0" applyAlignment="0" applyProtection="0"/>
    <xf numFmtId="0" fontId="44" fillId="0" borderId="0" applyNumberFormat="0" applyFill="0" applyBorder="0" applyAlignment="0" applyProtection="0"/>
    <xf numFmtId="0" fontId="127" fillId="0" borderId="0" applyNumberFormat="0" applyFill="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3" fillId="0" borderId="0"/>
    <xf numFmtId="0" fontId="130" fillId="41" borderId="0" applyNumberFormat="0" applyBorder="0" applyAlignment="0" applyProtection="0"/>
    <xf numFmtId="0" fontId="130" fillId="41"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6"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5"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4" borderId="0" applyNumberFormat="0" applyBorder="0" applyAlignment="0" applyProtection="0"/>
    <xf numFmtId="0" fontId="130" fillId="43" borderId="0" applyNumberFormat="0" applyBorder="0" applyAlignment="0" applyProtection="0"/>
    <xf numFmtId="0" fontId="130" fillId="42" borderId="0" applyNumberFormat="0" applyBorder="0" applyAlignment="0" applyProtection="0"/>
    <xf numFmtId="0" fontId="130" fillId="41" borderId="0" applyNumberFormat="0" applyBorder="0" applyAlignment="0" applyProtection="0"/>
    <xf numFmtId="0" fontId="130" fillId="38" borderId="0" applyNumberFormat="0" applyBorder="0" applyAlignment="0" applyProtection="0"/>
    <xf numFmtId="0" fontId="130" fillId="37" borderId="0" applyNumberFormat="0" applyBorder="0" applyAlignment="0" applyProtection="0"/>
    <xf numFmtId="0" fontId="130" fillId="40"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3"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2"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41"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8"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37"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130" fillId="40" borderId="0" applyNumberFormat="0" applyBorder="0" applyAlignment="0" applyProtection="0"/>
    <xf numFmtId="0" fontId="98" fillId="39" borderId="0" applyNumberFormat="0" applyBorder="0" applyAlignment="0" applyProtection="0"/>
    <xf numFmtId="0" fontId="98" fillId="36" borderId="0" applyNumberFormat="0" applyBorder="0" applyAlignment="0" applyProtection="0"/>
    <xf numFmtId="0" fontId="98" fillId="33" borderId="0" applyNumberFormat="0" applyBorder="0" applyAlignment="0" applyProtection="0"/>
    <xf numFmtId="0" fontId="98" fillId="38" borderId="0" applyNumberFormat="0" applyBorder="0" applyAlignment="0" applyProtection="0"/>
    <xf numFmtId="0" fontId="98" fillId="37" borderId="0" applyNumberFormat="0" applyBorder="0" applyAlignment="0" applyProtection="0"/>
    <xf numFmtId="0" fontId="98" fillId="36"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9"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8"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7"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6" borderId="0" applyNumberFormat="0" applyBorder="0" applyAlignment="0" applyProtection="0"/>
    <xf numFmtId="0" fontId="98" fillId="35" borderId="0" applyNumberFormat="0" applyBorder="0" applyAlignment="0" applyProtection="0"/>
    <xf numFmtId="0" fontId="98" fillId="34" borderId="0" applyNumberFormat="0" applyBorder="0" applyAlignment="0" applyProtection="0"/>
    <xf numFmtId="0" fontId="98" fillId="33" borderId="0" applyNumberFormat="0" applyBorder="0" applyAlignment="0" applyProtection="0"/>
    <xf numFmtId="0" fontId="98" fillId="32" borderId="0" applyNumberFormat="0" applyBorder="0" applyAlignment="0" applyProtection="0"/>
    <xf numFmtId="0" fontId="98" fillId="31" borderId="0" applyNumberFormat="0" applyBorder="0" applyAlignment="0" applyProtection="0"/>
    <xf numFmtId="0" fontId="98" fillId="30"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5"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4"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3"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9" fontId="3" fillId="0" borderId="0" applyFont="0" applyFill="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2"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1"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98" fillId="30" borderId="0" applyNumberFormat="0" applyBorder="0" applyAlignment="0" applyProtection="0"/>
    <xf numFmtId="0" fontId="3" fillId="0" borderId="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1" fillId="31" borderId="0" applyNumberFormat="0" applyBorder="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2" fillId="48" borderId="33"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0" fontId="133" fillId="49" borderId="34" applyNumberFormat="0" applyAlignment="0" applyProtection="0"/>
    <xf numFmtId="41" fontId="48" fillId="0" borderId="0" applyFont="0" applyFill="0" applyBorder="0" applyAlignment="0" applyProtection="0"/>
    <xf numFmtId="41" fontId="48" fillId="0" borderId="0" applyFont="0" applyFill="0" applyBorder="0" applyAlignment="0" applyProtection="0"/>
    <xf numFmtId="43" fontId="7" fillId="0" borderId="0" applyFont="0" applyFill="0" applyBorder="0" applyAlignment="0" applyProtection="0"/>
    <xf numFmtId="43" fontId="79" fillId="0" borderId="0" applyFont="0" applyFill="0" applyBorder="0" applyAlignment="0" applyProtection="0"/>
    <xf numFmtId="43" fontId="48" fillId="0" borderId="0" applyFont="0" applyFill="0" applyBorder="0" applyAlignment="0" applyProtection="0"/>
    <xf numFmtId="165" fontId="41" fillId="0" borderId="0" applyFont="0" applyFill="0" applyBorder="0" applyAlignment="0" applyProtection="0"/>
    <xf numFmtId="43" fontId="48" fillId="0" borderId="0" applyFont="0" applyFill="0" applyBorder="0" applyAlignment="0" applyProtection="0"/>
    <xf numFmtId="43" fontId="98" fillId="0" borderId="0" applyFont="0" applyFill="0" applyBorder="0" applyAlignment="0" applyProtection="0"/>
    <xf numFmtId="43" fontId="7" fillId="0" borderId="0" applyFont="0" applyFill="0" applyBorder="0" applyAlignment="0" applyProtection="0"/>
    <xf numFmtId="43" fontId="81" fillId="0" borderId="0" applyFont="0" applyFill="0" applyBorder="0" applyAlignment="0" applyProtection="0"/>
    <xf numFmtId="0" fontId="41" fillId="0" borderId="0" applyFont="0" applyFill="0" applyBorder="0" applyAlignment="0" applyProtection="0"/>
    <xf numFmtId="43" fontId="134" fillId="0" borderId="0" applyFont="0" applyFill="0" applyBorder="0" applyAlignment="0" applyProtection="0"/>
    <xf numFmtId="43" fontId="8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86" fontId="135" fillId="0" borderId="0"/>
    <xf numFmtId="186" fontId="135" fillId="0" borderId="0"/>
    <xf numFmtId="186" fontId="135" fillId="0" borderId="0"/>
    <xf numFmtId="187" fontId="136" fillId="0" borderId="0" applyFon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0" fontId="138" fillId="32" borderId="0" applyNumberFormat="0" applyBorder="0" applyAlignment="0" applyProtection="0"/>
    <xf numFmtId="40" fontId="49" fillId="0" borderId="0">
      <alignment horizontal="left"/>
    </xf>
    <xf numFmtId="40" fontId="139" fillId="0" borderId="0" applyNumberFormat="0" applyAlignment="0">
      <alignment horizontal="left"/>
    </xf>
    <xf numFmtId="40" fontId="140" fillId="0" borderId="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2" fillId="0" borderId="36"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37" applyNumberFormat="0" applyFill="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3" fillId="0" borderId="0" applyNumberFormat="0" applyFill="0" applyBorder="0" applyAlignment="0" applyProtection="0"/>
    <xf numFmtId="0" fontId="144" fillId="0" borderId="0" applyNumberFormat="0" applyFill="0" applyBorder="0" applyAlignment="0" applyProtection="0">
      <alignment vertical="top"/>
      <protection locked="0"/>
    </xf>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5" fillId="35" borderId="33" applyNumberFormat="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0" fontId="146" fillId="0" borderId="38" applyNumberFormat="0" applyFill="0" applyAlignment="0" applyProtection="0"/>
    <xf numFmtId="43" fontId="44" fillId="0" borderId="0" applyFont="0" applyFill="0" applyBorder="0" applyAlignment="0" applyProtection="0"/>
    <xf numFmtId="188" fontId="147" fillId="0" borderId="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148" fillId="50" borderId="0" applyNumberFormat="0" applyBorder="0" applyAlignment="0" applyProtection="0"/>
    <xf numFmtId="0" fontId="44" fillId="0" borderId="0"/>
    <xf numFmtId="0" fontId="7" fillId="0" borderId="0"/>
    <xf numFmtId="0" fontId="149" fillId="0" borderId="0"/>
    <xf numFmtId="0" fontId="3" fillId="0" borderId="0"/>
    <xf numFmtId="0" fontId="150" fillId="0" borderId="0">
      <alignment vertical="center"/>
    </xf>
    <xf numFmtId="189" fontId="4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90" fontId="159" fillId="0" borderId="0"/>
    <xf numFmtId="0" fontId="48" fillId="0" borderId="0"/>
    <xf numFmtId="191" fontId="149" fillId="0" borderId="0"/>
    <xf numFmtId="190" fontId="151" fillId="0" borderId="0"/>
    <xf numFmtId="190" fontId="151" fillId="0" borderId="0"/>
    <xf numFmtId="190" fontId="151" fillId="0" borderId="0"/>
    <xf numFmtId="190" fontId="151" fillId="0" borderId="0"/>
    <xf numFmtId="190" fontId="151" fillId="0" borderId="0"/>
    <xf numFmtId="0" fontId="3" fillId="0" borderId="0"/>
    <xf numFmtId="0" fontId="3" fillId="0" borderId="0"/>
    <xf numFmtId="0" fontId="48"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151" fillId="0" borderId="0"/>
    <xf numFmtId="0" fontId="151" fillId="0" borderId="0"/>
    <xf numFmtId="192" fontId="159"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7" fillId="0" borderId="0"/>
    <xf numFmtId="0" fontId="3" fillId="0" borderId="0"/>
    <xf numFmtId="0" fontId="3" fillId="0" borderId="0"/>
    <xf numFmtId="0" fontId="7" fillId="0" borderId="0"/>
    <xf numFmtId="0" fontId="151" fillId="0" borderId="0"/>
    <xf numFmtId="0" fontId="151" fillId="0" borderId="0"/>
    <xf numFmtId="0" fontId="46" fillId="0" borderId="0"/>
    <xf numFmtId="0" fontId="41" fillId="0" borderId="0"/>
    <xf numFmtId="164" fontId="159" fillId="0" borderId="0"/>
    <xf numFmtId="0" fontId="48" fillId="0" borderId="0"/>
    <xf numFmtId="192" fontId="159"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49"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98"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48" fillId="51" borderId="39" applyNumberFormat="0" applyFon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0" fontId="152" fillId="48" borderId="40" applyNumberFormat="0" applyAlignment="0" applyProtection="0"/>
    <xf numFmtId="43" fontId="41" fillId="0" borderId="0" applyFont="0" applyFill="0" applyBorder="0" applyAlignment="0" applyProtection="0"/>
    <xf numFmtId="9" fontId="98" fillId="0" borderId="0" applyFont="0" applyFill="0" applyBorder="0" applyAlignment="0" applyProtection="0"/>
    <xf numFmtId="9" fontId="81" fillId="0" borderId="0" applyFont="0" applyFill="0" applyBorder="0" applyAlignment="0" applyProtection="0"/>
    <xf numFmtId="9" fontId="81" fillId="0" borderId="0" applyFont="0" applyFill="0" applyBorder="0" applyAlignment="0" applyProtection="0"/>
    <xf numFmtId="9" fontId="48" fillId="0" borderId="0" applyFont="0" applyFill="0" applyBorder="0" applyAlignment="0" applyProtection="0"/>
    <xf numFmtId="0" fontId="153" fillId="0" borderId="54" applyNumberFormat="0" applyFont="0" applyFill="0" applyAlignment="0" applyProtection="0">
      <alignment horizontal="left" vertical="center"/>
    </xf>
    <xf numFmtId="174" fontId="154" fillId="0" borderId="28">
      <alignment horizontal="center" vertical="center"/>
      <protection locked="0"/>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4" fontId="77" fillId="71" borderId="0" applyNumberFormat="0" applyProtection="0">
      <alignment horizontal="left" vertical="center" indent="1"/>
    </xf>
    <xf numFmtId="4" fontId="77" fillId="71" borderId="0" applyNumberFormat="0" applyProtection="0">
      <alignment horizontal="left" vertical="center" indent="1"/>
    </xf>
    <xf numFmtId="4" fontId="77" fillId="71" borderId="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4" fontId="73" fillId="70" borderId="40" applyNumberFormat="0" applyProtection="0">
      <alignment horizontal="left" vertical="center" indent="1"/>
    </xf>
    <xf numFmtId="4" fontId="73" fillId="70" borderId="40" applyNumberFormat="0" applyProtection="0">
      <alignment horizontal="left" vertical="center" indent="1"/>
    </xf>
    <xf numFmtId="4" fontId="73" fillId="70" borderId="40" applyNumberFormat="0" applyProtection="0">
      <alignment horizontal="left" vertical="center" indent="1"/>
    </xf>
    <xf numFmtId="4" fontId="73" fillId="70" borderId="40" applyNumberFormat="0" applyProtection="0">
      <alignment horizontal="left" vertical="center" indent="1"/>
    </xf>
    <xf numFmtId="4" fontId="73" fillId="70" borderId="40" applyNumberFormat="0" applyProtection="0">
      <alignment horizontal="left" vertical="center" indent="1"/>
    </xf>
    <xf numFmtId="4" fontId="73" fillId="70" borderId="40" applyNumberFormat="0" applyProtection="0">
      <alignment horizontal="left" vertical="center" indent="1"/>
    </xf>
    <xf numFmtId="4" fontId="73" fillId="70" borderId="40" applyNumberFormat="0" applyProtection="0">
      <alignment horizontal="left" vertical="center" indent="1"/>
    </xf>
    <xf numFmtId="4" fontId="73" fillId="72" borderId="40" applyNumberFormat="0" applyProtection="0">
      <alignment horizontal="left" vertical="center" indent="1"/>
    </xf>
    <xf numFmtId="4" fontId="73" fillId="72" borderId="40" applyNumberFormat="0" applyProtection="0">
      <alignment horizontal="left" vertical="center" indent="1"/>
    </xf>
    <xf numFmtId="4" fontId="73" fillId="72" borderId="40" applyNumberFormat="0" applyProtection="0">
      <alignment horizontal="left" vertical="center" indent="1"/>
    </xf>
    <xf numFmtId="4" fontId="73" fillId="72" borderId="40" applyNumberFormat="0" applyProtection="0">
      <alignment horizontal="left" vertical="center" indent="1"/>
    </xf>
    <xf numFmtId="4" fontId="73" fillId="72" borderId="40" applyNumberFormat="0" applyProtection="0">
      <alignment horizontal="left" vertical="center" indent="1"/>
    </xf>
    <xf numFmtId="4" fontId="73" fillId="72" borderId="40" applyNumberFormat="0" applyProtection="0">
      <alignment horizontal="left" vertical="center" indent="1"/>
    </xf>
    <xf numFmtId="4" fontId="73" fillId="72" borderId="40" applyNumberFormat="0" applyProtection="0">
      <alignment horizontal="left" vertical="center" indent="1"/>
    </xf>
    <xf numFmtId="0" fontId="48" fillId="72" borderId="40" applyNumberFormat="0" applyProtection="0">
      <alignment horizontal="left" vertical="center" indent="1"/>
    </xf>
    <xf numFmtId="0" fontId="48" fillId="72" borderId="40" applyNumberFormat="0" applyProtection="0">
      <alignment horizontal="left" vertical="center" indent="1"/>
    </xf>
    <xf numFmtId="0" fontId="48" fillId="72" borderId="40" applyNumberFormat="0" applyProtection="0">
      <alignment horizontal="left" vertical="center" indent="1"/>
    </xf>
    <xf numFmtId="0" fontId="48" fillId="72" borderId="40" applyNumberFormat="0" applyProtection="0">
      <alignment horizontal="left" vertical="center" indent="1"/>
    </xf>
    <xf numFmtId="0" fontId="48" fillId="72" borderId="40" applyNumberFormat="0" applyProtection="0">
      <alignment horizontal="left" vertical="center" indent="1"/>
    </xf>
    <xf numFmtId="0" fontId="48" fillId="72" borderId="40" applyNumberFormat="0" applyProtection="0">
      <alignment horizontal="left" vertical="center" indent="1"/>
    </xf>
    <xf numFmtId="0" fontId="48" fillId="72" borderId="40" applyNumberFormat="0" applyProtection="0">
      <alignment horizontal="left" vertical="center" indent="1"/>
    </xf>
    <xf numFmtId="0" fontId="48" fillId="72" borderId="40" applyNumberFormat="0" applyProtection="0">
      <alignment horizontal="left" vertical="center" indent="1"/>
    </xf>
    <xf numFmtId="0" fontId="48" fillId="72" borderId="40" applyNumberFormat="0" applyProtection="0">
      <alignment horizontal="left" vertical="center" indent="1"/>
    </xf>
    <xf numFmtId="0" fontId="48" fillId="72" borderId="40" applyNumberFormat="0" applyProtection="0">
      <alignment horizontal="left" vertical="center" indent="1"/>
    </xf>
    <xf numFmtId="0" fontId="48" fillId="72" borderId="40" applyNumberFormat="0" applyProtection="0">
      <alignment horizontal="left" vertical="center" indent="1"/>
    </xf>
    <xf numFmtId="0" fontId="48" fillId="72" borderId="40" applyNumberFormat="0" applyProtection="0">
      <alignment horizontal="left" vertical="center" indent="1"/>
    </xf>
    <xf numFmtId="0" fontId="48" fillId="72" borderId="40" applyNumberFormat="0" applyProtection="0">
      <alignment horizontal="left" vertical="center" indent="1"/>
    </xf>
    <xf numFmtId="0" fontId="48" fillId="72" borderId="40" applyNumberFormat="0" applyProtection="0">
      <alignment horizontal="left" vertical="center" indent="1"/>
    </xf>
    <xf numFmtId="0" fontId="48" fillId="73" borderId="40" applyNumberFormat="0" applyProtection="0">
      <alignment horizontal="left" vertical="center" indent="1"/>
    </xf>
    <xf numFmtId="0" fontId="48" fillId="73" borderId="40" applyNumberFormat="0" applyProtection="0">
      <alignment horizontal="left" vertical="center" indent="1"/>
    </xf>
    <xf numFmtId="0" fontId="48" fillId="73" borderId="40" applyNumberFormat="0" applyProtection="0">
      <alignment horizontal="left" vertical="center" indent="1"/>
    </xf>
    <xf numFmtId="0" fontId="48" fillId="73" borderId="40" applyNumberFormat="0" applyProtection="0">
      <alignment horizontal="left" vertical="center" indent="1"/>
    </xf>
    <xf numFmtId="0" fontId="48" fillId="73" borderId="40" applyNumberFormat="0" applyProtection="0">
      <alignment horizontal="left" vertical="center" indent="1"/>
    </xf>
    <xf numFmtId="0" fontId="48" fillId="73" borderId="40" applyNumberFormat="0" applyProtection="0">
      <alignment horizontal="left" vertical="center" indent="1"/>
    </xf>
    <xf numFmtId="0" fontId="48" fillId="73" borderId="40" applyNumberFormat="0" applyProtection="0">
      <alignment horizontal="left" vertical="center" indent="1"/>
    </xf>
    <xf numFmtId="0" fontId="48" fillId="73" borderId="40" applyNumberFormat="0" applyProtection="0">
      <alignment horizontal="left" vertical="center" indent="1"/>
    </xf>
    <xf numFmtId="0" fontId="48" fillId="73" borderId="40" applyNumberFormat="0" applyProtection="0">
      <alignment horizontal="left" vertical="center" indent="1"/>
    </xf>
    <xf numFmtId="0" fontId="48" fillId="73" borderId="40" applyNumberFormat="0" applyProtection="0">
      <alignment horizontal="left" vertical="center" indent="1"/>
    </xf>
    <xf numFmtId="0" fontId="48" fillId="73" borderId="40" applyNumberFormat="0" applyProtection="0">
      <alignment horizontal="left" vertical="center" indent="1"/>
    </xf>
    <xf numFmtId="0" fontId="48" fillId="73" borderId="40" applyNumberFormat="0" applyProtection="0">
      <alignment horizontal="left" vertical="center" indent="1"/>
    </xf>
    <xf numFmtId="0" fontId="48" fillId="73" borderId="40" applyNumberFormat="0" applyProtection="0">
      <alignment horizontal="left" vertical="center" indent="1"/>
    </xf>
    <xf numFmtId="0" fontId="48" fillId="73" borderId="40" applyNumberFormat="0" applyProtection="0">
      <alignment horizontal="left" vertical="center" indent="1"/>
    </xf>
    <xf numFmtId="0" fontId="48" fillId="56" borderId="40" applyNumberFormat="0" applyProtection="0">
      <alignment horizontal="left" vertical="center" indent="1"/>
    </xf>
    <xf numFmtId="0" fontId="48" fillId="56" borderId="40" applyNumberFormat="0" applyProtection="0">
      <alignment horizontal="left" vertical="center" indent="1"/>
    </xf>
    <xf numFmtId="0" fontId="48" fillId="56" borderId="40" applyNumberFormat="0" applyProtection="0">
      <alignment horizontal="left" vertical="center" indent="1"/>
    </xf>
    <xf numFmtId="0" fontId="48" fillId="56" borderId="40" applyNumberFormat="0" applyProtection="0">
      <alignment horizontal="left" vertical="center" indent="1"/>
    </xf>
    <xf numFmtId="0" fontId="48" fillId="56" borderId="40" applyNumberFormat="0" applyProtection="0">
      <alignment horizontal="left" vertical="center" indent="1"/>
    </xf>
    <xf numFmtId="0" fontId="48" fillId="56" borderId="40" applyNumberFormat="0" applyProtection="0">
      <alignment horizontal="left" vertical="center" indent="1"/>
    </xf>
    <xf numFmtId="0" fontId="48" fillId="56" borderId="40" applyNumberFormat="0" applyProtection="0">
      <alignment horizontal="left" vertical="center" indent="1"/>
    </xf>
    <xf numFmtId="0" fontId="48" fillId="56" borderId="40" applyNumberFormat="0" applyProtection="0">
      <alignment horizontal="left" vertical="center" indent="1"/>
    </xf>
    <xf numFmtId="0" fontId="48" fillId="56" borderId="40" applyNumberFormat="0" applyProtection="0">
      <alignment horizontal="left" vertical="center" indent="1"/>
    </xf>
    <xf numFmtId="0" fontId="48" fillId="56" borderId="40" applyNumberFormat="0" applyProtection="0">
      <alignment horizontal="left" vertical="center" indent="1"/>
    </xf>
    <xf numFmtId="0" fontId="48" fillId="56" borderId="40" applyNumberFormat="0" applyProtection="0">
      <alignment horizontal="left" vertical="center" indent="1"/>
    </xf>
    <xf numFmtId="0" fontId="48" fillId="56" borderId="40" applyNumberFormat="0" applyProtection="0">
      <alignment horizontal="left" vertical="center" indent="1"/>
    </xf>
    <xf numFmtId="0" fontId="48" fillId="56" borderId="40" applyNumberFormat="0" applyProtection="0">
      <alignment horizontal="left" vertical="center" indent="1"/>
    </xf>
    <xf numFmtId="0" fontId="48" fillId="56"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48" fillId="59" borderId="40" applyNumberFormat="0" applyProtection="0">
      <alignment horizontal="left" vertical="center" indent="1"/>
    </xf>
    <xf numFmtId="0" fontId="78" fillId="0" borderId="0"/>
    <xf numFmtId="0" fontId="78" fillId="0" borderId="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6" fillId="0" borderId="42" applyNumberFormat="0" applyFill="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193" fontId="158" fillId="0" borderId="0" applyFont="0" applyFill="0" applyBorder="0" applyAlignment="0" applyProtection="0"/>
    <xf numFmtId="0" fontId="133" fillId="49" borderId="34" applyNumberFormat="0" applyAlignment="0" applyProtection="0"/>
    <xf numFmtId="0" fontId="146" fillId="0" borderId="38" applyNumberFormat="0" applyFill="0" applyAlignment="0" applyProtection="0"/>
    <xf numFmtId="0" fontId="131" fillId="31" borderId="0" applyNumberFormat="0" applyBorder="0" applyAlignment="0" applyProtection="0"/>
    <xf numFmtId="0" fontId="152" fillId="48" borderId="40" applyNumberFormat="0" applyAlignment="0" applyProtection="0"/>
    <xf numFmtId="0" fontId="132" fillId="48" borderId="33" applyNumberFormat="0" applyAlignment="0" applyProtection="0"/>
    <xf numFmtId="0" fontId="157" fillId="0" borderId="0" applyNumberFormat="0" applyFill="0" applyBorder="0" applyAlignment="0" applyProtection="0"/>
    <xf numFmtId="0" fontId="137" fillId="0" borderId="0" applyNumberFormat="0" applyFill="0" applyBorder="0" applyAlignment="0" applyProtection="0"/>
    <xf numFmtId="0" fontId="155" fillId="0" borderId="0" applyNumberFormat="0" applyFill="0" applyBorder="0" applyAlignment="0" applyProtection="0"/>
    <xf numFmtId="0" fontId="138" fillId="32" borderId="0" applyNumberFormat="0" applyBorder="0" applyAlignment="0" applyProtection="0"/>
    <xf numFmtId="0" fontId="145" fillId="35" borderId="33" applyNumberFormat="0" applyAlignment="0" applyProtection="0"/>
    <xf numFmtId="0" fontId="148" fillId="50" borderId="0" applyNumberFormat="0" applyBorder="0" applyAlignment="0" applyProtection="0"/>
    <xf numFmtId="0" fontId="156" fillId="0" borderId="42" applyNumberFormat="0" applyFill="0" applyAlignment="0" applyProtection="0"/>
    <xf numFmtId="0" fontId="3" fillId="0" borderId="0"/>
    <xf numFmtId="0" fontId="130" fillId="44" borderId="0" applyNumberFormat="0" applyBorder="0" applyAlignment="0" applyProtection="0"/>
    <xf numFmtId="0" fontId="130" fillId="45" borderId="0" applyNumberFormat="0" applyBorder="0" applyAlignment="0" applyProtection="0"/>
    <xf numFmtId="0" fontId="130" fillId="46" borderId="0" applyNumberFormat="0" applyBorder="0" applyAlignment="0" applyProtection="0"/>
    <xf numFmtId="0" fontId="130" fillId="41" borderId="0" applyNumberFormat="0" applyBorder="0" applyAlignment="0" applyProtection="0"/>
    <xf numFmtId="0" fontId="130" fillId="42" borderId="0" applyNumberFormat="0" applyBorder="0" applyAlignment="0" applyProtection="0"/>
    <xf numFmtId="0" fontId="130" fillId="47" borderId="0" applyNumberFormat="0" applyBorder="0" applyAlignment="0" applyProtection="0"/>
    <xf numFmtId="0" fontId="75" fillId="51" borderId="39" applyNumberFormat="0" applyFont="0" applyAlignment="0" applyProtection="0"/>
    <xf numFmtId="0" fontId="141" fillId="0" borderId="35" applyNumberFormat="0" applyFill="0" applyAlignment="0" applyProtection="0"/>
    <xf numFmtId="0" fontId="142" fillId="0" borderId="36" applyNumberFormat="0" applyFill="0" applyAlignment="0" applyProtection="0"/>
    <xf numFmtId="0" fontId="143" fillId="0" borderId="37" applyNumberFormat="0" applyFill="0" applyAlignment="0" applyProtection="0"/>
    <xf numFmtId="0" fontId="143" fillId="0" borderId="0" applyNumberFormat="0" applyFill="0" applyBorder="0" applyAlignment="0" applyProtection="0"/>
    <xf numFmtId="0" fontId="7" fillId="0" borderId="0"/>
    <xf numFmtId="43" fontId="42" fillId="0" borderId="0" applyFont="0" applyFill="0" applyBorder="0" applyAlignment="0" applyProtection="0"/>
    <xf numFmtId="0" fontId="7" fillId="0" borderId="0"/>
    <xf numFmtId="43" fontId="7" fillId="0" borderId="0" applyFont="0" applyFill="0" applyBorder="0" applyAlignment="0" applyProtection="0"/>
    <xf numFmtId="0" fontId="3" fillId="0" borderId="0"/>
    <xf numFmtId="43" fontId="48" fillId="0" borderId="0" applyFont="0" applyFill="0" applyBorder="0" applyAlignment="0" applyProtection="0"/>
    <xf numFmtId="43" fontId="3" fillId="0" borderId="0" applyFont="0" applyFill="0" applyBorder="0" applyAlignment="0" applyProtection="0"/>
    <xf numFmtId="0" fontId="3" fillId="0" borderId="0"/>
    <xf numFmtId="41" fontId="41" fillId="0" borderId="0" applyFont="0" applyFill="0" applyBorder="0" applyAlignment="0" applyProtection="0"/>
    <xf numFmtId="43" fontId="41" fillId="0" borderId="0" applyFont="0" applyFill="0" applyBorder="0" applyAlignment="0" applyProtection="0"/>
    <xf numFmtId="166" fontId="41" fillId="0" borderId="0" applyFont="0" applyFill="0" applyBorder="0" applyAlignment="0" applyProtection="0"/>
    <xf numFmtId="167" fontId="41" fillId="0" borderId="0" applyFont="0" applyFill="0" applyBorder="0" applyAlignment="0" applyProtection="0"/>
    <xf numFmtId="0" fontId="41" fillId="0" borderId="0"/>
    <xf numFmtId="0" fontId="3" fillId="0" borderId="0"/>
    <xf numFmtId="0" fontId="7" fillId="0" borderId="0"/>
    <xf numFmtId="43" fontId="7"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7" fillId="0" borderId="0"/>
    <xf numFmtId="43" fontId="7"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7" fillId="0" borderId="0"/>
    <xf numFmtId="43" fontId="7"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7" fillId="0" borderId="0" applyFont="0" applyFill="0" applyBorder="0" applyAlignment="0" applyProtection="0"/>
    <xf numFmtId="0" fontId="7"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2" fillId="0" borderId="0"/>
    <xf numFmtId="43" fontId="2" fillId="0" borderId="0" applyFont="0" applyFill="0" applyBorder="0" applyAlignment="0" applyProtection="0"/>
  </cellStyleXfs>
  <cellXfs count="818">
    <xf numFmtId="0" fontId="0" fillId="0" borderId="0" xfId="0"/>
    <xf numFmtId="0" fontId="6" fillId="0" borderId="0" xfId="0" applyFont="1"/>
    <xf numFmtId="0" fontId="0" fillId="0" borderId="0" xfId="0" applyAlignment="1">
      <alignment horizontal="center"/>
    </xf>
    <xf numFmtId="0" fontId="0" fillId="0" borderId="0" xfId="0" applyFill="1"/>
    <xf numFmtId="0" fontId="7" fillId="5" borderId="10" xfId="0" applyFont="1" applyFill="1" applyBorder="1" applyAlignment="1">
      <alignment horizontal="center" vertical="center"/>
    </xf>
    <xf numFmtId="0" fontId="7" fillId="8" borderId="0" xfId="0" applyFont="1" applyFill="1" applyBorder="1" applyAlignment="1">
      <alignment horizontal="center" vertical="center"/>
    </xf>
    <xf numFmtId="0" fontId="6" fillId="8" borderId="0" xfId="0" applyFont="1" applyFill="1"/>
    <xf numFmtId="0" fontId="8" fillId="8" borderId="0" xfId="0" applyFont="1" applyFill="1" applyBorder="1" applyAlignment="1">
      <alignment horizontal="center" vertical="center"/>
    </xf>
    <xf numFmtId="0" fontId="8" fillId="8" borderId="18" xfId="0" applyFont="1" applyFill="1" applyBorder="1" applyAlignment="1">
      <alignment horizontal="center" vertical="center"/>
    </xf>
    <xf numFmtId="0" fontId="7" fillId="8" borderId="16" xfId="0" applyFont="1" applyFill="1" applyBorder="1" applyAlignment="1">
      <alignment horizontal="center" vertical="center"/>
    </xf>
    <xf numFmtId="0" fontId="7" fillId="8" borderId="18" xfId="0" applyFont="1" applyFill="1" applyBorder="1" applyAlignment="1">
      <alignment horizontal="center" vertical="center"/>
    </xf>
    <xf numFmtId="0" fontId="11" fillId="8" borderId="16" xfId="0" applyFont="1" applyFill="1" applyBorder="1" applyAlignment="1">
      <alignment horizontal="center" vertical="center"/>
    </xf>
    <xf numFmtId="0" fontId="11" fillId="8" borderId="18" xfId="0" applyFont="1" applyFill="1" applyBorder="1" applyAlignment="1">
      <alignment horizontal="center" vertical="center"/>
    </xf>
    <xf numFmtId="0" fontId="13" fillId="8" borderId="16" xfId="0" applyFont="1" applyFill="1" applyBorder="1" applyAlignment="1">
      <alignment horizontal="center" vertical="center"/>
    </xf>
    <xf numFmtId="0" fontId="10" fillId="8" borderId="16" xfId="0" applyFont="1" applyFill="1" applyBorder="1" applyAlignment="1">
      <alignment horizontal="center" vertical="center"/>
    </xf>
    <xf numFmtId="0" fontId="10" fillId="8" borderId="18" xfId="0" applyFont="1" applyFill="1" applyBorder="1" applyAlignment="1">
      <alignment horizontal="center" vertical="center"/>
    </xf>
    <xf numFmtId="0" fontId="14" fillId="8" borderId="0" xfId="0" applyFont="1" applyFill="1" applyBorder="1" applyAlignment="1">
      <alignment horizontal="center" vertical="center"/>
    </xf>
    <xf numFmtId="0" fontId="9" fillId="8" borderId="16" xfId="0" applyFont="1" applyFill="1" applyBorder="1" applyAlignment="1">
      <alignment horizontal="center" vertical="center"/>
    </xf>
    <xf numFmtId="0" fontId="9" fillId="8" borderId="18" xfId="0" applyFont="1" applyFill="1" applyBorder="1" applyAlignment="1">
      <alignment horizontal="center" vertical="center"/>
    </xf>
    <xf numFmtId="0" fontId="9" fillId="8" borderId="0" xfId="0" applyFont="1" applyFill="1" applyBorder="1" applyAlignment="1">
      <alignment horizontal="center" vertical="center"/>
    </xf>
    <xf numFmtId="0" fontId="11" fillId="8" borderId="0" xfId="0" applyFont="1" applyFill="1" applyBorder="1" applyAlignment="1">
      <alignment horizontal="center" vertical="center"/>
    </xf>
    <xf numFmtId="0" fontId="6" fillId="8" borderId="6" xfId="0" applyFont="1" applyFill="1" applyBorder="1"/>
    <xf numFmtId="0" fontId="7" fillId="4" borderId="10" xfId="0" applyFont="1" applyFill="1" applyBorder="1" applyAlignment="1">
      <alignment horizontal="center" vertical="center"/>
    </xf>
    <xf numFmtId="0" fontId="7" fillId="6" borderId="20" xfId="0" applyFont="1" applyFill="1" applyBorder="1" applyAlignment="1">
      <alignment horizontal="center" vertical="center"/>
    </xf>
    <xf numFmtId="0" fontId="7" fillId="2" borderId="19" xfId="0" applyFont="1" applyFill="1" applyBorder="1" applyAlignment="1">
      <alignment horizontal="center" vertical="center"/>
    </xf>
    <xf numFmtId="0" fontId="7" fillId="2" borderId="20" xfId="0" applyFont="1" applyFill="1" applyBorder="1" applyAlignment="1">
      <alignment horizontal="center" vertical="center"/>
    </xf>
    <xf numFmtId="0" fontId="7" fillId="2" borderId="10" xfId="0" applyFont="1" applyFill="1" applyBorder="1" applyAlignment="1">
      <alignment horizontal="center" vertical="center"/>
    </xf>
    <xf numFmtId="0" fontId="7" fillId="6" borderId="10" xfId="0" applyFont="1" applyFill="1" applyBorder="1" applyAlignment="1">
      <alignment horizontal="center" vertical="center"/>
    </xf>
    <xf numFmtId="0" fontId="8" fillId="8" borderId="21" xfId="0" applyFont="1" applyFill="1" applyBorder="1" applyAlignment="1">
      <alignment horizontal="center" vertical="center"/>
    </xf>
    <xf numFmtId="0" fontId="7" fillId="3" borderId="22" xfId="0" applyFont="1" applyFill="1" applyBorder="1" applyAlignment="1">
      <alignment horizontal="center" vertical="center"/>
    </xf>
    <xf numFmtId="0" fontId="0" fillId="8" borderId="0" xfId="0" applyFill="1" applyAlignment="1">
      <alignment horizontal="center"/>
    </xf>
    <xf numFmtId="0" fontId="0" fillId="8" borderId="0" xfId="0" applyFill="1"/>
    <xf numFmtId="0" fontId="7" fillId="8" borderId="0" xfId="0" applyFont="1" applyFill="1" applyBorder="1" applyAlignment="1">
      <alignment horizontal="center"/>
    </xf>
    <xf numFmtId="0" fontId="6" fillId="8" borderId="3" xfId="0" applyFont="1" applyFill="1" applyBorder="1"/>
    <xf numFmtId="0" fontId="6" fillId="8" borderId="2" xfId="0" applyFont="1" applyFill="1" applyBorder="1"/>
    <xf numFmtId="0" fontId="0" fillId="8" borderId="0" xfId="0" applyFill="1" applyBorder="1" applyAlignment="1"/>
    <xf numFmtId="0" fontId="0" fillId="8" borderId="9" xfId="0" applyFill="1" applyBorder="1" applyAlignment="1">
      <alignment horizontal="center"/>
    </xf>
    <xf numFmtId="0" fontId="6" fillId="8" borderId="0" xfId="0" applyFont="1" applyFill="1" applyBorder="1" applyAlignment="1">
      <alignment horizontal="center"/>
    </xf>
    <xf numFmtId="0" fontId="0" fillId="8" borderId="0" xfId="0" applyFill="1" applyBorder="1"/>
    <xf numFmtId="0" fontId="15" fillId="8" borderId="0" xfId="0" applyFont="1" applyFill="1"/>
    <xf numFmtId="0" fontId="16" fillId="8" borderId="0" xfId="0" applyFont="1" applyFill="1"/>
    <xf numFmtId="0" fontId="6" fillId="8" borderId="6" xfId="0" applyFont="1" applyFill="1" applyBorder="1" applyAlignment="1"/>
    <xf numFmtId="0" fontId="6" fillId="8" borderId="7" xfId="0" applyFont="1" applyFill="1" applyBorder="1" applyAlignment="1"/>
    <xf numFmtId="0" fontId="6" fillId="8" borderId="9" xfId="0" applyFont="1" applyFill="1" applyBorder="1" applyAlignment="1"/>
    <xf numFmtId="0" fontId="6" fillId="8" borderId="0" xfId="0" applyFont="1" applyFill="1" applyBorder="1" applyAlignment="1"/>
    <xf numFmtId="0" fontId="6" fillId="8" borderId="6" xfId="0" applyFont="1" applyFill="1" applyBorder="1" applyAlignment="1">
      <alignment horizontal="left" vertical="center"/>
    </xf>
    <xf numFmtId="0" fontId="0" fillId="8" borderId="7" xfId="0" applyFill="1" applyBorder="1"/>
    <xf numFmtId="0" fontId="6" fillId="8" borderId="9" xfId="0" applyFont="1" applyFill="1" applyBorder="1" applyAlignment="1">
      <alignment horizontal="left" vertical="center" indent="1"/>
    </xf>
    <xf numFmtId="0" fontId="0" fillId="8" borderId="12" xfId="0" applyFill="1" applyBorder="1"/>
    <xf numFmtId="0" fontId="0" fillId="8" borderId="6" xfId="0" applyFill="1" applyBorder="1" applyAlignment="1">
      <alignment horizontal="center"/>
    </xf>
    <xf numFmtId="43" fontId="0" fillId="8" borderId="0" xfId="1" applyFont="1" applyFill="1"/>
    <xf numFmtId="0" fontId="6" fillId="8" borderId="11" xfId="0" applyFont="1" applyFill="1" applyBorder="1" applyAlignment="1"/>
    <xf numFmtId="0" fontId="6" fillId="8" borderId="12" xfId="0" applyFont="1" applyFill="1" applyBorder="1" applyAlignment="1"/>
    <xf numFmtId="43" fontId="0" fillId="8" borderId="7" xfId="1" applyFont="1" applyFill="1" applyBorder="1"/>
    <xf numFmtId="43" fontId="0" fillId="8" borderId="9" xfId="1" applyFont="1" applyFill="1" applyBorder="1"/>
    <xf numFmtId="43" fontId="0" fillId="8" borderId="0" xfId="1" applyFont="1" applyFill="1" applyBorder="1"/>
    <xf numFmtId="43" fontId="0" fillId="8" borderId="12" xfId="1" applyFont="1" applyFill="1" applyBorder="1"/>
    <xf numFmtId="43" fontId="9" fillId="8" borderId="6" xfId="1" applyFont="1" applyFill="1" applyBorder="1" applyAlignment="1">
      <alignment horizontal="center" vertical="center"/>
    </xf>
    <xf numFmtId="43" fontId="7" fillId="8" borderId="0" xfId="1" applyFont="1" applyFill="1" applyBorder="1"/>
    <xf numFmtId="43" fontId="6" fillId="8" borderId="14" xfId="0" applyNumberFormat="1" applyFont="1" applyFill="1" applyBorder="1"/>
    <xf numFmtId="43" fontId="6" fillId="8" borderId="15" xfId="0" applyNumberFormat="1" applyFont="1" applyFill="1" applyBorder="1"/>
    <xf numFmtId="43" fontId="9" fillId="8" borderId="9" xfId="1" applyFont="1" applyFill="1" applyBorder="1" applyAlignment="1">
      <alignment horizontal="center" vertical="center"/>
    </xf>
    <xf numFmtId="43" fontId="6" fillId="8" borderId="0" xfId="0" applyNumberFormat="1" applyFont="1" applyFill="1" applyBorder="1"/>
    <xf numFmtId="43" fontId="6" fillId="8" borderId="11" xfId="0" applyNumberFormat="1" applyFont="1" applyFill="1" applyBorder="1"/>
    <xf numFmtId="43" fontId="6" fillId="8" borderId="12" xfId="0" applyNumberFormat="1" applyFont="1" applyFill="1" applyBorder="1"/>
    <xf numFmtId="43" fontId="9" fillId="8" borderId="0" xfId="1" applyFont="1" applyFill="1" applyBorder="1" applyAlignment="1">
      <alignment horizontal="center" vertical="center"/>
    </xf>
    <xf numFmtId="43" fontId="9" fillId="8" borderId="7" xfId="1" applyFont="1" applyFill="1" applyBorder="1" applyAlignment="1">
      <alignment horizontal="center" vertical="center"/>
    </xf>
    <xf numFmtId="43" fontId="9" fillId="8" borderId="11" xfId="1" applyFont="1" applyFill="1" applyBorder="1" applyAlignment="1">
      <alignment horizontal="center" vertical="center"/>
    </xf>
    <xf numFmtId="43" fontId="9" fillId="8" borderId="12" xfId="1" applyFont="1" applyFill="1" applyBorder="1" applyAlignment="1">
      <alignment horizontal="center" vertical="center"/>
    </xf>
    <xf numFmtId="43" fontId="7" fillId="4" borderId="0" xfId="1" applyFont="1" applyFill="1" applyBorder="1" applyAlignment="1">
      <alignment horizontal="center" vertical="center"/>
    </xf>
    <xf numFmtId="43" fontId="7" fillId="4" borderId="0" xfId="1" applyFont="1" applyFill="1" applyBorder="1"/>
    <xf numFmtId="43" fontId="0" fillId="8" borderId="16" xfId="1" applyFont="1" applyFill="1" applyBorder="1"/>
    <xf numFmtId="43" fontId="0" fillId="8" borderId="18" xfId="1" applyFont="1" applyFill="1" applyBorder="1"/>
    <xf numFmtId="0" fontId="12" fillId="8" borderId="0" xfId="0" applyFont="1" applyFill="1" applyBorder="1"/>
    <xf numFmtId="0" fontId="12" fillId="8" borderId="0" xfId="0" applyFont="1" applyFill="1"/>
    <xf numFmtId="0" fontId="12" fillId="0" borderId="0" xfId="0" applyFont="1"/>
    <xf numFmtId="0" fontId="12" fillId="8" borderId="17" xfId="0" applyFont="1" applyFill="1" applyBorder="1"/>
    <xf numFmtId="168" fontId="18" fillId="7" borderId="14" xfId="0" applyNumberFormat="1" applyFont="1" applyFill="1" applyBorder="1" applyAlignment="1">
      <alignment horizontal="center" vertical="center"/>
    </xf>
    <xf numFmtId="168" fontId="18" fillId="7" borderId="15" xfId="0" applyNumberFormat="1" applyFont="1" applyFill="1" applyBorder="1" applyAlignment="1">
      <alignment horizontal="center" vertical="center"/>
    </xf>
    <xf numFmtId="168" fontId="18" fillId="7" borderId="6" xfId="0" applyNumberFormat="1" applyFont="1" applyFill="1" applyBorder="1" applyAlignment="1">
      <alignment horizontal="center" vertical="center"/>
    </xf>
    <xf numFmtId="168" fontId="18" fillId="7" borderId="7" xfId="0" applyNumberFormat="1" applyFont="1" applyFill="1" applyBorder="1" applyAlignment="1">
      <alignment horizontal="center" vertical="center"/>
    </xf>
    <xf numFmtId="0" fontId="18" fillId="7" borderId="14" xfId="0" applyFont="1" applyFill="1" applyBorder="1"/>
    <xf numFmtId="169" fontId="0" fillId="8" borderId="0" xfId="1" applyNumberFormat="1" applyFont="1" applyFill="1" applyBorder="1"/>
    <xf numFmtId="169" fontId="17" fillId="8" borderId="0" xfId="1" applyNumberFormat="1" applyFont="1" applyFill="1" applyBorder="1"/>
    <xf numFmtId="43" fontId="0" fillId="8" borderId="0" xfId="0" applyNumberFormat="1" applyFill="1" applyBorder="1"/>
    <xf numFmtId="43" fontId="0" fillId="8" borderId="12" xfId="0" applyNumberFormat="1" applyFill="1" applyBorder="1"/>
    <xf numFmtId="0" fontId="6" fillId="8" borderId="9" xfId="0" applyFont="1" applyFill="1" applyBorder="1" applyAlignment="1">
      <alignment horizontal="left" indent="1"/>
    </xf>
    <xf numFmtId="0" fontId="6" fillId="0" borderId="9" xfId="0" applyFont="1" applyBorder="1" applyAlignment="1">
      <alignment horizontal="left" indent="1"/>
    </xf>
    <xf numFmtId="0" fontId="0" fillId="8" borderId="0" xfId="0" applyFill="1" applyBorder="1" applyAlignment="1">
      <alignment horizontal="right"/>
    </xf>
    <xf numFmtId="169" fontId="0" fillId="8" borderId="7" xfId="1" applyNumberFormat="1" applyFont="1" applyFill="1" applyBorder="1"/>
    <xf numFmtId="171" fontId="0" fillId="8" borderId="0" xfId="1" applyNumberFormat="1" applyFont="1" applyFill="1" applyBorder="1"/>
    <xf numFmtId="43" fontId="5" fillId="8" borderId="0" xfId="0" applyNumberFormat="1" applyFont="1" applyFill="1" applyBorder="1"/>
    <xf numFmtId="169" fontId="0" fillId="0" borderId="7" xfId="1" applyNumberFormat="1" applyFont="1" applyBorder="1"/>
    <xf numFmtId="43" fontId="10" fillId="4" borderId="0" xfId="1" applyFont="1" applyFill="1" applyBorder="1"/>
    <xf numFmtId="171" fontId="20" fillId="9" borderId="0" xfId="1" applyNumberFormat="1" applyFont="1" applyFill="1" applyBorder="1"/>
    <xf numFmtId="171" fontId="20" fillId="11" borderId="12" xfId="1" applyNumberFormat="1" applyFont="1" applyFill="1" applyBorder="1"/>
    <xf numFmtId="0" fontId="20" fillId="9" borderId="9" xfId="0" applyFont="1" applyFill="1" applyBorder="1" applyAlignment="1">
      <alignment horizontal="left" indent="1"/>
    </xf>
    <xf numFmtId="0" fontId="20" fillId="10" borderId="11" xfId="0" applyFont="1" applyFill="1" applyBorder="1" applyAlignment="1">
      <alignment horizontal="left" indent="1"/>
    </xf>
    <xf numFmtId="43" fontId="4" fillId="8" borderId="0" xfId="1" applyFont="1" applyFill="1" applyBorder="1"/>
    <xf numFmtId="9" fontId="6" fillId="8" borderId="0" xfId="2" applyFont="1" applyFill="1" applyBorder="1"/>
    <xf numFmtId="43" fontId="0" fillId="8" borderId="26" xfId="1" applyFont="1" applyFill="1" applyBorder="1"/>
    <xf numFmtId="0" fontId="0" fillId="8" borderId="23" xfId="0" applyFill="1" applyBorder="1" applyAlignment="1">
      <alignment horizontal="center"/>
    </xf>
    <xf numFmtId="0" fontId="0" fillId="8" borderId="24" xfId="0" applyFill="1" applyBorder="1" applyAlignment="1">
      <alignment horizontal="center"/>
    </xf>
    <xf numFmtId="0" fontId="7" fillId="8" borderId="25" xfId="0" applyFont="1" applyFill="1" applyBorder="1" applyAlignment="1">
      <alignment horizontal="center"/>
    </xf>
    <xf numFmtId="0" fontId="6" fillId="3" borderId="9" xfId="0" applyFont="1" applyFill="1" applyBorder="1" applyAlignment="1"/>
    <xf numFmtId="0" fontId="0" fillId="3" borderId="0" xfId="0" applyFill="1" applyBorder="1" applyAlignment="1">
      <alignment horizontal="center"/>
    </xf>
    <xf numFmtId="0" fontId="0" fillId="3" borderId="0" xfId="0" applyFill="1" applyBorder="1"/>
    <xf numFmtId="0" fontId="6" fillId="3" borderId="11" xfId="0" applyFont="1" applyFill="1" applyBorder="1" applyAlignment="1"/>
    <xf numFmtId="0" fontId="0" fillId="3" borderId="12" xfId="0" applyFill="1" applyBorder="1" applyAlignment="1">
      <alignment horizontal="center"/>
    </xf>
    <xf numFmtId="0" fontId="0" fillId="3" borderId="12" xfId="0" applyFill="1" applyBorder="1"/>
    <xf numFmtId="0" fontId="8" fillId="8" borderId="26" xfId="0" applyFont="1" applyFill="1" applyBorder="1" applyAlignment="1">
      <alignment horizontal="center" vertical="center"/>
    </xf>
    <xf numFmtId="0" fontId="7" fillId="5" borderId="27" xfId="0" applyFont="1" applyFill="1" applyBorder="1" applyAlignment="1">
      <alignment horizontal="center" vertical="center"/>
    </xf>
    <xf numFmtId="43" fontId="24" fillId="8" borderId="0" xfId="1" applyFont="1" applyFill="1"/>
    <xf numFmtId="43" fontId="7" fillId="8" borderId="0" xfId="1" applyFont="1" applyFill="1" applyBorder="1" applyAlignment="1">
      <alignment horizontal="center" vertical="center"/>
    </xf>
    <xf numFmtId="171" fontId="19" fillId="8" borderId="0" xfId="1" applyNumberFormat="1" applyFont="1" applyFill="1" applyBorder="1"/>
    <xf numFmtId="43" fontId="19" fillId="8" borderId="0" xfId="1" applyFont="1" applyFill="1" applyBorder="1"/>
    <xf numFmtId="9" fontId="6" fillId="8" borderId="0" xfId="2" applyNumberFormat="1" applyFont="1" applyFill="1" applyBorder="1"/>
    <xf numFmtId="43" fontId="10" fillId="4" borderId="0" xfId="1" applyFont="1" applyFill="1" applyBorder="1" applyAlignment="1">
      <alignment horizontal="center" vertical="center"/>
    </xf>
    <xf numFmtId="43" fontId="4" fillId="8" borderId="18" xfId="1" applyFont="1" applyFill="1" applyBorder="1"/>
    <xf numFmtId="43" fontId="17" fillId="8" borderId="16" xfId="1" applyFont="1" applyFill="1" applyBorder="1"/>
    <xf numFmtId="43" fontId="4" fillId="8" borderId="0" xfId="1" applyFont="1" applyFill="1"/>
    <xf numFmtId="0" fontId="9" fillId="8" borderId="26" xfId="0" applyFont="1" applyFill="1" applyBorder="1" applyAlignment="1">
      <alignment horizontal="center" vertical="center"/>
    </xf>
    <xf numFmtId="0" fontId="7" fillId="6" borderId="27" xfId="0" applyFont="1" applyFill="1" applyBorder="1" applyAlignment="1">
      <alignment horizontal="center" vertical="center"/>
    </xf>
    <xf numFmtId="43" fontId="26" fillId="8" borderId="18" xfId="1" applyFont="1" applyFill="1" applyBorder="1"/>
    <xf numFmtId="43" fontId="3" fillId="8" borderId="0" xfId="1" applyFont="1" applyFill="1" applyBorder="1"/>
    <xf numFmtId="169" fontId="20" fillId="9" borderId="0" xfId="1" applyNumberFormat="1" applyFont="1" applyFill="1" applyBorder="1"/>
    <xf numFmtId="0" fontId="0" fillId="0" borderId="0" xfId="0" applyAlignment="1">
      <alignment horizontal="center" vertical="center"/>
    </xf>
    <xf numFmtId="43" fontId="0" fillId="0" borderId="0" xfId="1" applyFont="1" applyAlignment="1">
      <alignment horizontal="center" vertical="center"/>
    </xf>
    <xf numFmtId="168" fontId="6" fillId="12" borderId="14" xfId="0" applyNumberFormat="1" applyFont="1" applyFill="1" applyBorder="1" applyAlignment="1">
      <alignment horizontal="center" vertical="center"/>
    </xf>
    <xf numFmtId="168" fontId="6" fillId="12" borderId="5" xfId="0" applyNumberFormat="1" applyFont="1" applyFill="1" applyBorder="1" applyAlignment="1">
      <alignment horizontal="center" vertical="center"/>
    </xf>
    <xf numFmtId="168" fontId="19" fillId="12" borderId="15" xfId="0" applyNumberFormat="1" applyFont="1" applyFill="1" applyBorder="1" applyAlignment="1">
      <alignment horizontal="center" vertical="center"/>
    </xf>
    <xf numFmtId="168" fontId="19" fillId="12" borderId="5" xfId="0" applyNumberFormat="1" applyFont="1" applyFill="1" applyBorder="1" applyAlignment="1">
      <alignment horizontal="center" vertical="center"/>
    </xf>
    <xf numFmtId="168" fontId="6" fillId="12" borderId="15" xfId="0" applyNumberFormat="1" applyFont="1" applyFill="1" applyBorder="1" applyAlignment="1">
      <alignment horizontal="center" vertical="center"/>
    </xf>
    <xf numFmtId="168" fontId="5" fillId="12" borderId="5" xfId="0" applyNumberFormat="1" applyFont="1" applyFill="1" applyBorder="1" applyAlignment="1">
      <alignment horizontal="center" vertical="center"/>
    </xf>
    <xf numFmtId="168" fontId="5" fillId="12" borderId="15" xfId="0" applyNumberFormat="1" applyFont="1" applyFill="1" applyBorder="1" applyAlignment="1">
      <alignment horizontal="center" vertical="center"/>
    </xf>
    <xf numFmtId="168" fontId="5" fillId="12" borderId="2" xfId="0" applyNumberFormat="1" applyFont="1" applyFill="1" applyBorder="1" applyAlignment="1">
      <alignment horizontal="center" vertical="center"/>
    </xf>
    <xf numFmtId="168" fontId="5" fillId="12" borderId="7" xfId="0" applyNumberFormat="1" applyFont="1" applyFill="1" applyBorder="1" applyAlignment="1">
      <alignment horizontal="center" vertical="center"/>
    </xf>
    <xf numFmtId="168" fontId="5" fillId="12" borderId="8" xfId="0" applyNumberFormat="1" applyFont="1" applyFill="1" applyBorder="1" applyAlignment="1">
      <alignment horizontal="center" vertical="center"/>
    </xf>
    <xf numFmtId="168" fontId="6" fillId="12" borderId="8" xfId="0" applyNumberFormat="1" applyFont="1" applyFill="1" applyBorder="1" applyAlignment="1">
      <alignment horizontal="center" vertical="center"/>
    </xf>
    <xf numFmtId="0" fontId="0" fillId="2" borderId="0" xfId="0" applyFill="1" applyAlignment="1">
      <alignment horizontal="center" vertical="center"/>
    </xf>
    <xf numFmtId="168" fontId="6" fillId="2" borderId="0" xfId="0" applyNumberFormat="1" applyFont="1" applyFill="1" applyAlignment="1">
      <alignment horizontal="center" vertical="center"/>
    </xf>
    <xf numFmtId="0" fontId="6" fillId="2" borderId="0" xfId="0" applyNumberFormat="1" applyFont="1" applyFill="1" applyAlignment="1">
      <alignment horizontal="center" vertical="center"/>
    </xf>
    <xf numFmtId="0" fontId="6" fillId="2" borderId="7" xfId="0" applyNumberFormat="1" applyFont="1" applyFill="1" applyBorder="1" applyAlignment="1">
      <alignment horizontal="center" vertical="center"/>
    </xf>
    <xf numFmtId="0" fontId="6" fillId="2" borderId="8" xfId="0" applyNumberFormat="1" applyFont="1" applyFill="1" applyBorder="1" applyAlignment="1">
      <alignment horizontal="center" vertical="center"/>
    </xf>
    <xf numFmtId="43" fontId="6" fillId="2" borderId="12" xfId="1" applyFont="1" applyFill="1" applyBorder="1" applyAlignment="1">
      <alignment horizontal="center" vertical="center"/>
    </xf>
    <xf numFmtId="43" fontId="19" fillId="2" borderId="12" xfId="1" applyFont="1" applyFill="1" applyBorder="1" applyAlignment="1">
      <alignment horizontal="center" vertical="center"/>
    </xf>
    <xf numFmtId="43" fontId="6" fillId="2" borderId="13" xfId="1" applyFont="1" applyFill="1" applyBorder="1" applyAlignment="1">
      <alignment horizontal="center" vertical="center"/>
    </xf>
    <xf numFmtId="0" fontId="6" fillId="0" borderId="0" xfId="0" applyFont="1" applyAlignment="1">
      <alignment horizontal="center" vertical="center"/>
    </xf>
    <xf numFmtId="0" fontId="6" fillId="2" borderId="2" xfId="0" applyFont="1" applyFill="1" applyBorder="1" applyAlignment="1">
      <alignment horizontal="center" vertical="center"/>
    </xf>
    <xf numFmtId="43" fontId="6" fillId="2" borderId="6" xfId="1" applyFont="1" applyFill="1" applyBorder="1" applyAlignment="1">
      <alignment horizontal="center" vertical="center"/>
    </xf>
    <xf numFmtId="43" fontId="6" fillId="2" borderId="2" xfId="1" applyFont="1" applyFill="1" applyBorder="1" applyAlignment="1">
      <alignment horizontal="center" vertical="center"/>
    </xf>
    <xf numFmtId="43" fontId="6" fillId="2" borderId="8" xfId="1" applyFont="1" applyFill="1" applyBorder="1" applyAlignment="1">
      <alignment horizontal="center" vertical="center"/>
    </xf>
    <xf numFmtId="43" fontId="6" fillId="2" borderId="7" xfId="1" applyFont="1" applyFill="1" applyBorder="1" applyAlignment="1">
      <alignment horizontal="center" vertical="center"/>
    </xf>
    <xf numFmtId="43" fontId="19" fillId="2" borderId="4" xfId="1" applyFont="1" applyFill="1" applyBorder="1" applyAlignment="1">
      <alignment horizontal="center" vertical="center"/>
    </xf>
    <xf numFmtId="43" fontId="19" fillId="2" borderId="0" xfId="1" applyFont="1" applyFill="1" applyBorder="1" applyAlignment="1">
      <alignment horizontal="center" vertical="center"/>
    </xf>
    <xf numFmtId="43" fontId="19" fillId="2" borderId="3" xfId="1" applyFont="1" applyFill="1" applyBorder="1" applyAlignment="1">
      <alignment horizontal="center" vertical="center"/>
    </xf>
    <xf numFmtId="43" fontId="19" fillId="2" borderId="10" xfId="1" applyFont="1" applyFill="1" applyBorder="1" applyAlignment="1">
      <alignment horizontal="center" vertical="center"/>
    </xf>
    <xf numFmtId="43" fontId="5" fillId="2" borderId="10" xfId="1" applyFont="1" applyFill="1" applyBorder="1" applyAlignment="1">
      <alignment horizontal="center" vertical="center"/>
    </xf>
    <xf numFmtId="43" fontId="27" fillId="13" borderId="6" xfId="1" applyFont="1" applyFill="1" applyBorder="1" applyAlignment="1">
      <alignment horizontal="center" vertical="center"/>
    </xf>
    <xf numFmtId="43" fontId="27" fillId="13" borderId="2" xfId="1" applyFont="1" applyFill="1" applyBorder="1" applyAlignment="1">
      <alignment horizontal="center" vertical="center"/>
    </xf>
    <xf numFmtId="43" fontId="27" fillId="14" borderId="2" xfId="1" applyFont="1" applyFill="1" applyBorder="1" applyAlignment="1">
      <alignment horizontal="center" vertical="center"/>
    </xf>
    <xf numFmtId="43" fontId="27" fillId="14" borderId="8" xfId="1" applyFont="1" applyFill="1" applyBorder="1" applyAlignment="1">
      <alignment horizontal="center" vertical="center"/>
    </xf>
    <xf numFmtId="43" fontId="27" fillId="14" borderId="6" xfId="1" applyFont="1" applyFill="1" applyBorder="1" applyAlignment="1">
      <alignment horizontal="center" vertical="center"/>
    </xf>
    <xf numFmtId="43" fontId="28" fillId="15" borderId="8" xfId="1" applyFont="1" applyFill="1" applyBorder="1" applyAlignment="1">
      <alignment horizontal="center" vertical="center"/>
    </xf>
    <xf numFmtId="43" fontId="28" fillId="16" borderId="8" xfId="1" applyFont="1" applyFill="1" applyBorder="1" applyAlignment="1">
      <alignment horizontal="center" vertical="center"/>
    </xf>
    <xf numFmtId="43" fontId="29" fillId="16" borderId="8" xfId="1" applyFont="1" applyFill="1" applyBorder="1" applyAlignment="1">
      <alignment horizontal="center" vertical="center"/>
    </xf>
    <xf numFmtId="43" fontId="27" fillId="13" borderId="9" xfId="1" applyFont="1" applyFill="1" applyBorder="1" applyAlignment="1">
      <alignment horizontal="center" vertical="center"/>
    </xf>
    <xf numFmtId="43" fontId="27" fillId="13" borderId="3" xfId="1" applyFont="1" applyFill="1" applyBorder="1" applyAlignment="1">
      <alignment horizontal="center" vertical="center"/>
    </xf>
    <xf numFmtId="43" fontId="27" fillId="14" borderId="3" xfId="1" applyFont="1" applyFill="1" applyBorder="1" applyAlignment="1">
      <alignment horizontal="center" vertical="center"/>
    </xf>
    <xf numFmtId="43" fontId="27" fillId="14" borderId="10" xfId="1" applyFont="1" applyFill="1" applyBorder="1" applyAlignment="1">
      <alignment horizontal="center" vertical="center"/>
    </xf>
    <xf numFmtId="43" fontId="27" fillId="14" borderId="9" xfId="1" applyFont="1" applyFill="1" applyBorder="1" applyAlignment="1">
      <alignment horizontal="center" vertical="center"/>
    </xf>
    <xf numFmtId="43" fontId="28" fillId="17" borderId="3" xfId="1" applyFont="1" applyFill="1" applyBorder="1" applyAlignment="1">
      <alignment horizontal="center" vertical="center"/>
    </xf>
    <xf numFmtId="43" fontId="29" fillId="17" borderId="3" xfId="1" applyFont="1" applyFill="1" applyBorder="1" applyAlignment="1">
      <alignment horizontal="center" vertical="center"/>
    </xf>
    <xf numFmtId="43" fontId="27" fillId="14" borderId="0" xfId="1" applyFont="1" applyFill="1" applyBorder="1" applyAlignment="1">
      <alignment horizontal="center" vertical="center"/>
    </xf>
    <xf numFmtId="43" fontId="28" fillId="17" borderId="10" xfId="1" applyFont="1" applyFill="1" applyBorder="1" applyAlignment="1">
      <alignment horizontal="center" vertical="center"/>
    </xf>
    <xf numFmtId="43" fontId="30" fillId="17" borderId="10" xfId="1" applyFont="1" applyFill="1" applyBorder="1" applyAlignment="1">
      <alignment horizontal="center" vertical="center"/>
    </xf>
    <xf numFmtId="43" fontId="29" fillId="17" borderId="10" xfId="1" applyFont="1" applyFill="1" applyBorder="1" applyAlignment="1">
      <alignment horizontal="center" vertical="center"/>
    </xf>
    <xf numFmtId="0" fontId="6" fillId="4" borderId="4" xfId="0" applyFont="1" applyFill="1" applyBorder="1" applyAlignment="1">
      <alignment horizontal="center" vertical="center"/>
    </xf>
    <xf numFmtId="43" fontId="27" fillId="4" borderId="11" xfId="1" applyFont="1" applyFill="1" applyBorder="1" applyAlignment="1">
      <alignment horizontal="center" vertical="center"/>
    </xf>
    <xf numFmtId="43" fontId="27" fillId="4" borderId="4" xfId="1" applyFont="1" applyFill="1" applyBorder="1" applyAlignment="1">
      <alignment horizontal="center" vertical="center"/>
    </xf>
    <xf numFmtId="43" fontId="27" fillId="18" borderId="4" xfId="1" applyFont="1" applyFill="1" applyBorder="1" applyAlignment="1">
      <alignment horizontal="center" vertical="center"/>
    </xf>
    <xf numFmtId="43" fontId="27" fillId="18" borderId="13" xfId="1" applyFont="1" applyFill="1" applyBorder="1" applyAlignment="1">
      <alignment horizontal="center" vertical="center"/>
    </xf>
    <xf numFmtId="43" fontId="27" fillId="18" borderId="12" xfId="1" applyFont="1" applyFill="1" applyBorder="1" applyAlignment="1">
      <alignment horizontal="center" vertical="center"/>
    </xf>
    <xf numFmtId="43" fontId="31" fillId="18" borderId="4" xfId="1" applyFont="1" applyFill="1" applyBorder="1" applyAlignment="1">
      <alignment horizontal="center" vertical="center"/>
    </xf>
    <xf numFmtId="43" fontId="5" fillId="18" borderId="4" xfId="1" applyFont="1" applyFill="1" applyBorder="1" applyAlignment="1">
      <alignment horizontal="center" vertical="center"/>
    </xf>
    <xf numFmtId="43" fontId="28" fillId="19" borderId="4" xfId="1" applyFont="1" applyFill="1" applyBorder="1" applyAlignment="1">
      <alignment horizontal="center" vertical="center"/>
    </xf>
    <xf numFmtId="43" fontId="29" fillId="19" borderId="4" xfId="1" applyFont="1" applyFill="1" applyBorder="1" applyAlignment="1">
      <alignment horizontal="center" vertical="center"/>
    </xf>
    <xf numFmtId="43" fontId="29" fillId="20" borderId="4" xfId="1" applyFont="1" applyFill="1" applyBorder="1" applyAlignment="1">
      <alignment horizontal="center" vertical="center"/>
    </xf>
    <xf numFmtId="0" fontId="0" fillId="21" borderId="2" xfId="0" applyFill="1" applyBorder="1" applyAlignment="1">
      <alignment horizontal="center" vertical="center"/>
    </xf>
    <xf numFmtId="171" fontId="0" fillId="21" borderId="6" xfId="0" applyNumberFormat="1" applyFill="1" applyBorder="1" applyAlignment="1">
      <alignment horizontal="center" vertical="center"/>
    </xf>
    <xf numFmtId="171" fontId="0" fillId="21" borderId="2" xfId="0" applyNumberFormat="1" applyFill="1" applyBorder="1" applyAlignment="1">
      <alignment horizontal="center" vertical="center"/>
    </xf>
    <xf numFmtId="171" fontId="0" fillId="21" borderId="3" xfId="0" applyNumberFormat="1" applyFill="1" applyBorder="1" applyAlignment="1">
      <alignment horizontal="center" vertical="center"/>
    </xf>
    <xf numFmtId="0" fontId="16" fillId="21" borderId="4" xfId="0" applyFont="1" applyFill="1" applyBorder="1" applyAlignment="1">
      <alignment horizontal="center" vertical="center"/>
    </xf>
    <xf numFmtId="43" fontId="16" fillId="21" borderId="12" xfId="0" applyNumberFormat="1" applyFont="1" applyFill="1" applyBorder="1" applyAlignment="1">
      <alignment horizontal="center" vertical="center"/>
    </xf>
    <xf numFmtId="43" fontId="16" fillId="21" borderId="4" xfId="0" applyNumberFormat="1" applyFont="1" applyFill="1" applyBorder="1" applyAlignment="1">
      <alignment horizontal="center" vertical="center"/>
    </xf>
    <xf numFmtId="43" fontId="16" fillId="22" borderId="4" xfId="0" applyNumberFormat="1" applyFont="1" applyFill="1" applyBorder="1" applyAlignment="1">
      <alignment horizontal="center" vertical="center"/>
    </xf>
    <xf numFmtId="0" fontId="16" fillId="0" borderId="0" xfId="0" applyFont="1" applyAlignment="1">
      <alignment horizontal="center" vertical="center"/>
    </xf>
    <xf numFmtId="0" fontId="6" fillId="0" borderId="0" xfId="0" applyFont="1" applyFill="1" applyBorder="1" applyAlignment="1">
      <alignment horizontal="center" vertical="center"/>
    </xf>
    <xf numFmtId="43" fontId="6" fillId="0" borderId="0" xfId="0" applyNumberFormat="1" applyFont="1" applyFill="1" applyBorder="1" applyAlignment="1">
      <alignment horizontal="center" vertical="center"/>
    </xf>
    <xf numFmtId="0" fontId="6" fillId="0" borderId="0" xfId="0" applyFont="1" applyFill="1" applyAlignment="1">
      <alignment horizontal="center" vertical="center"/>
    </xf>
    <xf numFmtId="0" fontId="5" fillId="0" borderId="0" xfId="0" applyFont="1" applyFill="1" applyAlignment="1">
      <alignment horizontal="left" vertical="center"/>
    </xf>
    <xf numFmtId="0" fontId="6" fillId="13" borderId="5" xfId="0" applyFont="1" applyFill="1" applyBorder="1" applyAlignment="1">
      <alignment horizontal="center" vertical="center"/>
    </xf>
    <xf numFmtId="43" fontId="27" fillId="13" borderId="5" xfId="1" applyFont="1" applyFill="1" applyBorder="1" applyAlignment="1">
      <alignment horizontal="center" vertical="center"/>
    </xf>
    <xf numFmtId="43" fontId="27" fillId="14" borderId="5" xfId="1" applyFont="1" applyFill="1" applyBorder="1" applyAlignment="1">
      <alignment horizontal="center" vertical="center"/>
    </xf>
    <xf numFmtId="0" fontId="32" fillId="0" borderId="0" xfId="0" applyFont="1" applyAlignment="1">
      <alignment horizontal="center" vertical="center"/>
    </xf>
    <xf numFmtId="0" fontId="16" fillId="0" borderId="0" xfId="0" applyFont="1" applyAlignment="1">
      <alignment horizontal="left" vertical="center"/>
    </xf>
    <xf numFmtId="172" fontId="0" fillId="0" borderId="0" xfId="1" applyNumberFormat="1" applyFont="1" applyAlignment="1">
      <alignment horizontal="center" vertical="center"/>
    </xf>
    <xf numFmtId="0" fontId="0" fillId="0" borderId="0" xfId="0" applyAlignment="1">
      <alignment horizontal="left" vertical="center"/>
    </xf>
    <xf numFmtId="172" fontId="0" fillId="0" borderId="0" xfId="0" applyNumberFormat="1" applyAlignment="1">
      <alignment horizontal="center" vertical="center"/>
    </xf>
    <xf numFmtId="43" fontId="0" fillId="0" borderId="0" xfId="1" applyFont="1"/>
    <xf numFmtId="9" fontId="0" fillId="0" borderId="0" xfId="0" applyNumberFormat="1"/>
    <xf numFmtId="0" fontId="0" fillId="0" borderId="0" xfId="0" applyBorder="1"/>
    <xf numFmtId="0" fontId="24" fillId="0" borderId="0" xfId="0" applyFont="1" applyAlignment="1">
      <alignment horizontal="center" vertical="center"/>
    </xf>
    <xf numFmtId="3" fontId="0" fillId="0" borderId="0" xfId="0" applyNumberFormat="1"/>
    <xf numFmtId="43" fontId="0" fillId="0" borderId="0" xfId="0" applyNumberFormat="1"/>
    <xf numFmtId="43" fontId="24" fillId="12" borderId="0" xfId="1" applyFont="1" applyFill="1"/>
    <xf numFmtId="43" fontId="0" fillId="12" borderId="16" xfId="1" applyFont="1" applyFill="1" applyBorder="1"/>
    <xf numFmtId="170" fontId="0" fillId="8" borderId="0" xfId="0" applyNumberFormat="1" applyFill="1"/>
    <xf numFmtId="172" fontId="7" fillId="4" borderId="0" xfId="1" applyNumberFormat="1" applyFont="1" applyFill="1" applyBorder="1" applyAlignment="1">
      <alignment horizontal="center" vertical="center"/>
    </xf>
    <xf numFmtId="172" fontId="10" fillId="4" borderId="0" xfId="1" applyNumberFormat="1" applyFont="1" applyFill="1" applyBorder="1"/>
    <xf numFmtId="172" fontId="7" fillId="4" borderId="0" xfId="1" applyNumberFormat="1" applyFont="1" applyFill="1" applyBorder="1"/>
    <xf numFmtId="0" fontId="6" fillId="8" borderId="11" xfId="0" applyFont="1" applyFill="1" applyBorder="1" applyAlignment="1">
      <alignment horizontal="left" indent="1"/>
    </xf>
    <xf numFmtId="43" fontId="33" fillId="8" borderId="0" xfId="1" applyFont="1" applyFill="1" applyBorder="1"/>
    <xf numFmtId="43" fontId="26" fillId="8" borderId="0" xfId="1" applyFont="1" applyFill="1" applyBorder="1"/>
    <xf numFmtId="43" fontId="9" fillId="4" borderId="0" xfId="1" applyFont="1" applyFill="1" applyBorder="1"/>
    <xf numFmtId="43" fontId="27" fillId="12" borderId="5" xfId="1" applyFont="1" applyFill="1" applyBorder="1" applyAlignment="1">
      <alignment horizontal="center" vertical="center"/>
    </xf>
    <xf numFmtId="43" fontId="0" fillId="0" borderId="0" xfId="0" quotePrefix="1" applyNumberFormat="1" applyAlignment="1">
      <alignment horizontal="center" vertical="center"/>
    </xf>
    <xf numFmtId="43" fontId="26" fillId="12" borderId="18" xfId="1" applyFont="1" applyFill="1" applyBorder="1"/>
    <xf numFmtId="169" fontId="20" fillId="11" borderId="12" xfId="1" applyNumberFormat="1" applyFont="1" applyFill="1" applyBorder="1"/>
    <xf numFmtId="168" fontId="18" fillId="23" borderId="15" xfId="0" applyNumberFormat="1" applyFont="1" applyFill="1" applyBorder="1" applyAlignment="1">
      <alignment horizontal="center" vertical="center"/>
    </xf>
    <xf numFmtId="43" fontId="20" fillId="9" borderId="0" xfId="1" applyNumberFormat="1" applyFont="1" applyFill="1" applyBorder="1"/>
    <xf numFmtId="43" fontId="0" fillId="0" borderId="18" xfId="1" applyFont="1" applyFill="1" applyBorder="1"/>
    <xf numFmtId="43" fontId="4" fillId="21" borderId="16" xfId="1" applyFont="1" applyFill="1" applyBorder="1"/>
    <xf numFmtId="43" fontId="4" fillId="21" borderId="18" xfId="1" applyFont="1" applyFill="1" applyBorder="1"/>
    <xf numFmtId="172" fontId="0" fillId="0" borderId="0" xfId="0" applyNumberFormat="1"/>
    <xf numFmtId="43" fontId="6" fillId="0" borderId="0" xfId="0" applyNumberFormat="1" applyFont="1" applyAlignment="1">
      <alignment horizontal="center" vertical="center"/>
    </xf>
    <xf numFmtId="0" fontId="0" fillId="0" borderId="0" xfId="0" applyAlignment="1">
      <alignment horizontal="right" vertical="center"/>
    </xf>
    <xf numFmtId="43" fontId="24" fillId="8" borderId="16" xfId="1" applyFont="1" applyFill="1" applyBorder="1"/>
    <xf numFmtId="43" fontId="24" fillId="8" borderId="26" xfId="1" applyFont="1" applyFill="1" applyBorder="1"/>
    <xf numFmtId="43" fontId="24" fillId="8" borderId="12" xfId="1" applyFont="1" applyFill="1" applyBorder="1"/>
    <xf numFmtId="43" fontId="26" fillId="21" borderId="0" xfId="1" applyFont="1" applyFill="1"/>
    <xf numFmtId="43" fontId="26" fillId="8" borderId="16" xfId="1" applyFont="1" applyFill="1" applyBorder="1"/>
    <xf numFmtId="43" fontId="0" fillId="12" borderId="0" xfId="1" applyFont="1" applyFill="1"/>
    <xf numFmtId="43" fontId="26" fillId="12" borderId="0" xfId="1" applyFont="1" applyFill="1" applyBorder="1"/>
    <xf numFmtId="9" fontId="0" fillId="0" borderId="0" xfId="2" applyFont="1"/>
    <xf numFmtId="172" fontId="20" fillId="9" borderId="0" xfId="1" applyNumberFormat="1" applyFont="1" applyFill="1" applyBorder="1"/>
    <xf numFmtId="43" fontId="4" fillId="8" borderId="26" xfId="1" applyFont="1" applyFill="1" applyBorder="1"/>
    <xf numFmtId="43" fontId="6" fillId="25" borderId="0" xfId="0" applyNumberFormat="1" applyFont="1" applyFill="1" applyBorder="1"/>
    <xf numFmtId="0" fontId="6" fillId="25" borderId="0" xfId="0" applyFont="1" applyFill="1" applyBorder="1" applyAlignment="1">
      <alignment horizontal="center"/>
    </xf>
    <xf numFmtId="0" fontId="6" fillId="25" borderId="0" xfId="0" applyFont="1" applyFill="1" applyBorder="1" applyAlignment="1">
      <alignment horizontal="right"/>
    </xf>
    <xf numFmtId="0" fontId="6" fillId="18" borderId="0" xfId="0" applyFont="1" applyFill="1" applyBorder="1" applyAlignment="1">
      <alignment horizontal="center"/>
    </xf>
    <xf numFmtId="0" fontId="6" fillId="18" borderId="0" xfId="0" applyFont="1" applyFill="1" applyBorder="1" applyAlignment="1">
      <alignment horizontal="right"/>
    </xf>
    <xf numFmtId="43" fontId="7" fillId="18" borderId="0" xfId="0" applyNumberFormat="1" applyFont="1" applyFill="1" applyBorder="1"/>
    <xf numFmtId="43" fontId="19" fillId="2" borderId="5" xfId="1" applyFont="1" applyFill="1" applyBorder="1" applyAlignment="1">
      <alignment horizontal="center" vertical="center"/>
    </xf>
    <xf numFmtId="43" fontId="19" fillId="2" borderId="1" xfId="1" applyFont="1" applyFill="1" applyBorder="1" applyAlignment="1">
      <alignment horizontal="center" vertical="center"/>
    </xf>
    <xf numFmtId="43" fontId="26" fillId="8" borderId="0" xfId="1" applyFont="1" applyFill="1"/>
    <xf numFmtId="173" fontId="10" fillId="4" borderId="0" xfId="1" applyNumberFormat="1" applyFont="1" applyFill="1" applyBorder="1"/>
    <xf numFmtId="173" fontId="7" fillId="4" borderId="0" xfId="1" applyNumberFormat="1" applyFont="1" applyFill="1" applyBorder="1"/>
    <xf numFmtId="168" fontId="5" fillId="23" borderId="15" xfId="0" applyNumberFormat="1" applyFont="1" applyFill="1" applyBorder="1" applyAlignment="1">
      <alignment horizontal="center" vertical="center"/>
    </xf>
    <xf numFmtId="172" fontId="10" fillId="4" borderId="0" xfId="1" applyNumberFormat="1" applyFont="1" applyFill="1" applyBorder="1" applyAlignment="1">
      <alignment horizontal="center" vertical="center"/>
    </xf>
    <xf numFmtId="173" fontId="9" fillId="4" borderId="0" xfId="1" applyNumberFormat="1" applyFont="1" applyFill="1" applyBorder="1"/>
    <xf numFmtId="0" fontId="34" fillId="8" borderId="26" xfId="0" applyFont="1" applyFill="1" applyBorder="1" applyAlignment="1">
      <alignment horizontal="center" vertical="center"/>
    </xf>
    <xf numFmtId="43" fontId="6" fillId="2" borderId="0" xfId="0" applyNumberFormat="1" applyFont="1" applyFill="1" applyBorder="1"/>
    <xf numFmtId="0" fontId="6" fillId="2" borderId="0" xfId="0" applyFont="1" applyFill="1" applyBorder="1" applyAlignment="1">
      <alignment horizontal="center"/>
    </xf>
    <xf numFmtId="0" fontId="6" fillId="2" borderId="0" xfId="0" applyFont="1" applyFill="1" applyBorder="1" applyAlignment="1">
      <alignment horizontal="right"/>
    </xf>
    <xf numFmtId="0" fontId="35" fillId="2" borderId="0" xfId="0" applyFont="1" applyFill="1" applyBorder="1" applyAlignment="1">
      <alignment horizontal="right"/>
    </xf>
    <xf numFmtId="43" fontId="4" fillId="23" borderId="0" xfId="1" applyFont="1" applyFill="1" applyBorder="1"/>
    <xf numFmtId="173" fontId="20" fillId="9" borderId="0" xfId="1" applyNumberFormat="1" applyFont="1" applyFill="1" applyBorder="1"/>
    <xf numFmtId="169" fontId="4" fillId="8" borderId="0" xfId="1" applyNumberFormat="1" applyFont="1" applyFill="1" applyBorder="1"/>
    <xf numFmtId="172" fontId="9" fillId="4" borderId="0" xfId="1" applyNumberFormat="1" applyFont="1" applyFill="1" applyBorder="1" applyAlignment="1">
      <alignment horizontal="center" vertical="center"/>
    </xf>
    <xf numFmtId="0" fontId="0" fillId="8" borderId="0" xfId="0" applyFill="1" applyBorder="1" applyAlignment="1">
      <alignment horizontal="center"/>
    </xf>
    <xf numFmtId="43" fontId="0" fillId="8" borderId="0" xfId="0" applyNumberFormat="1" applyFill="1"/>
    <xf numFmtId="172" fontId="0" fillId="8" borderId="0" xfId="1" applyNumberFormat="1" applyFont="1" applyFill="1" applyAlignment="1">
      <alignment horizontal="center"/>
    </xf>
    <xf numFmtId="0" fontId="9" fillId="8" borderId="14" xfId="0" applyFont="1" applyFill="1" applyBorder="1"/>
    <xf numFmtId="0" fontId="19" fillId="8" borderId="15" xfId="0" applyFont="1" applyFill="1" applyBorder="1" applyAlignment="1">
      <alignment horizontal="center"/>
    </xf>
    <xf numFmtId="168" fontId="19" fillId="8" borderId="15" xfId="0" applyNumberFormat="1" applyFont="1" applyFill="1" applyBorder="1" applyAlignment="1">
      <alignment horizontal="center" vertical="center"/>
    </xf>
    <xf numFmtId="0" fontId="9" fillId="8" borderId="0" xfId="0" applyFont="1" applyFill="1" applyBorder="1"/>
    <xf numFmtId="0" fontId="37" fillId="8" borderId="0" xfId="0" applyFont="1" applyFill="1" applyBorder="1"/>
    <xf numFmtId="0" fontId="9" fillId="8" borderId="0" xfId="0" applyFont="1" applyFill="1" applyBorder="1" applyAlignment="1">
      <alignment horizontal="center"/>
    </xf>
    <xf numFmtId="168" fontId="9" fillId="8" borderId="0" xfId="0" applyNumberFormat="1" applyFont="1" applyFill="1" applyBorder="1" applyAlignment="1">
      <alignment horizontal="center" vertical="center"/>
    </xf>
    <xf numFmtId="0" fontId="38" fillId="18" borderId="0" xfId="0" applyFont="1" applyFill="1" applyBorder="1"/>
    <xf numFmtId="0" fontId="9" fillId="18" borderId="0" xfId="0" applyFont="1" applyFill="1" applyBorder="1" applyAlignment="1">
      <alignment horizontal="center"/>
    </xf>
    <xf numFmtId="0" fontId="39" fillId="8" borderId="0" xfId="0" applyFont="1" applyFill="1" applyBorder="1"/>
    <xf numFmtId="0" fontId="39" fillId="8" borderId="0" xfId="0" applyFont="1" applyFill="1" applyBorder="1" applyAlignment="1">
      <alignment horizontal="center"/>
    </xf>
    <xf numFmtId="0" fontId="40" fillId="8" borderId="0" xfId="0" quotePrefix="1" applyFont="1" applyFill="1" applyBorder="1"/>
    <xf numFmtId="0" fontId="40" fillId="8" borderId="0" xfId="0" applyFont="1" applyFill="1" applyBorder="1" applyAlignment="1">
      <alignment horizontal="center"/>
    </xf>
    <xf numFmtId="0" fontId="9" fillId="21" borderId="0" xfId="0" applyFont="1" applyFill="1" applyBorder="1"/>
    <xf numFmtId="0" fontId="9" fillId="21" borderId="0" xfId="0" applyFont="1" applyFill="1" applyBorder="1" applyAlignment="1">
      <alignment horizontal="center"/>
    </xf>
    <xf numFmtId="171" fontId="9" fillId="8" borderId="0" xfId="0" applyNumberFormat="1" applyFont="1" applyFill="1" applyBorder="1"/>
    <xf numFmtId="0" fontId="39" fillId="18" borderId="0" xfId="0" applyFont="1" applyFill="1" applyBorder="1" applyAlignment="1">
      <alignment horizontal="center"/>
    </xf>
    <xf numFmtId="0" fontId="38" fillId="26" borderId="0" xfId="0" applyFont="1" applyFill="1" applyBorder="1"/>
    <xf numFmtId="0" fontId="9" fillId="26" borderId="0" xfId="0" applyFont="1" applyFill="1" applyBorder="1" applyAlignment="1">
      <alignment horizontal="center"/>
    </xf>
    <xf numFmtId="171" fontId="9" fillId="8" borderId="0" xfId="6" applyNumberFormat="1" applyFont="1" applyFill="1" applyBorder="1"/>
    <xf numFmtId="0" fontId="9" fillId="8" borderId="0" xfId="0" applyFont="1" applyFill="1" applyBorder="1" applyAlignment="1"/>
    <xf numFmtId="0" fontId="7" fillId="8" borderId="0" xfId="0" applyFont="1" applyFill="1" applyBorder="1"/>
    <xf numFmtId="168" fontId="7" fillId="8" borderId="0" xfId="0" applyNumberFormat="1" applyFont="1" applyFill="1" applyBorder="1"/>
    <xf numFmtId="171" fontId="7" fillId="8" borderId="0" xfId="0" applyNumberFormat="1" applyFont="1" applyFill="1" applyBorder="1"/>
    <xf numFmtId="43" fontId="6" fillId="0" borderId="0" xfId="1" applyFont="1"/>
    <xf numFmtId="43" fontId="20" fillId="9" borderId="0" xfId="1" applyFont="1" applyFill="1" applyBorder="1"/>
    <xf numFmtId="0" fontId="19" fillId="27" borderId="0" xfId="0" applyFont="1" applyFill="1" applyBorder="1" applyAlignment="1">
      <alignment horizontal="center"/>
    </xf>
    <xf numFmtId="0" fontId="19" fillId="8" borderId="0" xfId="0" applyFont="1" applyFill="1" applyBorder="1"/>
    <xf numFmtId="0" fontId="19" fillId="8" borderId="0" xfId="0" applyFont="1" applyFill="1" applyBorder="1" applyAlignment="1">
      <alignment horizontal="center"/>
    </xf>
    <xf numFmtId="172" fontId="19" fillId="8" borderId="0" xfId="1" applyNumberFormat="1" applyFont="1" applyFill="1" applyBorder="1"/>
    <xf numFmtId="172" fontId="5" fillId="8" borderId="0" xfId="1" applyNumberFormat="1" applyFont="1" applyFill="1" applyBorder="1"/>
    <xf numFmtId="172" fontId="19" fillId="27" borderId="0" xfId="1" applyNumberFormat="1" applyFont="1" applyFill="1" applyBorder="1"/>
    <xf numFmtId="172" fontId="9" fillId="18" borderId="0" xfId="1" applyNumberFormat="1" applyFont="1" applyFill="1" applyBorder="1"/>
    <xf numFmtId="172" fontId="10" fillId="8" borderId="0" xfId="1" applyNumberFormat="1" applyFont="1" applyFill="1" applyBorder="1"/>
    <xf numFmtId="172" fontId="39" fillId="8" borderId="0" xfId="1" applyNumberFormat="1" applyFont="1" applyFill="1" applyBorder="1"/>
    <xf numFmtId="172" fontId="10" fillId="21" borderId="0" xfId="1" applyNumberFormat="1" applyFont="1" applyFill="1" applyBorder="1"/>
    <xf numFmtId="172" fontId="9" fillId="8" borderId="0" xfId="1" applyNumberFormat="1" applyFont="1" applyFill="1" applyBorder="1" applyAlignment="1">
      <alignment horizontal="center" vertical="center"/>
    </xf>
    <xf numFmtId="172" fontId="9" fillId="8" borderId="0" xfId="1" applyNumberFormat="1" applyFont="1" applyFill="1" applyBorder="1"/>
    <xf numFmtId="172" fontId="39" fillId="18" borderId="0" xfId="1" applyNumberFormat="1" applyFont="1" applyFill="1" applyBorder="1"/>
    <xf numFmtId="172" fontId="40" fillId="8" borderId="0" xfId="1" applyNumberFormat="1" applyFont="1" applyFill="1" applyBorder="1"/>
    <xf numFmtId="172" fontId="9" fillId="26" borderId="0" xfId="1" applyNumberFormat="1" applyFont="1" applyFill="1" applyBorder="1"/>
    <xf numFmtId="172" fontId="9" fillId="21" borderId="0" xfId="1" applyNumberFormat="1" applyFont="1" applyFill="1" applyBorder="1"/>
    <xf numFmtId="9" fontId="16" fillId="21" borderId="4" xfId="2" applyFont="1" applyFill="1" applyBorder="1" applyAlignment="1">
      <alignment horizontal="center" vertical="center"/>
    </xf>
    <xf numFmtId="168" fontId="6" fillId="8" borderId="0" xfId="0" applyNumberFormat="1" applyFont="1" applyFill="1" applyBorder="1"/>
    <xf numFmtId="4" fontId="9" fillId="8" borderId="0" xfId="0" applyNumberFormat="1" applyFont="1" applyFill="1" applyBorder="1"/>
    <xf numFmtId="4" fontId="7" fillId="8" borderId="0" xfId="0" applyNumberFormat="1" applyFont="1" applyFill="1" applyBorder="1"/>
    <xf numFmtId="173" fontId="7" fillId="4" borderId="0" xfId="1" applyNumberFormat="1" applyFont="1" applyFill="1" applyBorder="1" applyAlignment="1">
      <alignment horizontal="center" vertical="center"/>
    </xf>
    <xf numFmtId="43" fontId="4" fillId="8" borderId="16" xfId="1" applyFont="1" applyFill="1" applyBorder="1"/>
    <xf numFmtId="43" fontId="4" fillId="5" borderId="0" xfId="1" applyFont="1" applyFill="1" applyBorder="1"/>
    <xf numFmtId="173" fontId="10" fillId="4" borderId="0" xfId="1" applyNumberFormat="1" applyFont="1" applyFill="1" applyBorder="1" applyAlignment="1">
      <alignment horizontal="center" vertical="center"/>
    </xf>
    <xf numFmtId="43" fontId="20" fillId="11" borderId="12" xfId="1" applyNumberFormat="1" applyFont="1" applyFill="1" applyBorder="1"/>
    <xf numFmtId="173" fontId="10" fillId="8" borderId="0" xfId="1" applyNumberFormat="1" applyFont="1" applyFill="1" applyBorder="1"/>
    <xf numFmtId="0" fontId="0" fillId="0" borderId="0" xfId="0" applyFill="1" applyBorder="1"/>
    <xf numFmtId="0" fontId="7" fillId="8" borderId="10" xfId="0" applyFont="1" applyFill="1" applyBorder="1" applyAlignment="1">
      <alignment horizontal="center" vertical="center"/>
    </xf>
    <xf numFmtId="0" fontId="6" fillId="8" borderId="9" xfId="0" applyFont="1" applyFill="1" applyBorder="1"/>
    <xf numFmtId="0" fontId="10" fillId="8" borderId="0" xfId="0" applyFont="1" applyFill="1" applyBorder="1" applyAlignment="1">
      <alignment horizontal="center" vertical="center"/>
    </xf>
    <xf numFmtId="0" fontId="6" fillId="8" borderId="29" xfId="0" applyFont="1" applyFill="1" applyBorder="1"/>
    <xf numFmtId="0" fontId="6" fillId="8" borderId="0" xfId="0" applyFont="1" applyFill="1" applyBorder="1"/>
    <xf numFmtId="0" fontId="6" fillId="8" borderId="11" xfId="0" applyFont="1" applyFill="1" applyBorder="1"/>
    <xf numFmtId="0" fontId="7" fillId="8" borderId="9" xfId="0" applyFont="1" applyFill="1" applyBorder="1" applyAlignment="1">
      <alignment horizontal="center"/>
    </xf>
    <xf numFmtId="0" fontId="7" fillId="8" borderId="31" xfId="0" applyFont="1" applyFill="1" applyBorder="1" applyAlignment="1">
      <alignment horizontal="center"/>
    </xf>
    <xf numFmtId="0" fontId="7" fillId="8" borderId="24" xfId="0" applyFont="1" applyFill="1" applyBorder="1" applyAlignment="1">
      <alignment horizontal="center"/>
    </xf>
    <xf numFmtId="0" fontId="7" fillId="8" borderId="23" xfId="0" applyFont="1" applyFill="1" applyBorder="1" applyAlignment="1">
      <alignment horizontal="center"/>
    </xf>
    <xf numFmtId="0" fontId="0" fillId="8" borderId="31" xfId="0" applyFill="1" applyBorder="1" applyAlignment="1">
      <alignment horizontal="center"/>
    </xf>
    <xf numFmtId="0" fontId="9" fillId="8" borderId="10" xfId="0" applyFont="1" applyFill="1" applyBorder="1" applyAlignment="1">
      <alignment horizontal="center" vertical="center"/>
    </xf>
    <xf numFmtId="0" fontId="0" fillId="0" borderId="27" xfId="0" applyBorder="1" applyAlignment="1">
      <alignment horizontal="center"/>
    </xf>
    <xf numFmtId="43" fontId="26" fillId="8" borderId="26" xfId="1" applyFont="1" applyFill="1" applyBorder="1"/>
    <xf numFmtId="172" fontId="7" fillId="12" borderId="0" xfId="1" applyNumberFormat="1" applyFont="1" applyFill="1" applyBorder="1" applyAlignment="1">
      <alignment horizontal="center" vertical="center"/>
    </xf>
    <xf numFmtId="43" fontId="7" fillId="8" borderId="0" xfId="0" applyNumberFormat="1" applyFont="1" applyFill="1" applyBorder="1"/>
    <xf numFmtId="43" fontId="9" fillId="8" borderId="0" xfId="0" applyNumberFormat="1" applyFont="1" applyFill="1" applyBorder="1"/>
    <xf numFmtId="43" fontId="3" fillId="12" borderId="0" xfId="1" applyFont="1" applyFill="1" applyBorder="1"/>
    <xf numFmtId="43" fontId="0" fillId="0" borderId="0" xfId="0" applyNumberFormat="1" applyAlignment="1">
      <alignment horizontal="center" vertical="center"/>
    </xf>
    <xf numFmtId="43" fontId="0" fillId="23" borderId="0" xfId="1" applyFont="1" applyFill="1" applyBorder="1"/>
    <xf numFmtId="1" fontId="32" fillId="0" borderId="0" xfId="0" applyNumberFormat="1" applyFont="1" applyAlignment="1">
      <alignment horizontal="center" vertical="center"/>
    </xf>
    <xf numFmtId="43" fontId="19" fillId="12" borderId="5" xfId="1" applyFont="1" applyFill="1" applyBorder="1" applyAlignment="1">
      <alignment horizontal="center" vertical="center"/>
    </xf>
    <xf numFmtId="172" fontId="0" fillId="8" borderId="0" xfId="0" applyNumberFormat="1" applyFill="1"/>
    <xf numFmtId="43" fontId="4" fillId="12" borderId="0" xfId="1" applyFont="1" applyFill="1" applyBorder="1"/>
    <xf numFmtId="43" fontId="0" fillId="12" borderId="0" xfId="1" applyFont="1" applyFill="1" applyBorder="1"/>
    <xf numFmtId="43" fontId="4" fillId="23" borderId="0" xfId="1" applyFont="1" applyFill="1"/>
    <xf numFmtId="43" fontId="9" fillId="12" borderId="0" xfId="0" applyNumberFormat="1" applyFont="1" applyFill="1" applyBorder="1"/>
    <xf numFmtId="168" fontId="27" fillId="12" borderId="8" xfId="0" applyNumberFormat="1" applyFont="1" applyFill="1" applyBorder="1" applyAlignment="1">
      <alignment horizontal="center" vertical="center"/>
    </xf>
    <xf numFmtId="43" fontId="9" fillId="8" borderId="0" xfId="1" applyFont="1" applyFill="1" applyBorder="1"/>
    <xf numFmtId="43" fontId="0" fillId="0" borderId="0" xfId="0" applyNumberFormat="1"/>
    <xf numFmtId="43" fontId="10" fillId="8" borderId="0" xfId="0" applyNumberFormat="1" applyFont="1" applyFill="1"/>
    <xf numFmtId="0" fontId="18" fillId="7" borderId="15" xfId="0" applyFont="1" applyFill="1" applyBorder="1" applyAlignment="1">
      <alignment horizontal="center"/>
    </xf>
    <xf numFmtId="0" fontId="18" fillId="7" borderId="1" xfId="0" applyFont="1" applyFill="1" applyBorder="1" applyAlignment="1">
      <alignment horizontal="center"/>
    </xf>
    <xf numFmtId="169" fontId="26" fillId="8" borderId="0" xfId="1" applyNumberFormat="1" applyFont="1" applyFill="1" applyBorder="1"/>
    <xf numFmtId="168" fontId="18" fillId="7" borderId="0" xfId="0" applyNumberFormat="1" applyFont="1" applyFill="1" applyBorder="1" applyAlignment="1">
      <alignment horizontal="center" vertical="center"/>
    </xf>
    <xf numFmtId="0" fontId="0" fillId="8" borderId="12" xfId="0" applyFill="1" applyBorder="1" applyAlignment="1"/>
    <xf numFmtId="43" fontId="9" fillId="4" borderId="0" xfId="1" applyFont="1" applyFill="1" applyBorder="1" applyAlignment="1">
      <alignment horizontal="center" vertical="center"/>
    </xf>
    <xf numFmtId="43" fontId="0" fillId="8" borderId="0" xfId="0" applyNumberFormat="1" applyFill="1"/>
    <xf numFmtId="9" fontId="6" fillId="110" borderId="0" xfId="2" applyNumberFormat="1" applyFont="1" applyFill="1" applyBorder="1"/>
    <xf numFmtId="0" fontId="6" fillId="110" borderId="9" xfId="0" applyFont="1" applyFill="1" applyBorder="1" applyAlignment="1">
      <alignment horizontal="left" indent="1"/>
    </xf>
    <xf numFmtId="0" fontId="0" fillId="8" borderId="0" xfId="0" applyFill="1" applyBorder="1" applyAlignment="1">
      <alignment horizontal="center"/>
    </xf>
    <xf numFmtId="0" fontId="0" fillId="8" borderId="10" xfId="0" applyFill="1" applyBorder="1" applyAlignment="1">
      <alignment horizontal="center"/>
    </xf>
    <xf numFmtId="0" fontId="0" fillId="8" borderId="12" xfId="0" applyFill="1" applyBorder="1" applyAlignment="1">
      <alignment horizontal="center"/>
    </xf>
    <xf numFmtId="0" fontId="18" fillId="7" borderId="15" xfId="0" applyFont="1" applyFill="1" applyBorder="1" applyAlignment="1">
      <alignment horizontal="center"/>
    </xf>
    <xf numFmtId="0" fontId="0" fillId="8" borderId="7" xfId="0" applyFill="1" applyBorder="1" applyAlignment="1">
      <alignment horizontal="center"/>
    </xf>
    <xf numFmtId="0" fontId="0" fillId="8" borderId="8" xfId="0" applyFill="1" applyBorder="1" applyAlignment="1">
      <alignment horizontal="center"/>
    </xf>
    <xf numFmtId="0" fontId="18" fillId="7" borderId="1" xfId="0" applyFont="1" applyFill="1" applyBorder="1" applyAlignment="1">
      <alignment horizontal="center"/>
    </xf>
    <xf numFmtId="172" fontId="7" fillId="8" borderId="0" xfId="1" applyNumberFormat="1" applyFont="1" applyFill="1" applyBorder="1" applyAlignment="1">
      <alignment horizontal="center" vertical="center"/>
    </xf>
    <xf numFmtId="0" fontId="0" fillId="8" borderId="8" xfId="0" applyFill="1" applyBorder="1" applyAlignment="1">
      <alignment horizontal="right"/>
    </xf>
    <xf numFmtId="0" fontId="0" fillId="8" borderId="10" xfId="0" applyFill="1" applyBorder="1" applyAlignment="1">
      <alignment horizontal="right"/>
    </xf>
    <xf numFmtId="0" fontId="0" fillId="8" borderId="13" xfId="0" applyFill="1" applyBorder="1" applyAlignment="1">
      <alignment horizontal="right"/>
    </xf>
    <xf numFmtId="169" fontId="0" fillId="8" borderId="6" xfId="1" applyNumberFormat="1" applyFont="1" applyFill="1" applyBorder="1"/>
    <xf numFmtId="169" fontId="26" fillId="8" borderId="9" xfId="1" applyNumberFormat="1" applyFont="1" applyFill="1" applyBorder="1"/>
    <xf numFmtId="171" fontId="0" fillId="8" borderId="9" xfId="1" applyNumberFormat="1" applyFont="1" applyFill="1" applyBorder="1"/>
    <xf numFmtId="0" fontId="19" fillId="8" borderId="0" xfId="0" applyFont="1" applyFill="1"/>
    <xf numFmtId="0" fontId="7" fillId="8" borderId="7" xfId="0" applyFont="1" applyFill="1" applyBorder="1" applyAlignment="1">
      <alignment horizontal="center"/>
    </xf>
    <xf numFmtId="168" fontId="18" fillId="7" borderId="12" xfId="0" applyNumberFormat="1" applyFont="1" applyFill="1" applyBorder="1" applyAlignment="1">
      <alignment horizontal="center" vertical="center"/>
    </xf>
    <xf numFmtId="0" fontId="15" fillId="8" borderId="0" xfId="0" applyFont="1" applyFill="1" applyBorder="1"/>
    <xf numFmtId="169" fontId="19" fillId="8" borderId="0" xfId="1" applyNumberFormat="1" applyFont="1" applyFill="1" applyBorder="1"/>
    <xf numFmtId="0" fontId="6" fillId="3" borderId="6" xfId="0" applyFont="1" applyFill="1" applyBorder="1" applyAlignment="1"/>
    <xf numFmtId="0" fontId="0" fillId="3" borderId="7" xfId="0" applyFill="1" applyBorder="1" applyAlignment="1">
      <alignment horizontal="center"/>
    </xf>
    <xf numFmtId="0" fontId="0" fillId="3" borderId="7" xfId="0" applyFill="1" applyBorder="1"/>
    <xf numFmtId="0" fontId="0" fillId="3" borderId="8" xfId="0" applyFill="1" applyBorder="1"/>
    <xf numFmtId="0" fontId="0" fillId="3" borderId="10" xfId="0" applyFill="1" applyBorder="1"/>
    <xf numFmtId="0" fontId="0" fillId="3" borderId="13" xfId="0" applyFill="1" applyBorder="1"/>
    <xf numFmtId="43" fontId="0" fillId="8" borderId="9" xfId="0" applyNumberFormat="1" applyFill="1" applyBorder="1"/>
    <xf numFmtId="43" fontId="0" fillId="8" borderId="11" xfId="0" applyNumberFormat="1" applyFill="1" applyBorder="1"/>
    <xf numFmtId="172" fontId="0" fillId="8" borderId="0" xfId="0" applyNumberFormat="1" applyFill="1" applyBorder="1"/>
    <xf numFmtId="0" fontId="0" fillId="8" borderId="8" xfId="0" applyFill="1" applyBorder="1" applyAlignment="1">
      <alignment horizontal="center" vertical="center"/>
    </xf>
    <xf numFmtId="0" fontId="0" fillId="8" borderId="10" xfId="0" applyFill="1" applyBorder="1" applyAlignment="1">
      <alignment horizontal="center" vertical="center"/>
    </xf>
    <xf numFmtId="0" fontId="0" fillId="8" borderId="0" xfId="0" applyFill="1" applyBorder="1" applyAlignment="1">
      <alignment horizontal="center" vertical="center"/>
    </xf>
    <xf numFmtId="0" fontId="0" fillId="8" borderId="13" xfId="0" applyFill="1" applyBorder="1" applyAlignment="1">
      <alignment horizontal="center" vertical="center"/>
    </xf>
    <xf numFmtId="0" fontId="7" fillId="8" borderId="7" xfId="0" applyFont="1" applyFill="1" applyBorder="1" applyAlignment="1">
      <alignment horizontal="center" vertical="center"/>
    </xf>
    <xf numFmtId="0" fontId="7" fillId="8" borderId="12" xfId="0" applyFont="1" applyFill="1" applyBorder="1" applyAlignment="1">
      <alignment horizontal="center" vertical="center"/>
    </xf>
    <xf numFmtId="0" fontId="7" fillId="8" borderId="11" xfId="0" applyFont="1" applyFill="1" applyBorder="1" applyAlignment="1">
      <alignment horizontal="center" vertical="center"/>
    </xf>
    <xf numFmtId="0" fontId="7" fillId="8" borderId="8" xfId="0" applyFont="1" applyFill="1" applyBorder="1" applyAlignment="1">
      <alignment horizontal="center" vertical="center"/>
    </xf>
    <xf numFmtId="9" fontId="6" fillId="24" borderId="11" xfId="2" applyNumberFormat="1" applyFont="1" applyFill="1" applyBorder="1"/>
    <xf numFmtId="9" fontId="6" fillId="24" borderId="12" xfId="2" applyNumberFormat="1" applyFont="1" applyFill="1" applyBorder="1"/>
    <xf numFmtId="43" fontId="0" fillId="109" borderId="0" xfId="1" applyFont="1" applyFill="1" applyBorder="1"/>
    <xf numFmtId="43" fontId="6" fillId="8" borderId="7" xfId="1" applyFont="1" applyFill="1" applyBorder="1"/>
    <xf numFmtId="172" fontId="6" fillId="8" borderId="14" xfId="1" applyNumberFormat="1" applyFont="1" applyFill="1" applyBorder="1"/>
    <xf numFmtId="172" fontId="6" fillId="8" borderId="15" xfId="1" applyNumberFormat="1" applyFont="1" applyFill="1" applyBorder="1"/>
    <xf numFmtId="43" fontId="0" fillId="0" borderId="0" xfId="1" applyFont="1" applyBorder="1"/>
    <xf numFmtId="43" fontId="0" fillId="109" borderId="2" xfId="1" applyFont="1" applyFill="1" applyBorder="1"/>
    <xf numFmtId="0" fontId="162" fillId="8" borderId="0" xfId="0" applyFont="1" applyFill="1" applyBorder="1" applyAlignment="1">
      <alignment horizontal="center" vertical="center"/>
    </xf>
    <xf numFmtId="0" fontId="161" fillId="8" borderId="10" xfId="0" applyFont="1" applyFill="1" applyBorder="1" applyAlignment="1">
      <alignment horizontal="center" vertical="center"/>
    </xf>
    <xf numFmtId="43" fontId="161" fillId="18" borderId="0" xfId="0" applyNumberFormat="1" applyFont="1" applyFill="1" applyBorder="1"/>
    <xf numFmtId="43" fontId="3" fillId="8" borderId="0" xfId="1" applyFont="1" applyFill="1"/>
    <xf numFmtId="43" fontId="9" fillId="21" borderId="0" xfId="0" applyNumberFormat="1" applyFont="1" applyFill="1" applyBorder="1"/>
    <xf numFmtId="43" fontId="0" fillId="0" borderId="0" xfId="1" applyFont="1" applyFill="1" applyBorder="1"/>
    <xf numFmtId="43" fontId="0" fillId="0" borderId="0" xfId="0" applyNumberFormat="1"/>
    <xf numFmtId="0" fontId="6" fillId="13" borderId="2" xfId="0" applyFont="1" applyFill="1" applyBorder="1" applyAlignment="1">
      <alignment horizontal="center" vertical="center"/>
    </xf>
    <xf numFmtId="0" fontId="6" fillId="13" borderId="3" xfId="0" applyFont="1" applyFill="1" applyBorder="1" applyAlignment="1">
      <alignment horizontal="center" vertical="center"/>
    </xf>
    <xf numFmtId="43" fontId="10" fillId="8" borderId="0" xfId="0" applyNumberFormat="1" applyFont="1" applyFill="1" applyBorder="1"/>
    <xf numFmtId="43" fontId="19" fillId="12" borderId="1" xfId="1" applyFont="1" applyFill="1" applyBorder="1" applyAlignment="1">
      <alignment horizontal="center" vertical="center"/>
    </xf>
    <xf numFmtId="43" fontId="0" fillId="0" borderId="0" xfId="0" applyNumberFormat="1"/>
    <xf numFmtId="43" fontId="0" fillId="0" borderId="0" xfId="0" applyNumberFormat="1"/>
    <xf numFmtId="0" fontId="19" fillId="111" borderId="2" xfId="0" applyFont="1" applyFill="1" applyBorder="1" applyAlignment="1">
      <alignment horizontal="center" vertical="center"/>
    </xf>
    <xf numFmtId="43" fontId="19" fillId="111" borderId="1" xfId="1" applyFont="1" applyFill="1" applyBorder="1" applyAlignment="1">
      <alignment horizontal="center" vertical="center"/>
    </xf>
    <xf numFmtId="43" fontId="24" fillId="5" borderId="0" xfId="1" applyFont="1" applyFill="1" applyBorder="1"/>
    <xf numFmtId="43" fontId="24" fillId="8" borderId="0" xfId="1" applyFont="1" applyFill="1" applyBorder="1"/>
    <xf numFmtId="43" fontId="20" fillId="11" borderId="12" xfId="1" applyNumberFormat="1" applyFont="1" applyFill="1" applyBorder="1"/>
    <xf numFmtId="43" fontId="0" fillId="0" borderId="0" xfId="0" applyNumberFormat="1" applyAlignment="1">
      <alignment horizontal="center" vertical="center"/>
    </xf>
    <xf numFmtId="43" fontId="26" fillId="0" borderId="0" xfId="1" applyFont="1" applyFill="1" applyBorder="1"/>
    <xf numFmtId="43" fontId="24" fillId="5" borderId="9" xfId="1" applyFont="1" applyFill="1" applyBorder="1"/>
    <xf numFmtId="43" fontId="24" fillId="8" borderId="9" xfId="1" applyFont="1" applyFill="1" applyBorder="1"/>
    <xf numFmtId="43" fontId="24" fillId="8" borderId="11" xfId="1" applyFont="1" applyFill="1" applyBorder="1"/>
    <xf numFmtId="0" fontId="18" fillId="8" borderId="0" xfId="0" applyFont="1" applyFill="1"/>
    <xf numFmtId="172" fontId="6" fillId="8" borderId="0" xfId="1" applyNumberFormat="1" applyFont="1" applyFill="1"/>
    <xf numFmtId="43" fontId="0" fillId="8" borderId="24" xfId="1" applyFont="1" applyFill="1" applyBorder="1"/>
    <xf numFmtId="43" fontId="0" fillId="8" borderId="31" xfId="1" applyFont="1" applyFill="1" applyBorder="1"/>
    <xf numFmtId="43" fontId="26" fillId="8" borderId="9" xfId="1" applyFont="1" applyFill="1" applyBorder="1"/>
    <xf numFmtId="43" fontId="26" fillId="8" borderId="24" xfId="1" applyFont="1" applyFill="1" applyBorder="1"/>
    <xf numFmtId="43" fontId="0" fillId="8" borderId="23" xfId="1" applyFont="1" applyFill="1" applyBorder="1"/>
    <xf numFmtId="43" fontId="4" fillId="8" borderId="23" xfId="1" applyFont="1" applyFill="1" applyBorder="1"/>
    <xf numFmtId="43" fontId="24" fillId="8" borderId="31" xfId="1" applyFont="1" applyFill="1" applyBorder="1"/>
    <xf numFmtId="172" fontId="20" fillId="11" borderId="12" xfId="1" applyNumberFormat="1" applyFont="1" applyFill="1" applyBorder="1"/>
    <xf numFmtId="0" fontId="13" fillId="8" borderId="0" xfId="0" applyFont="1" applyFill="1" applyBorder="1" applyAlignment="1">
      <alignment horizontal="center" vertical="center"/>
    </xf>
    <xf numFmtId="43" fontId="0" fillId="109" borderId="8" xfId="1" applyFont="1" applyFill="1" applyBorder="1"/>
    <xf numFmtId="0" fontId="6" fillId="8" borderId="6" xfId="0" applyFont="1" applyFill="1" applyBorder="1" applyAlignment="1">
      <alignment horizontal="center" vertical="center"/>
    </xf>
    <xf numFmtId="0" fontId="7" fillId="8" borderId="9" xfId="0" applyFont="1" applyFill="1" applyBorder="1" applyAlignment="1">
      <alignment horizontal="center" vertical="center"/>
    </xf>
    <xf numFmtId="0" fontId="161" fillId="8" borderId="9" xfId="0" applyFont="1" applyFill="1" applyBorder="1" applyAlignment="1">
      <alignment horizontal="center" vertical="center"/>
    </xf>
    <xf numFmtId="0" fontId="13" fillId="8" borderId="26" xfId="0" applyFont="1" applyFill="1" applyBorder="1" applyAlignment="1">
      <alignment horizontal="center" vertical="center"/>
    </xf>
    <xf numFmtId="43" fontId="0" fillId="0" borderId="0" xfId="0" applyNumberFormat="1"/>
    <xf numFmtId="43" fontId="164" fillId="8" borderId="0" xfId="1" applyFont="1" applyFill="1" applyBorder="1"/>
    <xf numFmtId="173" fontId="7" fillId="24" borderId="0" xfId="1" applyNumberFormat="1" applyFont="1" applyFill="1"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43" fontId="0" fillId="0" borderId="0" xfId="0" applyNumberFormat="1" applyAlignment="1">
      <alignment horizontal="center" vertical="center"/>
    </xf>
    <xf numFmtId="43" fontId="26" fillId="5" borderId="9" xfId="1" applyFont="1" applyFill="1" applyBorder="1"/>
    <xf numFmtId="43" fontId="24" fillId="12" borderId="0" xfId="1" applyFont="1" applyFill="1" applyBorder="1"/>
    <xf numFmtId="43" fontId="6" fillId="0" borderId="0" xfId="0" applyNumberFormat="1" applyFont="1" applyAlignment="1">
      <alignment horizontal="center" vertical="center"/>
    </xf>
    <xf numFmtId="43" fontId="6" fillId="0" borderId="0" xfId="0" applyNumberFormat="1" applyFont="1" applyFill="1" applyAlignment="1">
      <alignment horizontal="center" vertical="center"/>
    </xf>
    <xf numFmtId="173" fontId="165" fillId="24" borderId="0" xfId="1" applyNumberFormat="1" applyFont="1" applyFill="1" applyBorder="1" applyAlignment="1">
      <alignment horizontal="center" vertical="center"/>
    </xf>
    <xf numFmtId="43" fontId="26" fillId="5" borderId="0" xfId="1" applyFont="1" applyFill="1" applyBorder="1"/>
    <xf numFmtId="43" fontId="0" fillId="0" borderId="0" xfId="0" applyNumberFormat="1"/>
    <xf numFmtId="43" fontId="10" fillId="21" borderId="0" xfId="0" applyNumberFormat="1" applyFont="1" applyFill="1" applyBorder="1"/>
    <xf numFmtId="43" fontId="0" fillId="0" borderId="0" xfId="0" applyNumberFormat="1" applyAlignment="1">
      <alignment horizontal="center" vertical="center"/>
    </xf>
    <xf numFmtId="43" fontId="4" fillId="8" borderId="9" xfId="1" applyFont="1" applyFill="1" applyBorder="1"/>
    <xf numFmtId="43" fontId="0" fillId="12" borderId="0" xfId="1" applyFont="1" applyFill="1" applyAlignment="1">
      <alignment horizontal="center" vertical="center"/>
    </xf>
    <xf numFmtId="43" fontId="10" fillId="12" borderId="0" xfId="0" applyNumberFormat="1" applyFont="1" applyFill="1" applyBorder="1"/>
    <xf numFmtId="43" fontId="33" fillId="8" borderId="16" xfId="1" applyFont="1" applyFill="1" applyBorder="1"/>
    <xf numFmtId="172" fontId="27" fillId="8" borderId="0" xfId="1" applyNumberFormat="1" applyFont="1" applyFill="1" applyBorder="1"/>
    <xf numFmtId="0" fontId="166" fillId="8" borderId="0" xfId="0" applyFont="1" applyFill="1" applyBorder="1" applyAlignment="1">
      <alignment horizontal="center"/>
    </xf>
    <xf numFmtId="0" fontId="167" fillId="0" borderId="0" xfId="0" applyFont="1" applyBorder="1"/>
    <xf numFmtId="0" fontId="168" fillId="0" borderId="0" xfId="0" applyFont="1" applyBorder="1" applyAlignment="1">
      <alignment vertical="center"/>
    </xf>
    <xf numFmtId="0" fontId="169" fillId="112" borderId="0" xfId="0" applyFont="1" applyFill="1" applyBorder="1" applyAlignment="1">
      <alignment horizontal="center" vertical="center"/>
    </xf>
    <xf numFmtId="168" fontId="169" fillId="3" borderId="0" xfId="0" applyNumberFormat="1" applyFont="1" applyFill="1" applyBorder="1" applyAlignment="1">
      <alignment horizontal="center" vertical="center"/>
    </xf>
    <xf numFmtId="168" fontId="169" fillId="12" borderId="0" xfId="0" applyNumberFormat="1" applyFont="1" applyFill="1" applyBorder="1" applyAlignment="1">
      <alignment horizontal="center" vertical="center"/>
    </xf>
    <xf numFmtId="168" fontId="169" fillId="112" borderId="0" xfId="0" applyNumberFormat="1" applyFont="1" applyFill="1" applyBorder="1" applyAlignment="1">
      <alignment horizontal="center" vertical="center"/>
    </xf>
    <xf numFmtId="0" fontId="170" fillId="0" borderId="0" xfId="0" applyFont="1" applyBorder="1"/>
    <xf numFmtId="0" fontId="0" fillId="0" borderId="0" xfId="0" applyBorder="1" applyAlignment="1">
      <alignment horizontal="center"/>
    </xf>
    <xf numFmtId="43" fontId="171" fillId="2" borderId="0" xfId="1" applyFont="1" applyFill="1" applyBorder="1"/>
    <xf numFmtId="43" fontId="26" fillId="0" borderId="0" xfId="1" applyFont="1" applyBorder="1"/>
    <xf numFmtId="171" fontId="0" fillId="0" borderId="0" xfId="1" applyNumberFormat="1" applyFont="1" applyBorder="1"/>
    <xf numFmtId="43" fontId="4" fillId="0" borderId="0" xfId="1" applyFont="1" applyBorder="1"/>
    <xf numFmtId="0" fontId="0" fillId="0" borderId="0" xfId="0" applyFont="1" applyBorder="1" applyAlignment="1">
      <alignment horizontal="center"/>
    </xf>
    <xf numFmtId="0" fontId="167" fillId="0" borderId="0" xfId="0" applyFont="1"/>
    <xf numFmtId="0" fontId="0" fillId="0" borderId="0" xfId="0" applyFill="1" applyBorder="1" applyAlignment="1">
      <alignment horizontal="center"/>
    </xf>
    <xf numFmtId="43" fontId="24" fillId="2" borderId="0" xfId="1" applyFont="1" applyFill="1" applyBorder="1"/>
    <xf numFmtId="43" fontId="171" fillId="0" borderId="0" xfId="1" applyFont="1" applyFill="1" applyBorder="1"/>
    <xf numFmtId="168" fontId="169" fillId="0" borderId="0" xfId="0" applyNumberFormat="1" applyFont="1" applyFill="1" applyBorder="1" applyAlignment="1">
      <alignment horizontal="center" vertical="center"/>
    </xf>
    <xf numFmtId="0" fontId="172" fillId="0" borderId="0" xfId="0" applyFont="1" applyBorder="1"/>
    <xf numFmtId="43" fontId="174" fillId="0" borderId="0" xfId="1" applyFont="1" applyBorder="1" applyAlignment="1">
      <alignment vertical="center"/>
    </xf>
    <xf numFmtId="43" fontId="0" fillId="0" borderId="0" xfId="1" applyFont="1" applyFill="1"/>
    <xf numFmtId="0" fontId="168" fillId="0" borderId="0" xfId="0" applyFont="1" applyFill="1" applyBorder="1" applyAlignment="1">
      <alignment vertical="center"/>
    </xf>
    <xf numFmtId="171" fontId="0" fillId="0" borderId="0" xfId="1" applyNumberFormat="1" applyFont="1" applyFill="1" applyBorder="1"/>
    <xf numFmtId="43" fontId="4" fillId="0" borderId="0" xfId="1" applyFont="1" applyFill="1" applyBorder="1"/>
    <xf numFmtId="0" fontId="18" fillId="7" borderId="14" xfId="0" applyFont="1" applyFill="1" applyBorder="1" applyAlignment="1">
      <alignment horizontal="center"/>
    </xf>
    <xf numFmtId="0" fontId="18" fillId="7" borderId="15" xfId="0" applyFont="1" applyFill="1" applyBorder="1" applyAlignment="1">
      <alignment horizontal="center"/>
    </xf>
    <xf numFmtId="43" fontId="0" fillId="8" borderId="55" xfId="1" applyFont="1" applyFill="1" applyBorder="1"/>
    <xf numFmtId="43" fontId="26" fillId="8" borderId="17" xfId="1" applyFont="1" applyFill="1" applyBorder="1"/>
    <xf numFmtId="43" fontId="26" fillId="8" borderId="56" xfId="1" applyFont="1" applyFill="1" applyBorder="1"/>
    <xf numFmtId="43" fontId="0" fillId="8" borderId="57" xfId="1" applyFont="1" applyFill="1" applyBorder="1"/>
    <xf numFmtId="43" fontId="0" fillId="8" borderId="58" xfId="1" applyFont="1" applyFill="1" applyBorder="1"/>
    <xf numFmtId="43" fontId="6" fillId="0" borderId="0" xfId="0" applyNumberFormat="1" applyFont="1" applyFill="1" applyBorder="1"/>
    <xf numFmtId="0" fontId="10" fillId="8" borderId="0" xfId="0" applyFont="1" applyFill="1" applyBorder="1" applyAlignment="1">
      <alignment horizontal="center"/>
    </xf>
    <xf numFmtId="3" fontId="0" fillId="0" borderId="0" xfId="0" applyNumberFormat="1" applyAlignment="1">
      <alignment horizontal="center" vertical="center"/>
    </xf>
    <xf numFmtId="172" fontId="177" fillId="0" borderId="0" xfId="1" applyNumberFormat="1" applyFont="1" applyAlignment="1">
      <alignment horizontal="center" vertical="center"/>
    </xf>
    <xf numFmtId="43" fontId="0" fillId="0" borderId="0" xfId="0" applyNumberFormat="1"/>
    <xf numFmtId="43" fontId="4" fillId="12" borderId="11" xfId="1" applyFont="1" applyFill="1" applyBorder="1"/>
    <xf numFmtId="0" fontId="178" fillId="0" borderId="0" xfId="0" applyFont="1" applyBorder="1"/>
    <xf numFmtId="173" fontId="9" fillId="24" borderId="0" xfId="1" applyNumberFormat="1" applyFont="1" applyFill="1" applyBorder="1" applyAlignment="1">
      <alignment horizontal="center" vertical="center"/>
    </xf>
    <xf numFmtId="172" fontId="7" fillId="8" borderId="0" xfId="0" applyNumberFormat="1" applyFont="1" applyFill="1" applyBorder="1"/>
    <xf numFmtId="0" fontId="0" fillId="8" borderId="13" xfId="0" applyFill="1" applyBorder="1" applyAlignment="1">
      <alignment horizontal="center"/>
    </xf>
    <xf numFmtId="0" fontId="0" fillId="8" borderId="8" xfId="0" applyFill="1" applyBorder="1" applyAlignment="1">
      <alignment horizontal="center"/>
    </xf>
    <xf numFmtId="0" fontId="0" fillId="8" borderId="10" xfId="0" applyFill="1" applyBorder="1" applyAlignment="1">
      <alignment horizontal="center"/>
    </xf>
    <xf numFmtId="43" fontId="9" fillId="5" borderId="7" xfId="0" applyNumberFormat="1" applyFont="1" applyFill="1" applyBorder="1"/>
    <xf numFmtId="43" fontId="9" fillId="5" borderId="6" xfId="0" applyNumberFormat="1" applyFont="1" applyFill="1" applyBorder="1"/>
    <xf numFmtId="0" fontId="7" fillId="6" borderId="19" xfId="0" applyFont="1" applyFill="1" applyBorder="1" applyAlignment="1">
      <alignment horizontal="center" vertical="center"/>
    </xf>
    <xf numFmtId="0" fontId="8" fillId="8" borderId="7" xfId="0" applyFont="1" applyFill="1" applyBorder="1" applyAlignment="1">
      <alignment horizontal="center" vertical="center"/>
    </xf>
    <xf numFmtId="0" fontId="0" fillId="8" borderId="11" xfId="0" applyFill="1" applyBorder="1" applyAlignment="1">
      <alignment horizontal="center"/>
    </xf>
    <xf numFmtId="0" fontId="13" fillId="8" borderId="12" xfId="0" applyFont="1" applyFill="1" applyBorder="1" applyAlignment="1">
      <alignment horizontal="center" vertical="center"/>
    </xf>
    <xf numFmtId="43" fontId="26" fillId="8" borderId="6" xfId="1" applyFont="1" applyFill="1" applyBorder="1"/>
    <xf numFmtId="43" fontId="26" fillId="8" borderId="7" xfId="1" applyFont="1" applyFill="1" applyBorder="1"/>
    <xf numFmtId="43" fontId="26" fillId="8" borderId="11" xfId="1" applyFont="1" applyFill="1" applyBorder="1"/>
    <xf numFmtId="43" fontId="26" fillId="8" borderId="12" xfId="1" applyFont="1" applyFill="1" applyBorder="1"/>
    <xf numFmtId="173" fontId="10" fillId="24" borderId="0" xfId="1" applyNumberFormat="1" applyFont="1" applyFill="1" applyBorder="1" applyAlignment="1">
      <alignment horizontal="center" vertical="center"/>
    </xf>
    <xf numFmtId="0" fontId="164" fillId="8" borderId="0" xfId="0" applyFont="1" applyFill="1" applyAlignment="1">
      <alignment horizontal="center"/>
    </xf>
    <xf numFmtId="0" fontId="161" fillId="8" borderId="0" xfId="0" applyFont="1" applyFill="1" applyBorder="1" applyAlignment="1">
      <alignment horizontal="center"/>
    </xf>
    <xf numFmtId="0" fontId="7" fillId="26" borderId="0" xfId="0" applyFont="1" applyFill="1" applyBorder="1" applyAlignment="1">
      <alignment horizontal="center"/>
    </xf>
    <xf numFmtId="43" fontId="0" fillId="0" borderId="0" xfId="0" applyNumberFormat="1" applyAlignment="1">
      <alignment horizontal="center" vertical="center"/>
    </xf>
    <xf numFmtId="43" fontId="24" fillId="23" borderId="0" xfId="1" applyFont="1" applyFill="1" applyBorder="1"/>
    <xf numFmtId="43" fontId="4" fillId="12" borderId="9" xfId="1" applyFont="1" applyFill="1" applyBorder="1"/>
    <xf numFmtId="43" fontId="0" fillId="8" borderId="6" xfId="1" applyFont="1" applyFill="1" applyBorder="1"/>
    <xf numFmtId="43" fontId="26" fillId="8" borderId="23" xfId="1" applyFont="1" applyFill="1" applyBorder="1"/>
    <xf numFmtId="0" fontId="5" fillId="2" borderId="8" xfId="0" applyNumberFormat="1" applyFont="1" applyFill="1" applyBorder="1" applyAlignment="1">
      <alignment horizontal="center" vertical="center"/>
    </xf>
    <xf numFmtId="0" fontId="4" fillId="8" borderId="0" xfId="0" applyFont="1" applyFill="1"/>
    <xf numFmtId="0" fontId="4" fillId="8" borderId="0" xfId="0" applyFont="1" applyFill="1" applyAlignment="1">
      <alignment horizontal="right"/>
    </xf>
    <xf numFmtId="0" fontId="179" fillId="0" borderId="0" xfId="0" applyFont="1" applyBorder="1" applyAlignment="1">
      <alignment vertical="center"/>
    </xf>
    <xf numFmtId="0" fontId="180" fillId="8" borderId="0" xfId="0" applyFont="1" applyFill="1" applyBorder="1"/>
    <xf numFmtId="0" fontId="0" fillId="8" borderId="0" xfId="0" applyFill="1" applyBorder="1" applyAlignment="1">
      <alignment horizontal="center"/>
    </xf>
    <xf numFmtId="0" fontId="0" fillId="8" borderId="10" xfId="0" applyFill="1" applyBorder="1" applyAlignment="1">
      <alignment horizontal="center"/>
    </xf>
    <xf numFmtId="43" fontId="4" fillId="5" borderId="7" xfId="0" applyNumberFormat="1" applyFont="1" applyFill="1" applyBorder="1"/>
    <xf numFmtId="0" fontId="7" fillId="8" borderId="9" xfId="0" applyFont="1" applyFill="1" applyBorder="1" applyAlignment="1"/>
    <xf numFmtId="9" fontId="6" fillId="113" borderId="12" xfId="2" applyNumberFormat="1" applyFont="1" applyFill="1" applyBorder="1"/>
    <xf numFmtId="172" fontId="161" fillId="4" borderId="0" xfId="1" applyNumberFormat="1" applyFont="1" applyFill="1" applyBorder="1" applyAlignment="1">
      <alignment horizontal="center" vertical="center"/>
    </xf>
    <xf numFmtId="172" fontId="12" fillId="8" borderId="0" xfId="0" applyNumberFormat="1" applyFont="1" applyFill="1"/>
    <xf numFmtId="172" fontId="8" fillId="4" borderId="0" xfId="1" applyNumberFormat="1" applyFont="1" applyFill="1" applyBorder="1" applyAlignment="1">
      <alignment horizontal="center" vertical="center"/>
    </xf>
    <xf numFmtId="0" fontId="181" fillId="24" borderId="0" xfId="0" applyFont="1" applyFill="1" applyAlignment="1">
      <alignment horizontal="left" indent="1"/>
    </xf>
    <xf numFmtId="0" fontId="0" fillId="24" borderId="0" xfId="0" applyFill="1" applyAlignment="1">
      <alignment horizontal="center"/>
    </xf>
    <xf numFmtId="0" fontId="0" fillId="24" borderId="0" xfId="0" applyFill="1"/>
    <xf numFmtId="43" fontId="0" fillId="24" borderId="0" xfId="1" applyFont="1" applyFill="1"/>
    <xf numFmtId="0" fontId="18" fillId="24" borderId="15" xfId="0" applyFont="1" applyFill="1" applyBorder="1" applyAlignment="1">
      <alignment horizontal="center"/>
    </xf>
    <xf numFmtId="0" fontId="18" fillId="24" borderId="1" xfId="0" applyFont="1" applyFill="1" applyBorder="1" applyAlignment="1">
      <alignment horizontal="center"/>
    </xf>
    <xf numFmtId="0" fontId="6" fillId="24" borderId="6" xfId="0" applyFont="1" applyFill="1" applyBorder="1"/>
    <xf numFmtId="0" fontId="0" fillId="24" borderId="7" xfId="0" applyFill="1" applyBorder="1" applyAlignment="1">
      <alignment horizontal="center"/>
    </xf>
    <xf numFmtId="0" fontId="0" fillId="24" borderId="7" xfId="0" applyFill="1" applyBorder="1"/>
    <xf numFmtId="0" fontId="0" fillId="24" borderId="8" xfId="0" applyFill="1" applyBorder="1" applyAlignment="1">
      <alignment horizontal="right"/>
    </xf>
    <xf numFmtId="0" fontId="6" fillId="24" borderId="9" xfId="0" applyFont="1" applyFill="1" applyBorder="1" applyAlignment="1">
      <alignment horizontal="left" indent="1"/>
    </xf>
    <xf numFmtId="0" fontId="0" fillId="24" borderId="0" xfId="0" applyFill="1" applyBorder="1" applyAlignment="1">
      <alignment horizontal="center"/>
    </xf>
    <xf numFmtId="0" fontId="0" fillId="24" borderId="0" xfId="0" applyFill="1" applyBorder="1"/>
    <xf numFmtId="0" fontId="0" fillId="24" borderId="10" xfId="0" applyFill="1" applyBorder="1" applyAlignment="1">
      <alignment horizontal="right"/>
    </xf>
    <xf numFmtId="0" fontId="6" fillId="24" borderId="11" xfId="0" applyFont="1" applyFill="1" applyBorder="1" applyAlignment="1">
      <alignment horizontal="left" indent="1"/>
    </xf>
    <xf numFmtId="0" fontId="0" fillId="24" borderId="12" xfId="0" applyFill="1" applyBorder="1" applyAlignment="1">
      <alignment horizontal="center"/>
    </xf>
    <xf numFmtId="0" fontId="0" fillId="24" borderId="12" xfId="0" applyFill="1" applyBorder="1"/>
    <xf numFmtId="0" fontId="0" fillId="24" borderId="13" xfId="0" applyFill="1" applyBorder="1" applyAlignment="1">
      <alignment horizontal="right"/>
    </xf>
    <xf numFmtId="172" fontId="9" fillId="0" borderId="0" xfId="1" applyNumberFormat="1" applyFont="1" applyBorder="1" applyAlignment="1">
      <alignment vertical="center"/>
    </xf>
    <xf numFmtId="172" fontId="161" fillId="0" borderId="0" xfId="1" applyNumberFormat="1" applyFont="1" applyBorder="1" applyAlignment="1">
      <alignment vertical="center"/>
    </xf>
    <xf numFmtId="0" fontId="26" fillId="0" borderId="0" xfId="0" applyFont="1" applyBorder="1" applyAlignment="1">
      <alignment horizontal="center"/>
    </xf>
    <xf numFmtId="43" fontId="182" fillId="0" borderId="0" xfId="1" applyFont="1" applyBorder="1" applyAlignment="1">
      <alignment vertical="center"/>
    </xf>
    <xf numFmtId="43" fontId="7" fillId="0" borderId="0" xfId="1" applyFont="1" applyBorder="1" applyAlignment="1">
      <alignment vertical="center"/>
    </xf>
    <xf numFmtId="0" fontId="175" fillId="0" borderId="0" xfId="0" applyFont="1" applyBorder="1" applyAlignment="1">
      <alignment horizontal="left" vertical="center"/>
    </xf>
    <xf numFmtId="0" fontId="164" fillId="0" borderId="0" xfId="0" applyFont="1" applyBorder="1" applyAlignment="1">
      <alignment horizontal="center"/>
    </xf>
    <xf numFmtId="43" fontId="173" fillId="0" borderId="0" xfId="1" applyFont="1" applyBorder="1" applyAlignment="1">
      <alignment vertical="center"/>
    </xf>
    <xf numFmtId="43" fontId="161" fillId="0" borderId="0" xfId="1" applyFont="1" applyBorder="1" applyAlignment="1">
      <alignment vertical="center"/>
    </xf>
    <xf numFmtId="43" fontId="164" fillId="2" borderId="0" xfId="1" applyFont="1" applyFill="1" applyBorder="1"/>
    <xf numFmtId="43" fontId="161" fillId="0" borderId="0" xfId="1" applyFont="1" applyFill="1" applyBorder="1"/>
    <xf numFmtId="0" fontId="183" fillId="0" borderId="0" xfId="0" applyFont="1" applyBorder="1"/>
    <xf numFmtId="172" fontId="164" fillId="0" borderId="0" xfId="1" applyNumberFormat="1" applyFont="1" applyBorder="1" applyAlignment="1">
      <alignment vertical="center"/>
    </xf>
    <xf numFmtId="43" fontId="175" fillId="0" borderId="0" xfId="1" applyFont="1" applyBorder="1" applyAlignment="1">
      <alignment horizontal="left" vertical="center"/>
    </xf>
    <xf numFmtId="43" fontId="184" fillId="0" borderId="0" xfId="1" applyFont="1" applyBorder="1" applyAlignment="1">
      <alignment horizontal="left" vertical="center"/>
    </xf>
    <xf numFmtId="43" fontId="175" fillId="0" borderId="0" xfId="0" applyNumberFormat="1" applyFont="1" applyBorder="1" applyAlignment="1">
      <alignment horizontal="left" vertical="center"/>
    </xf>
    <xf numFmtId="172" fontId="169" fillId="0" borderId="0" xfId="1" applyNumberFormat="1" applyFont="1" applyBorder="1" applyAlignment="1">
      <alignment vertical="center"/>
    </xf>
    <xf numFmtId="172" fontId="0" fillId="0" borderId="0" xfId="1" applyNumberFormat="1" applyFont="1" applyBorder="1"/>
    <xf numFmtId="0" fontId="172" fillId="0" borderId="0" xfId="0" applyFont="1"/>
    <xf numFmtId="0" fontId="164" fillId="0" borderId="0" xfId="0" applyFont="1" applyFill="1" applyBorder="1" applyAlignment="1">
      <alignment horizontal="center"/>
    </xf>
    <xf numFmtId="43" fontId="0" fillId="0" borderId="0" xfId="0" applyNumberFormat="1"/>
    <xf numFmtId="171" fontId="0" fillId="0" borderId="0" xfId="0" applyNumberFormat="1"/>
    <xf numFmtId="43" fontId="4" fillId="8" borderId="12" xfId="1" applyFont="1" applyFill="1" applyBorder="1"/>
    <xf numFmtId="172" fontId="5" fillId="12" borderId="0" xfId="1" applyNumberFormat="1" applyFont="1" applyFill="1" applyBorder="1"/>
    <xf numFmtId="43" fontId="26" fillId="23" borderId="0" xfId="1" applyFont="1" applyFill="1" applyBorder="1"/>
    <xf numFmtId="43" fontId="26" fillId="23" borderId="0" xfId="0" applyNumberFormat="1" applyFont="1" applyFill="1" applyBorder="1"/>
    <xf numFmtId="168" fontId="18" fillId="7" borderId="15" xfId="0" applyNumberFormat="1" applyFont="1" applyFill="1" applyBorder="1" applyAlignment="1">
      <alignment horizontal="center" vertical="center"/>
    </xf>
    <xf numFmtId="43" fontId="3" fillId="5" borderId="0" xfId="1" applyFont="1" applyFill="1" applyBorder="1"/>
    <xf numFmtId="43" fontId="9" fillId="0" borderId="0" xfId="1" applyFont="1" applyBorder="1" applyAlignment="1">
      <alignment vertical="center"/>
    </xf>
    <xf numFmtId="0" fontId="26" fillId="0" borderId="0" xfId="0" applyFont="1"/>
    <xf numFmtId="172" fontId="26" fillId="0" borderId="0" xfId="1" applyNumberFormat="1" applyFont="1"/>
    <xf numFmtId="172" fontId="183" fillId="0" borderId="0" xfId="1" applyNumberFormat="1" applyFont="1"/>
    <xf numFmtId="0" fontId="183" fillId="0" borderId="0" xfId="0" applyFont="1" applyBorder="1" applyAlignment="1">
      <alignment horizontal="center"/>
    </xf>
    <xf numFmtId="43" fontId="10" fillId="0" borderId="0" xfId="1" applyFont="1" applyBorder="1" applyAlignment="1">
      <alignment vertical="center"/>
    </xf>
    <xf numFmtId="43" fontId="19" fillId="14" borderId="5" xfId="1" applyFont="1" applyFill="1" applyBorder="1" applyAlignment="1">
      <alignment horizontal="center" vertical="center"/>
    </xf>
    <xf numFmtId="0" fontId="4" fillId="0" borderId="0" xfId="0" applyFont="1" applyAlignment="1">
      <alignment horizontal="center" vertical="center"/>
    </xf>
    <xf numFmtId="43" fontId="10" fillId="5" borderId="7" xfId="0" applyNumberFormat="1" applyFont="1" applyFill="1" applyBorder="1"/>
    <xf numFmtId="43" fontId="9" fillId="23" borderId="0" xfId="0" applyNumberFormat="1" applyFont="1" applyFill="1" applyBorder="1"/>
    <xf numFmtId="173" fontId="19" fillId="8" borderId="0" xfId="1" applyNumberFormat="1" applyFont="1" applyFill="1" applyBorder="1"/>
    <xf numFmtId="172" fontId="10" fillId="8" borderId="0" xfId="1" applyNumberFormat="1" applyFont="1" applyFill="1" applyBorder="1" applyAlignment="1">
      <alignment horizontal="center" vertical="center"/>
    </xf>
    <xf numFmtId="43" fontId="10" fillId="8" borderId="0" xfId="1" applyFont="1" applyFill="1" applyBorder="1"/>
    <xf numFmtId="43" fontId="24" fillId="0" borderId="0" xfId="1" applyFont="1" applyFill="1" applyBorder="1"/>
    <xf numFmtId="43" fontId="10" fillId="0" borderId="0" xfId="1" applyFont="1" applyFill="1" applyBorder="1"/>
    <xf numFmtId="43" fontId="10" fillId="12" borderId="7" xfId="0" applyNumberFormat="1" applyFont="1" applyFill="1" applyBorder="1"/>
    <xf numFmtId="43" fontId="10" fillId="12" borderId="0" xfId="1" applyFont="1" applyFill="1" applyBorder="1"/>
    <xf numFmtId="0" fontId="24" fillId="0" borderId="0" xfId="0" applyFont="1" applyBorder="1" applyAlignment="1">
      <alignment horizontal="center"/>
    </xf>
    <xf numFmtId="43" fontId="185" fillId="0" borderId="0" xfId="1" applyFont="1" applyBorder="1" applyAlignment="1">
      <alignment vertical="center"/>
    </xf>
    <xf numFmtId="172" fontId="8" fillId="0" borderId="0" xfId="1" applyNumberFormat="1" applyFont="1" applyBorder="1" applyAlignment="1">
      <alignment vertical="center"/>
    </xf>
    <xf numFmtId="0" fontId="24" fillId="0" borderId="0" xfId="0" applyFont="1" applyFill="1"/>
    <xf numFmtId="172" fontId="176" fillId="0" borderId="0" xfId="1" applyNumberFormat="1" applyFont="1" applyBorder="1" applyAlignment="1">
      <alignment vertical="center"/>
    </xf>
    <xf numFmtId="0" fontId="24" fillId="0" borderId="0" xfId="0" applyFont="1"/>
    <xf numFmtId="0" fontId="186" fillId="0" borderId="0" xfId="0" applyFont="1" applyBorder="1" applyAlignment="1">
      <alignment horizontal="left" vertical="center"/>
    </xf>
    <xf numFmtId="0" fontId="187" fillId="0" borderId="0" xfId="0" applyFont="1" applyBorder="1" applyAlignment="1">
      <alignment horizontal="center"/>
    </xf>
    <xf numFmtId="43" fontId="187" fillId="2" borderId="0" xfId="1" applyFont="1" applyFill="1" applyBorder="1"/>
    <xf numFmtId="172" fontId="187" fillId="2" borderId="0" xfId="1" applyNumberFormat="1" applyFont="1" applyFill="1" applyBorder="1"/>
    <xf numFmtId="43" fontId="187" fillId="0" borderId="0" xfId="1" applyFont="1" applyFill="1" applyBorder="1"/>
    <xf numFmtId="172" fontId="187" fillId="0" borderId="0" xfId="1" applyNumberFormat="1" applyFont="1" applyBorder="1"/>
    <xf numFmtId="0" fontId="187" fillId="0" borderId="0" xfId="0" applyFont="1"/>
    <xf numFmtId="43" fontId="9" fillId="5" borderId="0" xfId="1" applyFont="1" applyFill="1" applyBorder="1"/>
    <xf numFmtId="43" fontId="12" fillId="8" borderId="0" xfId="0" applyNumberFormat="1" applyFont="1" applyFill="1"/>
    <xf numFmtId="0" fontId="0" fillId="8" borderId="0" xfId="0" applyNumberFormat="1" applyFill="1"/>
    <xf numFmtId="43" fontId="0" fillId="8" borderId="0" xfId="0" applyNumberFormat="1" applyFill="1"/>
    <xf numFmtId="43" fontId="9" fillId="8" borderId="0" xfId="1" applyNumberFormat="1" applyFont="1" applyFill="1" applyBorder="1"/>
    <xf numFmtId="9" fontId="161" fillId="0" borderId="0" xfId="2" applyFont="1" applyBorder="1" applyAlignment="1">
      <alignment vertical="center"/>
    </xf>
    <xf numFmtId="43" fontId="26" fillId="8" borderId="0" xfId="1" applyNumberFormat="1" applyFont="1" applyFill="1" applyBorder="1"/>
    <xf numFmtId="0" fontId="189" fillId="0" borderId="0" xfId="0" applyFont="1" applyAlignment="1">
      <alignment horizontal="center" vertical="center"/>
    </xf>
    <xf numFmtId="43" fontId="9" fillId="24" borderId="0" xfId="1" applyNumberFormat="1" applyFont="1" applyFill="1" applyBorder="1" applyAlignment="1">
      <alignment horizontal="center" vertical="center"/>
    </xf>
    <xf numFmtId="43" fontId="9" fillId="4" borderId="0" xfId="1" applyNumberFormat="1" applyFont="1" applyFill="1" applyBorder="1" applyAlignment="1">
      <alignment horizontal="center" vertical="center"/>
    </xf>
    <xf numFmtId="43" fontId="7" fillId="4" borderId="0" xfId="1" applyNumberFormat="1" applyFont="1" applyFill="1" applyBorder="1"/>
    <xf numFmtId="43" fontId="9" fillId="4" borderId="0" xfId="1" applyNumberFormat="1" applyFont="1" applyFill="1" applyBorder="1"/>
    <xf numFmtId="43" fontId="0" fillId="0" borderId="0" xfId="0" applyNumberFormat="1" applyAlignment="1">
      <alignment horizontal="center" vertical="center"/>
    </xf>
    <xf numFmtId="194" fontId="0" fillId="0" borderId="0" xfId="0" applyNumberFormat="1"/>
    <xf numFmtId="195" fontId="0" fillId="0" borderId="0" xfId="0" applyNumberFormat="1"/>
    <xf numFmtId="43" fontId="7" fillId="8" borderId="0" xfId="1" applyNumberFormat="1" applyFont="1" applyFill="1" applyBorder="1"/>
    <xf numFmtId="43" fontId="0" fillId="0" borderId="0" xfId="0" applyNumberFormat="1" applyAlignment="1">
      <alignment horizontal="center" vertical="center"/>
    </xf>
    <xf numFmtId="43" fontId="10" fillId="8" borderId="0" xfId="1" applyNumberFormat="1" applyFont="1" applyFill="1" applyBorder="1"/>
    <xf numFmtId="43" fontId="6" fillId="8" borderId="9" xfId="0" applyNumberFormat="1" applyFont="1" applyFill="1" applyBorder="1"/>
    <xf numFmtId="196" fontId="19" fillId="8" borderId="0" xfId="1" applyNumberFormat="1" applyFont="1" applyFill="1" applyBorder="1"/>
    <xf numFmtId="43" fontId="0" fillId="8" borderId="0" xfId="0" applyNumberFormat="1" applyFill="1" applyBorder="1" applyAlignment="1">
      <alignment horizontal="right"/>
    </xf>
    <xf numFmtId="43" fontId="10" fillId="0" borderId="0" xfId="1" applyNumberFormat="1" applyFont="1" applyFill="1" applyBorder="1"/>
    <xf numFmtId="43" fontId="7" fillId="4" borderId="0" xfId="1" applyNumberFormat="1" applyFont="1" applyFill="1" applyBorder="1" applyAlignment="1">
      <alignment horizontal="center" vertical="center"/>
    </xf>
    <xf numFmtId="43" fontId="26" fillId="0" borderId="0" xfId="1" applyNumberFormat="1" applyFont="1"/>
    <xf numFmtId="0" fontId="6" fillId="22" borderId="0" xfId="0" applyFont="1" applyFill="1" applyBorder="1"/>
    <xf numFmtId="1" fontId="6" fillId="22" borderId="0" xfId="0" applyNumberFormat="1" applyFont="1" applyFill="1" applyBorder="1"/>
    <xf numFmtId="194" fontId="26" fillId="8" borderId="0" xfId="1" applyNumberFormat="1" applyFont="1" applyFill="1" applyBorder="1"/>
    <xf numFmtId="43" fontId="10" fillId="4" borderId="0" xfId="1" applyNumberFormat="1" applyFont="1" applyFill="1" applyBorder="1"/>
    <xf numFmtId="1" fontId="7" fillId="8" borderId="0" xfId="0" applyNumberFormat="1" applyFont="1" applyFill="1" applyBorder="1"/>
    <xf numFmtId="43" fontId="6" fillId="8" borderId="0" xfId="0" applyNumberFormat="1" applyFont="1" applyFill="1" applyBorder="1" applyAlignment="1">
      <alignment horizontal="center"/>
    </xf>
    <xf numFmtId="43" fontId="10" fillId="4" borderId="0" xfId="1" applyNumberFormat="1" applyFont="1" applyFill="1" applyBorder="1" applyAlignment="1">
      <alignment horizontal="center" vertical="center"/>
    </xf>
    <xf numFmtId="172" fontId="9" fillId="23" borderId="0" xfId="1" applyNumberFormat="1" applyFont="1" applyFill="1" applyBorder="1"/>
    <xf numFmtId="43" fontId="0" fillId="8" borderId="0" xfId="0" applyNumberFormat="1" applyFill="1" applyBorder="1"/>
    <xf numFmtId="3" fontId="187" fillId="0" borderId="0" xfId="0" applyNumberFormat="1" applyFont="1"/>
    <xf numFmtId="43" fontId="26" fillId="5" borderId="0" xfId="1" applyNumberFormat="1" applyFont="1" applyFill="1" applyBorder="1"/>
    <xf numFmtId="43" fontId="0" fillId="0" borderId="0" xfId="0" applyNumberFormat="1" applyAlignment="1">
      <alignment horizontal="center" vertical="center"/>
    </xf>
    <xf numFmtId="43" fontId="19" fillId="8" borderId="0" xfId="1" applyNumberFormat="1" applyFont="1" applyFill="1" applyBorder="1"/>
    <xf numFmtId="43" fontId="28" fillId="115" borderId="3" xfId="1" applyFont="1" applyFill="1" applyBorder="1" applyAlignment="1">
      <alignment horizontal="center" vertical="center"/>
    </xf>
    <xf numFmtId="43" fontId="28" fillId="115" borderId="3" xfId="1" applyNumberFormat="1" applyFont="1" applyFill="1" applyBorder="1" applyAlignment="1">
      <alignment horizontal="center" vertical="center"/>
    </xf>
    <xf numFmtId="43" fontId="26" fillId="114" borderId="0" xfId="1" applyFont="1" applyFill="1" applyBorder="1"/>
    <xf numFmtId="43" fontId="26" fillId="116" borderId="0" xfId="1" applyFont="1" applyFill="1" applyBorder="1"/>
    <xf numFmtId="43" fontId="5" fillId="111" borderId="1" xfId="1" applyFont="1" applyFill="1" applyBorder="1" applyAlignment="1">
      <alignment horizontal="center" vertical="center"/>
    </xf>
    <xf numFmtId="9" fontId="0" fillId="8" borderId="0" xfId="2" applyFont="1" applyFill="1"/>
    <xf numFmtId="43" fontId="28" fillId="17" borderId="3" xfId="1" applyNumberFormat="1" applyFont="1" applyFill="1" applyBorder="1" applyAlignment="1">
      <alignment horizontal="center" vertical="center"/>
    </xf>
    <xf numFmtId="171" fontId="7" fillId="12" borderId="0" xfId="0" applyNumberFormat="1" applyFont="1" applyFill="1" applyBorder="1"/>
    <xf numFmtId="43" fontId="0" fillId="8" borderId="0" xfId="0" applyNumberFormat="1" applyFill="1"/>
    <xf numFmtId="43" fontId="3" fillId="8" borderId="0" xfId="1" applyNumberFormat="1" applyFont="1" applyFill="1" applyBorder="1"/>
    <xf numFmtId="9" fontId="12" fillId="8" borderId="0" xfId="2" applyFont="1" applyFill="1"/>
    <xf numFmtId="172" fontId="6" fillId="8" borderId="0" xfId="0" applyNumberFormat="1" applyFont="1" applyFill="1" applyBorder="1"/>
    <xf numFmtId="9" fontId="0" fillId="0" borderId="0" xfId="2" applyFont="1" applyBorder="1"/>
    <xf numFmtId="43" fontId="26" fillId="0" borderId="0" xfId="1" applyNumberFormat="1" applyFont="1"/>
    <xf numFmtId="43" fontId="4" fillId="117" borderId="18" xfId="1" applyFont="1" applyFill="1" applyBorder="1"/>
    <xf numFmtId="197" fontId="6" fillId="8" borderId="0" xfId="0" applyNumberFormat="1" applyFont="1" applyFill="1" applyBorder="1"/>
    <xf numFmtId="43" fontId="0" fillId="0" borderId="0" xfId="0" applyNumberFormat="1" applyAlignment="1">
      <alignment horizontal="center" vertical="center"/>
    </xf>
    <xf numFmtId="43" fontId="0" fillId="0" borderId="0" xfId="0" applyNumberFormat="1"/>
    <xf numFmtId="168" fontId="6" fillId="22" borderId="8" xfId="0" applyNumberFormat="1" applyFont="1" applyFill="1" applyBorder="1" applyAlignment="1">
      <alignment horizontal="center" vertical="center"/>
    </xf>
    <xf numFmtId="43" fontId="9" fillId="5" borderId="0" xfId="1" applyNumberFormat="1" applyFont="1" applyFill="1" applyBorder="1"/>
    <xf numFmtId="172" fontId="159" fillId="8" borderId="6" xfId="1" applyNumberFormat="1" applyFont="1" applyFill="1" applyBorder="1"/>
    <xf numFmtId="9" fontId="159" fillId="8" borderId="8" xfId="2" applyFont="1" applyFill="1" applyBorder="1"/>
    <xf numFmtId="172" fontId="159" fillId="8" borderId="9" xfId="1" applyNumberFormat="1" applyFont="1" applyFill="1" applyBorder="1"/>
    <xf numFmtId="0" fontId="159" fillId="8" borderId="10" xfId="0" applyFont="1" applyFill="1" applyBorder="1"/>
    <xf numFmtId="9" fontId="159" fillId="8" borderId="10" xfId="2" applyFont="1" applyFill="1" applyBorder="1"/>
    <xf numFmtId="172" fontId="159" fillId="8" borderId="11" xfId="1" applyNumberFormat="1" applyFont="1" applyFill="1" applyBorder="1"/>
    <xf numFmtId="0" fontId="159" fillId="8" borderId="13" xfId="0" applyFont="1" applyFill="1" applyBorder="1"/>
    <xf numFmtId="43" fontId="8" fillId="5" borderId="7" xfId="1" applyNumberFormat="1" applyFont="1" applyFill="1" applyBorder="1"/>
    <xf numFmtId="43" fontId="8" fillId="5" borderId="8" xfId="1" applyNumberFormat="1" applyFont="1" applyFill="1" applyBorder="1"/>
    <xf numFmtId="43" fontId="191" fillId="24" borderId="0" xfId="1" applyNumberFormat="1" applyFont="1" applyFill="1" applyBorder="1"/>
    <xf numFmtId="43" fontId="191" fillId="8" borderId="0" xfId="1" applyNumberFormat="1" applyFont="1" applyFill="1" applyBorder="1"/>
    <xf numFmtId="43" fontId="8" fillId="5" borderId="0" xfId="1" applyNumberFormat="1" applyFont="1" applyFill="1" applyBorder="1"/>
    <xf numFmtId="43" fontId="8" fillId="5" borderId="10" xfId="1" applyNumberFormat="1" applyFont="1" applyFill="1" applyBorder="1"/>
    <xf numFmtId="173" fontId="161" fillId="0" borderId="0" xfId="1" applyNumberFormat="1" applyFont="1" applyBorder="1" applyAlignment="1">
      <alignment vertical="center"/>
    </xf>
    <xf numFmtId="43" fontId="161" fillId="0" borderId="0" xfId="1" applyNumberFormat="1" applyFont="1" applyBorder="1" applyAlignment="1">
      <alignment vertical="center"/>
    </xf>
    <xf numFmtId="43" fontId="26" fillId="23" borderId="0" xfId="1" applyNumberFormat="1" applyFont="1" applyFill="1" applyBorder="1"/>
    <xf numFmtId="172" fontId="0" fillId="8" borderId="0" xfId="1" applyNumberFormat="1" applyFont="1" applyFill="1"/>
    <xf numFmtId="9" fontId="0" fillId="8" borderId="0" xfId="0" applyNumberFormat="1" applyFill="1"/>
    <xf numFmtId="43" fontId="12" fillId="0" borderId="0" xfId="0" applyNumberFormat="1" applyFont="1"/>
    <xf numFmtId="43" fontId="0" fillId="0" borderId="0" xfId="0" applyNumberFormat="1" applyFill="1"/>
    <xf numFmtId="9" fontId="12" fillId="0" borderId="0" xfId="2" applyFont="1"/>
    <xf numFmtId="0" fontId="19" fillId="27" borderId="0" xfId="0" applyFont="1" applyFill="1" applyBorder="1" applyAlignment="1">
      <alignment wrapText="1"/>
    </xf>
    <xf numFmtId="172" fontId="19" fillId="5" borderId="0" xfId="1" applyNumberFormat="1" applyFont="1" applyFill="1" applyBorder="1"/>
    <xf numFmtId="43" fontId="9" fillId="5" borderId="6" xfId="1" applyNumberFormat="1" applyFont="1" applyFill="1" applyBorder="1"/>
    <xf numFmtId="43" fontId="9" fillId="5" borderId="7" xfId="1" applyNumberFormat="1" applyFont="1" applyFill="1" applyBorder="1"/>
    <xf numFmtId="0" fontId="7" fillId="8" borderId="0" xfId="0" applyFont="1" applyFill="1" applyBorder="1" applyAlignment="1">
      <alignment horizontal="right"/>
    </xf>
    <xf numFmtId="168" fontId="192" fillId="23" borderId="15" xfId="0" applyNumberFormat="1" applyFont="1" applyFill="1" applyBorder="1" applyAlignment="1">
      <alignment horizontal="center" vertical="center"/>
    </xf>
    <xf numFmtId="172" fontId="164" fillId="0" borderId="0" xfId="1" applyNumberFormat="1" applyFont="1" applyFill="1" applyBorder="1" applyAlignment="1">
      <alignment vertical="center"/>
    </xf>
    <xf numFmtId="172" fontId="5" fillId="8" borderId="14" xfId="1" applyNumberFormat="1" applyFont="1" applyFill="1" applyBorder="1"/>
    <xf numFmtId="0" fontId="193" fillId="8" borderId="0" xfId="0" applyFont="1" applyFill="1" applyBorder="1" applyAlignment="1">
      <alignment horizontal="center"/>
    </xf>
    <xf numFmtId="0" fontId="193" fillId="8" borderId="0" xfId="0" applyFont="1" applyFill="1" applyBorder="1" applyAlignment="1">
      <alignment horizontal="center" vertical="center"/>
    </xf>
    <xf numFmtId="43" fontId="193" fillId="8" borderId="0" xfId="1" applyFont="1" applyFill="1" applyBorder="1"/>
    <xf numFmtId="43" fontId="193" fillId="8" borderId="0" xfId="1" applyNumberFormat="1" applyFont="1" applyFill="1" applyBorder="1"/>
    <xf numFmtId="173" fontId="7" fillId="8" borderId="0" xfId="1" applyNumberFormat="1" applyFont="1" applyFill="1" applyBorder="1"/>
    <xf numFmtId="43" fontId="10" fillId="8" borderId="12" xfId="1" applyFont="1" applyFill="1" applyBorder="1"/>
    <xf numFmtId="43" fontId="7" fillId="5" borderId="0" xfId="1" applyNumberFormat="1" applyFont="1" applyFill="1" applyBorder="1"/>
    <xf numFmtId="168" fontId="18" fillId="7" borderId="1" xfId="0" applyNumberFormat="1" applyFont="1" applyFill="1" applyBorder="1" applyAlignment="1">
      <alignment horizontal="center" vertical="center"/>
    </xf>
    <xf numFmtId="43" fontId="24" fillId="5" borderId="10" xfId="1" applyFont="1" applyFill="1" applyBorder="1"/>
    <xf numFmtId="43" fontId="10" fillId="8" borderId="10" xfId="1" applyNumberFormat="1" applyFont="1" applyFill="1" applyBorder="1"/>
    <xf numFmtId="0" fontId="5" fillId="8" borderId="0" xfId="0" applyFont="1" applyFill="1" applyBorder="1"/>
    <xf numFmtId="0" fontId="7" fillId="114" borderId="0" xfId="0" applyFont="1" applyFill="1" applyBorder="1" applyAlignment="1">
      <alignment horizontal="center"/>
    </xf>
    <xf numFmtId="1" fontId="7" fillId="5" borderId="0" xfId="0" applyNumberFormat="1" applyFont="1" applyFill="1" applyBorder="1"/>
    <xf numFmtId="1" fontId="7" fillId="27" borderId="0" xfId="0" applyNumberFormat="1" applyFont="1" applyFill="1" applyBorder="1"/>
    <xf numFmtId="16" fontId="7" fillId="8" borderId="0" xfId="0" quotePrefix="1" applyNumberFormat="1" applyFont="1" applyFill="1" applyBorder="1" applyAlignment="1">
      <alignment horizontal="right"/>
    </xf>
    <xf numFmtId="171" fontId="4" fillId="8" borderId="0" xfId="1" applyNumberFormat="1" applyFont="1" applyFill="1" applyBorder="1"/>
    <xf numFmtId="43" fontId="10" fillId="12" borderId="0" xfId="1" applyNumberFormat="1" applyFont="1" applyFill="1" applyBorder="1"/>
    <xf numFmtId="43" fontId="8" fillId="12" borderId="0" xfId="1" applyNumberFormat="1" applyFont="1" applyFill="1" applyBorder="1"/>
    <xf numFmtId="43" fontId="10" fillId="12" borderId="12" xfId="1" applyFont="1" applyFill="1" applyBorder="1"/>
    <xf numFmtId="43" fontId="10" fillId="12" borderId="13" xfId="1" applyFont="1" applyFill="1" applyBorder="1"/>
    <xf numFmtId="43" fontId="27" fillId="8" borderId="0" xfId="0" applyNumberFormat="1" applyFont="1" applyFill="1"/>
    <xf numFmtId="43" fontId="10" fillId="119" borderId="0" xfId="1" applyNumberFormat="1" applyFont="1" applyFill="1" applyBorder="1"/>
    <xf numFmtId="43" fontId="8" fillId="119" borderId="0" xfId="1" applyNumberFormat="1" applyFont="1" applyFill="1" applyBorder="1"/>
    <xf numFmtId="43" fontId="10" fillId="119" borderId="10" xfId="1" applyNumberFormat="1" applyFont="1" applyFill="1" applyBorder="1"/>
    <xf numFmtId="168" fontId="18" fillId="119" borderId="15" xfId="0" applyNumberFormat="1" applyFont="1" applyFill="1" applyBorder="1" applyAlignment="1">
      <alignment horizontal="center" vertical="center"/>
    </xf>
    <xf numFmtId="171" fontId="27" fillId="8" borderId="0" xfId="0" applyNumberFormat="1" applyFont="1" applyFill="1"/>
    <xf numFmtId="0" fontId="6" fillId="0" borderId="11" xfId="0" applyFont="1" applyBorder="1" applyAlignment="1">
      <alignment horizontal="center" vertical="center"/>
    </xf>
    <xf numFmtId="0" fontId="6" fillId="0" borderId="13" xfId="0" applyFont="1" applyBorder="1" applyAlignment="1">
      <alignment horizontal="center" vertical="center"/>
    </xf>
    <xf numFmtId="172" fontId="6" fillId="0" borderId="9" xfId="1" applyNumberFormat="1" applyFont="1" applyBorder="1" applyAlignment="1">
      <alignment horizontal="center" vertical="center"/>
    </xf>
    <xf numFmtId="172" fontId="6" fillId="0" borderId="10" xfId="1" applyNumberFormat="1" applyFont="1" applyBorder="1" applyAlignment="1">
      <alignment horizontal="center" vertical="center"/>
    </xf>
    <xf numFmtId="172" fontId="27" fillId="0" borderId="9" xfId="1" applyNumberFormat="1" applyFont="1" applyBorder="1" applyAlignment="1">
      <alignment horizontal="center" vertical="center"/>
    </xf>
    <xf numFmtId="172" fontId="27" fillId="0" borderId="10" xfId="1" applyNumberFormat="1" applyFont="1" applyBorder="1" applyAlignment="1">
      <alignment horizontal="center" vertical="center"/>
    </xf>
    <xf numFmtId="172" fontId="6" fillId="0" borderId="11" xfId="1" applyNumberFormat="1" applyFont="1" applyBorder="1" applyAlignment="1">
      <alignment horizontal="center" vertical="center"/>
    </xf>
    <xf numFmtId="172" fontId="6" fillId="0" borderId="13" xfId="1" applyNumberFormat="1" applyFont="1" applyBorder="1" applyAlignment="1">
      <alignment horizontal="center" vertical="center"/>
    </xf>
    <xf numFmtId="172" fontId="27" fillId="0" borderId="11" xfId="1" applyNumberFormat="1" applyFont="1" applyBorder="1" applyAlignment="1">
      <alignment horizontal="center" vertical="center"/>
    </xf>
    <xf numFmtId="172" fontId="27" fillId="0" borderId="13" xfId="1" applyNumberFormat="1" applyFont="1" applyBorder="1" applyAlignment="1">
      <alignment horizontal="center" vertical="center"/>
    </xf>
    <xf numFmtId="43" fontId="0" fillId="8" borderId="19" xfId="1" applyFont="1" applyFill="1" applyBorder="1"/>
    <xf numFmtId="43" fontId="0" fillId="8" borderId="20" xfId="1" applyFont="1" applyFill="1" applyBorder="1"/>
    <xf numFmtId="43" fontId="0" fillId="8" borderId="10" xfId="1" applyFont="1" applyFill="1" applyBorder="1"/>
    <xf numFmtId="43" fontId="0" fillId="8" borderId="27" xfId="1" applyFont="1" applyFill="1" applyBorder="1"/>
    <xf numFmtId="43" fontId="4" fillId="8" borderId="19" xfId="1" applyFont="1" applyFill="1" applyBorder="1"/>
    <xf numFmtId="43" fontId="0" fillId="8" borderId="8" xfId="1" applyFont="1" applyFill="1" applyBorder="1"/>
    <xf numFmtId="43" fontId="26" fillId="8" borderId="10" xfId="1" applyFont="1" applyFill="1" applyBorder="1"/>
    <xf numFmtId="43" fontId="26" fillId="8" borderId="13" xfId="1" applyFont="1" applyFill="1" applyBorder="1"/>
    <xf numFmtId="43" fontId="24" fillId="8" borderId="10" xfId="1" applyFont="1" applyFill="1" applyBorder="1"/>
    <xf numFmtId="43" fontId="26" fillId="8" borderId="20" xfId="1" applyFont="1" applyFill="1" applyBorder="1"/>
    <xf numFmtId="43" fontId="24" fillId="8" borderId="27" xfId="1" applyFont="1" applyFill="1" applyBorder="1"/>
    <xf numFmtId="43" fontId="24" fillId="8" borderId="13" xfId="1" applyFont="1" applyFill="1" applyBorder="1"/>
    <xf numFmtId="43" fontId="10" fillId="5" borderId="0" xfId="1" applyNumberFormat="1" applyFont="1" applyFill="1" applyBorder="1"/>
    <xf numFmtId="172" fontId="6" fillId="0" borderId="0" xfId="0" applyNumberFormat="1" applyFont="1" applyAlignment="1">
      <alignment horizontal="center" vertical="center"/>
    </xf>
    <xf numFmtId="43" fontId="6" fillId="0" borderId="0" xfId="0" applyNumberFormat="1" applyFont="1" applyAlignment="1">
      <alignment horizontal="center" vertical="center"/>
    </xf>
    <xf numFmtId="0" fontId="9" fillId="12" borderId="0" xfId="0" applyFont="1" applyFill="1" applyBorder="1"/>
    <xf numFmtId="197" fontId="9" fillId="8" borderId="9" xfId="1" applyNumberFormat="1" applyFont="1" applyFill="1" applyBorder="1"/>
    <xf numFmtId="43" fontId="9" fillId="8" borderId="9" xfId="1" applyNumberFormat="1" applyFont="1" applyFill="1" applyBorder="1"/>
    <xf numFmtId="43" fontId="19" fillId="8" borderId="0" xfId="1" applyFont="1" applyFill="1" applyBorder="1" applyAlignment="1">
      <alignment horizontal="left" indent="1"/>
    </xf>
    <xf numFmtId="43" fontId="10" fillId="5" borderId="9" xfId="1" applyNumberFormat="1" applyFont="1" applyFill="1" applyBorder="1"/>
    <xf numFmtId="43" fontId="10" fillId="12" borderId="7" xfId="1" applyNumberFormat="1" applyFont="1" applyFill="1" applyBorder="1"/>
    <xf numFmtId="43" fontId="13" fillId="120" borderId="9" xfId="1" applyNumberFormat="1" applyFont="1" applyFill="1" applyBorder="1"/>
    <xf numFmtId="43" fontId="13" fillId="120" borderId="9" xfId="1" applyFont="1" applyFill="1" applyBorder="1"/>
    <xf numFmtId="9" fontId="19" fillId="110" borderId="0" xfId="2" applyNumberFormat="1" applyFont="1" applyFill="1" applyBorder="1"/>
    <xf numFmtId="0" fontId="164" fillId="8" borderId="0" xfId="0" applyFont="1" applyFill="1"/>
    <xf numFmtId="43" fontId="9" fillId="26" borderId="0" xfId="0" applyNumberFormat="1" applyFont="1" applyFill="1" applyBorder="1"/>
    <xf numFmtId="43" fontId="13" fillId="120" borderId="11" xfId="1" applyFont="1" applyFill="1" applyBorder="1"/>
    <xf numFmtId="172" fontId="5" fillId="120" borderId="0" xfId="1" applyNumberFormat="1" applyFont="1" applyFill="1" applyBorder="1"/>
    <xf numFmtId="172" fontId="5" fillId="8" borderId="15" xfId="1" applyNumberFormat="1" applyFont="1" applyFill="1" applyBorder="1"/>
    <xf numFmtId="0" fontId="6" fillId="26" borderId="0" xfId="0" applyFont="1" applyFill="1" applyBorder="1" applyAlignment="1">
      <alignment horizontal="right"/>
    </xf>
    <xf numFmtId="0" fontId="6" fillId="26" borderId="0" xfId="0" applyFont="1" applyFill="1" applyBorder="1" applyAlignment="1">
      <alignment horizontal="center"/>
    </xf>
    <xf numFmtId="43" fontId="0" fillId="0" borderId="0" xfId="0" applyNumberFormat="1"/>
    <xf numFmtId="172" fontId="26" fillId="18" borderId="0" xfId="1" applyNumberFormat="1" applyFont="1" applyFill="1"/>
    <xf numFmtId="0" fontId="7" fillId="109" borderId="0" xfId="0" applyFont="1" applyFill="1" applyBorder="1" applyAlignment="1">
      <alignment horizontal="center"/>
    </xf>
    <xf numFmtId="0" fontId="6" fillId="109" borderId="0" xfId="0" applyFont="1" applyFill="1" applyBorder="1" applyAlignment="1">
      <alignment horizontal="center"/>
    </xf>
    <xf numFmtId="43" fontId="7" fillId="109" borderId="0" xfId="0" applyNumberFormat="1" applyFont="1" applyFill="1" applyBorder="1"/>
    <xf numFmtId="43" fontId="26" fillId="111" borderId="0" xfId="1" applyFont="1" applyFill="1" applyBorder="1"/>
    <xf numFmtId="172" fontId="5" fillId="0" borderId="0" xfId="1" applyNumberFormat="1" applyFont="1" applyFill="1" applyBorder="1"/>
    <xf numFmtId="0" fontId="0" fillId="8" borderId="0" xfId="0" applyFill="1" applyBorder="1" applyAlignment="1">
      <alignment horizontal="center"/>
    </xf>
    <xf numFmtId="43" fontId="4" fillId="8" borderId="0" xfId="1" applyNumberFormat="1" applyFont="1" applyFill="1" applyBorder="1"/>
    <xf numFmtId="43" fontId="4" fillId="120" borderId="0" xfId="1" applyNumberFormat="1" applyFont="1" applyFill="1" applyBorder="1"/>
    <xf numFmtId="43" fontId="4" fillId="113" borderId="0" xfId="1" applyNumberFormat="1" applyFont="1" applyFill="1" applyBorder="1"/>
    <xf numFmtId="43" fontId="194" fillId="17" borderId="3" xfId="1" applyFont="1" applyFill="1" applyBorder="1" applyAlignment="1">
      <alignment horizontal="center" vertical="center"/>
    </xf>
    <xf numFmtId="0" fontId="190" fillId="118" borderId="0" xfId="0" applyFont="1" applyFill="1" applyAlignment="1">
      <alignment horizontal="center"/>
    </xf>
    <xf numFmtId="0" fontId="9" fillId="12" borderId="0" xfId="0" applyFont="1" applyFill="1" applyBorder="1" applyAlignment="1">
      <alignment horizontal="center" wrapText="1"/>
    </xf>
    <xf numFmtId="0" fontId="9" fillId="8" borderId="0" xfId="0" applyFont="1" applyFill="1" applyBorder="1" applyAlignment="1">
      <alignment horizontal="center"/>
    </xf>
    <xf numFmtId="170" fontId="0" fillId="8" borderId="0" xfId="0" applyNumberFormat="1" applyFill="1" applyBorder="1" applyAlignment="1">
      <alignment horizontal="center"/>
    </xf>
    <xf numFmtId="0" fontId="0" fillId="8" borderId="0" xfId="0" applyFill="1" applyBorder="1" applyAlignment="1">
      <alignment horizontal="center"/>
    </xf>
    <xf numFmtId="170" fontId="0" fillId="8" borderId="12" xfId="0" applyNumberFormat="1" applyFill="1" applyBorder="1" applyAlignment="1">
      <alignment horizontal="center"/>
    </xf>
    <xf numFmtId="0" fontId="0" fillId="8" borderId="12" xfId="0" applyFill="1" applyBorder="1" applyAlignment="1">
      <alignment horizontal="center"/>
    </xf>
    <xf numFmtId="0" fontId="0" fillId="8" borderId="10" xfId="0" applyFill="1" applyBorder="1" applyAlignment="1">
      <alignment horizontal="center"/>
    </xf>
    <xf numFmtId="170" fontId="0" fillId="8" borderId="10" xfId="0" applyNumberFormat="1" applyFill="1" applyBorder="1" applyAlignment="1">
      <alignment horizontal="center"/>
    </xf>
    <xf numFmtId="0" fontId="18" fillId="7" borderId="6" xfId="0" applyFont="1" applyFill="1" applyBorder="1" applyAlignment="1">
      <alignment horizontal="center"/>
    </xf>
    <xf numFmtId="0" fontId="18" fillId="7" borderId="7" xfId="0" applyFont="1" applyFill="1" applyBorder="1" applyAlignment="1">
      <alignment horizontal="center"/>
    </xf>
    <xf numFmtId="0" fontId="0" fillId="8" borderId="7" xfId="0" applyFill="1" applyBorder="1" applyAlignment="1">
      <alignment horizontal="center"/>
    </xf>
    <xf numFmtId="0" fontId="0" fillId="8" borderId="8" xfId="0" applyFill="1" applyBorder="1" applyAlignment="1">
      <alignment horizontal="center"/>
    </xf>
    <xf numFmtId="0" fontId="18" fillId="7" borderId="14" xfId="0" applyFont="1" applyFill="1" applyBorder="1" applyAlignment="1">
      <alignment horizontal="center"/>
    </xf>
    <xf numFmtId="0" fontId="18" fillId="7" borderId="15" xfId="0" applyFont="1" applyFill="1" applyBorder="1" applyAlignment="1">
      <alignment horizontal="center"/>
    </xf>
    <xf numFmtId="0" fontId="18" fillId="7" borderId="8" xfId="0" applyFont="1" applyFill="1" applyBorder="1" applyAlignment="1">
      <alignment horizontal="center"/>
    </xf>
    <xf numFmtId="0" fontId="18" fillId="24" borderId="14" xfId="0" applyFont="1" applyFill="1" applyBorder="1" applyAlignment="1">
      <alignment horizontal="center"/>
    </xf>
    <xf numFmtId="0" fontId="18" fillId="24" borderId="15" xfId="0" applyFont="1" applyFill="1" applyBorder="1" applyAlignment="1">
      <alignment horizontal="center"/>
    </xf>
    <xf numFmtId="172" fontId="25" fillId="116" borderId="0" xfId="1" applyNumberFormat="1" applyFont="1" applyFill="1" applyAlignment="1">
      <alignment horizontal="center" wrapText="1"/>
    </xf>
    <xf numFmtId="0" fontId="0" fillId="8" borderId="13" xfId="0" applyFill="1" applyBorder="1" applyAlignment="1">
      <alignment horizontal="center"/>
    </xf>
    <xf numFmtId="0" fontId="6" fillId="8" borderId="11" xfId="0" applyFont="1" applyFill="1" applyBorder="1" applyAlignment="1">
      <alignment horizontal="center"/>
    </xf>
    <xf numFmtId="0" fontId="6" fillId="8" borderId="12" xfId="0" applyFont="1" applyFill="1" applyBorder="1" applyAlignment="1">
      <alignment horizontal="center"/>
    </xf>
    <xf numFmtId="0" fontId="164" fillId="8" borderId="0" xfId="0" applyFont="1" applyFill="1" applyBorder="1" applyAlignment="1">
      <alignment horizontal="center"/>
    </xf>
    <xf numFmtId="0" fontId="164" fillId="8" borderId="10" xfId="0" applyFont="1" applyFill="1" applyBorder="1" applyAlignment="1">
      <alignment horizontal="center"/>
    </xf>
    <xf numFmtId="170" fontId="0" fillId="8" borderId="13" xfId="0" applyNumberFormat="1" applyFill="1" applyBorder="1" applyAlignment="1">
      <alignment horizontal="center"/>
    </xf>
    <xf numFmtId="0" fontId="6" fillId="8" borderId="13" xfId="0" applyFont="1" applyFill="1" applyBorder="1" applyAlignment="1">
      <alignment horizontal="center"/>
    </xf>
    <xf numFmtId="0" fontId="6" fillId="12" borderId="14" xfId="0" applyFont="1" applyFill="1" applyBorder="1" applyAlignment="1">
      <alignment horizontal="center" vertical="center"/>
    </xf>
    <xf numFmtId="0" fontId="6" fillId="12" borderId="1" xfId="0" applyFont="1" applyFill="1" applyBorder="1" applyAlignment="1">
      <alignment horizontal="center" vertical="center"/>
    </xf>
    <xf numFmtId="0" fontId="6" fillId="13" borderId="2" xfId="0" applyFont="1" applyFill="1" applyBorder="1" applyAlignment="1">
      <alignment horizontal="center" vertical="center"/>
    </xf>
    <xf numFmtId="0" fontId="6" fillId="13" borderId="3" xfId="0" applyFont="1" applyFill="1" applyBorder="1" applyAlignment="1">
      <alignment horizontal="center" vertical="center"/>
    </xf>
    <xf numFmtId="0" fontId="6" fillId="21" borderId="2" xfId="0" applyFont="1" applyFill="1" applyBorder="1" applyAlignment="1">
      <alignment horizontal="center" vertical="center"/>
    </xf>
    <xf numFmtId="0" fontId="6" fillId="21" borderId="4" xfId="0" applyFont="1" applyFill="1" applyBorder="1" applyAlignment="1">
      <alignment horizontal="center" vertical="center"/>
    </xf>
  </cellXfs>
  <cellStyles count="4113">
    <cellStyle name="20% - Accent1 10" xfId="2932" xr:uid="{00000000-0005-0000-0000-000000000000}"/>
    <cellStyle name="20% - Accent1 11" xfId="2931" xr:uid="{00000000-0005-0000-0000-000001000000}"/>
    <cellStyle name="20% - Accent1 12" xfId="2930" xr:uid="{00000000-0005-0000-0000-000002000000}"/>
    <cellStyle name="20% - Accent1 13" xfId="2929" xr:uid="{00000000-0005-0000-0000-000003000000}"/>
    <cellStyle name="20% - Accent1 14" xfId="2928" xr:uid="{00000000-0005-0000-0000-000004000000}"/>
    <cellStyle name="20% - Accent1 15" xfId="2927" xr:uid="{00000000-0005-0000-0000-000005000000}"/>
    <cellStyle name="20% - Accent1 16" xfId="8" xr:uid="{00000000-0005-0000-0000-000006000000}"/>
    <cellStyle name="20% - Accent1 2" xfId="9" xr:uid="{00000000-0005-0000-0000-000007000000}"/>
    <cellStyle name="20% - Accent1 2 10" xfId="2925" xr:uid="{00000000-0005-0000-0000-000008000000}"/>
    <cellStyle name="20% - Accent1 2 11" xfId="2924" xr:uid="{00000000-0005-0000-0000-000009000000}"/>
    <cellStyle name="20% - Accent1 2 12" xfId="2926" xr:uid="{00000000-0005-0000-0000-00000A000000}"/>
    <cellStyle name="20% - Accent1 2 2" xfId="441" xr:uid="{00000000-0005-0000-0000-00000B000000}"/>
    <cellStyle name="20% - Accent1 2 2 2" xfId="2923" xr:uid="{00000000-0005-0000-0000-00000C000000}"/>
    <cellStyle name="20% - Accent1 2 3" xfId="2922" xr:uid="{00000000-0005-0000-0000-00000D000000}"/>
    <cellStyle name="20% - Accent1 2 4" xfId="2921" xr:uid="{00000000-0005-0000-0000-00000E000000}"/>
    <cellStyle name="20% - Accent1 2 5" xfId="2920" xr:uid="{00000000-0005-0000-0000-00000F000000}"/>
    <cellStyle name="20% - Accent1 2 6" xfId="2919" xr:uid="{00000000-0005-0000-0000-000010000000}"/>
    <cellStyle name="20% - Accent1 2 7" xfId="2918" xr:uid="{00000000-0005-0000-0000-000011000000}"/>
    <cellStyle name="20% - Accent1 2 8" xfId="2917" xr:uid="{00000000-0005-0000-0000-000012000000}"/>
    <cellStyle name="20% - Accent1 2 9" xfId="2916" xr:uid="{00000000-0005-0000-0000-000013000000}"/>
    <cellStyle name="20% - Accent1 3" xfId="10" xr:uid="{00000000-0005-0000-0000-000014000000}"/>
    <cellStyle name="20% - Accent1 3 10" xfId="2914" xr:uid="{00000000-0005-0000-0000-000015000000}"/>
    <cellStyle name="20% - Accent1 3 11" xfId="2913" xr:uid="{00000000-0005-0000-0000-000016000000}"/>
    <cellStyle name="20% - Accent1 3 12" xfId="2915" xr:uid="{00000000-0005-0000-0000-000017000000}"/>
    <cellStyle name="20% - Accent1 3 2" xfId="2912" xr:uid="{00000000-0005-0000-0000-000018000000}"/>
    <cellStyle name="20% - Accent1 3 3" xfId="2911" xr:uid="{00000000-0005-0000-0000-000019000000}"/>
    <cellStyle name="20% - Accent1 3 4" xfId="2910" xr:uid="{00000000-0005-0000-0000-00001A000000}"/>
    <cellStyle name="20% - Accent1 3 5" xfId="2909" xr:uid="{00000000-0005-0000-0000-00001B000000}"/>
    <cellStyle name="20% - Accent1 3 6" xfId="2908" xr:uid="{00000000-0005-0000-0000-00001C000000}"/>
    <cellStyle name="20% - Accent1 3 7" xfId="2907" xr:uid="{00000000-0005-0000-0000-00001D000000}"/>
    <cellStyle name="20% - Accent1 3 8" xfId="2906" xr:uid="{00000000-0005-0000-0000-00001E000000}"/>
    <cellStyle name="20% - Accent1 3 9" xfId="2905" xr:uid="{00000000-0005-0000-0000-00001F000000}"/>
    <cellStyle name="20% - Accent1 4" xfId="2904" xr:uid="{00000000-0005-0000-0000-000020000000}"/>
    <cellStyle name="20% - Accent1 4 10" xfId="2903" xr:uid="{00000000-0005-0000-0000-000021000000}"/>
    <cellStyle name="20% - Accent1 4 11" xfId="2902" xr:uid="{00000000-0005-0000-0000-000022000000}"/>
    <cellStyle name="20% - Accent1 4 2" xfId="2901" xr:uid="{00000000-0005-0000-0000-000023000000}"/>
    <cellStyle name="20% - Accent1 4 3" xfId="2900" xr:uid="{00000000-0005-0000-0000-000024000000}"/>
    <cellStyle name="20% - Accent1 4 4" xfId="2899" xr:uid="{00000000-0005-0000-0000-000025000000}"/>
    <cellStyle name="20% - Accent1 4 5" xfId="2898" xr:uid="{00000000-0005-0000-0000-000026000000}"/>
    <cellStyle name="20% - Accent1 4 6" xfId="2897" xr:uid="{00000000-0005-0000-0000-000027000000}"/>
    <cellStyle name="20% - Accent1 4 7" xfId="2896" xr:uid="{00000000-0005-0000-0000-000028000000}"/>
    <cellStyle name="20% - Accent1 4 8" xfId="2895" xr:uid="{00000000-0005-0000-0000-000029000000}"/>
    <cellStyle name="20% - Accent1 4 9" xfId="2894" xr:uid="{00000000-0005-0000-0000-00002A000000}"/>
    <cellStyle name="20% - Accent1 5" xfId="2893" xr:uid="{00000000-0005-0000-0000-00002B000000}"/>
    <cellStyle name="20% - Accent1 5 10" xfId="2892" xr:uid="{00000000-0005-0000-0000-00002C000000}"/>
    <cellStyle name="20% - Accent1 5 11" xfId="2891" xr:uid="{00000000-0005-0000-0000-00002D000000}"/>
    <cellStyle name="20% - Accent1 5 2" xfId="2890" xr:uid="{00000000-0005-0000-0000-00002E000000}"/>
    <cellStyle name="20% - Accent1 5 3" xfId="2889" xr:uid="{00000000-0005-0000-0000-00002F000000}"/>
    <cellStyle name="20% - Accent1 5 4" xfId="2888" xr:uid="{00000000-0005-0000-0000-000030000000}"/>
    <cellStyle name="20% - Accent1 5 5" xfId="2887" xr:uid="{00000000-0005-0000-0000-000031000000}"/>
    <cellStyle name="20% - Accent1 5 6" xfId="2886" xr:uid="{00000000-0005-0000-0000-000032000000}"/>
    <cellStyle name="20% - Accent1 5 7" xfId="2885" xr:uid="{00000000-0005-0000-0000-000033000000}"/>
    <cellStyle name="20% - Accent1 5 8" xfId="2884" xr:uid="{00000000-0005-0000-0000-000034000000}"/>
    <cellStyle name="20% - Accent1 5 9" xfId="2883" xr:uid="{00000000-0005-0000-0000-000035000000}"/>
    <cellStyle name="20% - Accent1 6" xfId="2882" xr:uid="{00000000-0005-0000-0000-000036000000}"/>
    <cellStyle name="20% - Accent1 7" xfId="2881" xr:uid="{00000000-0005-0000-0000-000037000000}"/>
    <cellStyle name="20% - Accent1 8" xfId="2880" xr:uid="{00000000-0005-0000-0000-000038000000}"/>
    <cellStyle name="20% - Accent1 9" xfId="2879" xr:uid="{00000000-0005-0000-0000-000039000000}"/>
    <cellStyle name="20% - Accent2 10" xfId="2878" xr:uid="{00000000-0005-0000-0000-00003A000000}"/>
    <cellStyle name="20% - Accent2 11" xfId="2877" xr:uid="{00000000-0005-0000-0000-00003B000000}"/>
    <cellStyle name="20% - Accent2 12" xfId="2876" xr:uid="{00000000-0005-0000-0000-00003C000000}"/>
    <cellStyle name="20% - Accent2 13" xfId="2875" xr:uid="{00000000-0005-0000-0000-00003D000000}"/>
    <cellStyle name="20% - Accent2 14" xfId="2874" xr:uid="{00000000-0005-0000-0000-00003E000000}"/>
    <cellStyle name="20% - Accent2 15" xfId="2873" xr:uid="{00000000-0005-0000-0000-00003F000000}"/>
    <cellStyle name="20% - Accent2 16" xfId="11" xr:uid="{00000000-0005-0000-0000-000040000000}"/>
    <cellStyle name="20% - Accent2 2" xfId="12" xr:uid="{00000000-0005-0000-0000-000041000000}"/>
    <cellStyle name="20% - Accent2 2 10" xfId="2871" xr:uid="{00000000-0005-0000-0000-000042000000}"/>
    <cellStyle name="20% - Accent2 2 11" xfId="2870" xr:uid="{00000000-0005-0000-0000-000043000000}"/>
    <cellStyle name="20% - Accent2 2 12" xfId="2872" xr:uid="{00000000-0005-0000-0000-000044000000}"/>
    <cellStyle name="20% - Accent2 2 2" xfId="443" xr:uid="{00000000-0005-0000-0000-000045000000}"/>
    <cellStyle name="20% - Accent2 2 2 2" xfId="2869" xr:uid="{00000000-0005-0000-0000-000046000000}"/>
    <cellStyle name="20% - Accent2 2 3" xfId="2868" xr:uid="{00000000-0005-0000-0000-000047000000}"/>
    <cellStyle name="20% - Accent2 2 4" xfId="2867" xr:uid="{00000000-0005-0000-0000-000048000000}"/>
    <cellStyle name="20% - Accent2 2 5" xfId="2866" xr:uid="{00000000-0005-0000-0000-000049000000}"/>
    <cellStyle name="20% - Accent2 2 6" xfId="2865" xr:uid="{00000000-0005-0000-0000-00004A000000}"/>
    <cellStyle name="20% - Accent2 2 7" xfId="2864" xr:uid="{00000000-0005-0000-0000-00004B000000}"/>
    <cellStyle name="20% - Accent2 2 8" xfId="2863" xr:uid="{00000000-0005-0000-0000-00004C000000}"/>
    <cellStyle name="20% - Accent2 2 9" xfId="2862" xr:uid="{00000000-0005-0000-0000-00004D000000}"/>
    <cellStyle name="20% - Accent2 3" xfId="13" xr:uid="{00000000-0005-0000-0000-00004E000000}"/>
    <cellStyle name="20% - Accent2 3 10" xfId="2860" xr:uid="{00000000-0005-0000-0000-00004F000000}"/>
    <cellStyle name="20% - Accent2 3 11" xfId="2859" xr:uid="{00000000-0005-0000-0000-000050000000}"/>
    <cellStyle name="20% - Accent2 3 12" xfId="2861" xr:uid="{00000000-0005-0000-0000-000051000000}"/>
    <cellStyle name="20% - Accent2 3 2" xfId="2858" xr:uid="{00000000-0005-0000-0000-000052000000}"/>
    <cellStyle name="20% - Accent2 3 3" xfId="2857" xr:uid="{00000000-0005-0000-0000-000053000000}"/>
    <cellStyle name="20% - Accent2 3 4" xfId="2856" xr:uid="{00000000-0005-0000-0000-000054000000}"/>
    <cellStyle name="20% - Accent2 3 5" xfId="2855" xr:uid="{00000000-0005-0000-0000-000055000000}"/>
    <cellStyle name="20% - Accent2 3 6" xfId="2854" xr:uid="{00000000-0005-0000-0000-000056000000}"/>
    <cellStyle name="20% - Accent2 3 7" xfId="2853" xr:uid="{00000000-0005-0000-0000-000057000000}"/>
    <cellStyle name="20% - Accent2 3 8" xfId="2852" xr:uid="{00000000-0005-0000-0000-000058000000}"/>
    <cellStyle name="20% - Accent2 3 9" xfId="2851" xr:uid="{00000000-0005-0000-0000-000059000000}"/>
    <cellStyle name="20% - Accent2 4" xfId="2850" xr:uid="{00000000-0005-0000-0000-00005A000000}"/>
    <cellStyle name="20% - Accent2 4 10" xfId="2849" xr:uid="{00000000-0005-0000-0000-00005B000000}"/>
    <cellStyle name="20% - Accent2 4 11" xfId="2848" xr:uid="{00000000-0005-0000-0000-00005C000000}"/>
    <cellStyle name="20% - Accent2 4 2" xfId="2847" xr:uid="{00000000-0005-0000-0000-00005D000000}"/>
    <cellStyle name="20% - Accent2 4 3" xfId="2846" xr:uid="{00000000-0005-0000-0000-00005E000000}"/>
    <cellStyle name="20% - Accent2 4 4" xfId="2845" xr:uid="{00000000-0005-0000-0000-00005F000000}"/>
    <cellStyle name="20% - Accent2 4 5" xfId="2844" xr:uid="{00000000-0005-0000-0000-000060000000}"/>
    <cellStyle name="20% - Accent2 4 6" xfId="2843" xr:uid="{00000000-0005-0000-0000-000061000000}"/>
    <cellStyle name="20% - Accent2 4 7" xfId="2842" xr:uid="{00000000-0005-0000-0000-000062000000}"/>
    <cellStyle name="20% - Accent2 4 8" xfId="2841" xr:uid="{00000000-0005-0000-0000-000063000000}"/>
    <cellStyle name="20% - Accent2 4 9" xfId="2840" xr:uid="{00000000-0005-0000-0000-000064000000}"/>
    <cellStyle name="20% - Accent2 5" xfId="2839" xr:uid="{00000000-0005-0000-0000-000065000000}"/>
    <cellStyle name="20% - Accent2 5 10" xfId="2838" xr:uid="{00000000-0005-0000-0000-000066000000}"/>
    <cellStyle name="20% - Accent2 5 11" xfId="2837" xr:uid="{00000000-0005-0000-0000-000067000000}"/>
    <cellStyle name="20% - Accent2 5 2" xfId="2836" xr:uid="{00000000-0005-0000-0000-000068000000}"/>
    <cellStyle name="20% - Accent2 5 3" xfId="2835" xr:uid="{00000000-0005-0000-0000-000069000000}"/>
    <cellStyle name="20% - Accent2 5 4" xfId="2834" xr:uid="{00000000-0005-0000-0000-00006A000000}"/>
    <cellStyle name="20% - Accent2 5 5" xfId="2833" xr:uid="{00000000-0005-0000-0000-00006B000000}"/>
    <cellStyle name="20% - Accent2 5 6" xfId="2832" xr:uid="{00000000-0005-0000-0000-00006C000000}"/>
    <cellStyle name="20% - Accent2 5 7" xfId="2831" xr:uid="{00000000-0005-0000-0000-00006D000000}"/>
    <cellStyle name="20% - Accent2 5 8" xfId="2830" xr:uid="{00000000-0005-0000-0000-00006E000000}"/>
    <cellStyle name="20% - Accent2 5 9" xfId="2829" xr:uid="{00000000-0005-0000-0000-00006F000000}"/>
    <cellStyle name="20% - Accent2 6" xfId="2828" xr:uid="{00000000-0005-0000-0000-000070000000}"/>
    <cellStyle name="20% - Accent2 7" xfId="2827" xr:uid="{00000000-0005-0000-0000-000071000000}"/>
    <cellStyle name="20% - Accent2 8" xfId="2826" xr:uid="{00000000-0005-0000-0000-000072000000}"/>
    <cellStyle name="20% - Accent2 9" xfId="2825" xr:uid="{00000000-0005-0000-0000-000073000000}"/>
    <cellStyle name="20% - Accent3 10" xfId="2824" xr:uid="{00000000-0005-0000-0000-000074000000}"/>
    <cellStyle name="20% - Accent3 11" xfId="2823" xr:uid="{00000000-0005-0000-0000-000075000000}"/>
    <cellStyle name="20% - Accent3 12" xfId="2822" xr:uid="{00000000-0005-0000-0000-000076000000}"/>
    <cellStyle name="20% - Accent3 13" xfId="2821" xr:uid="{00000000-0005-0000-0000-000077000000}"/>
    <cellStyle name="20% - Accent3 14" xfId="2820" xr:uid="{00000000-0005-0000-0000-000078000000}"/>
    <cellStyle name="20% - Accent3 15" xfId="2819" xr:uid="{00000000-0005-0000-0000-000079000000}"/>
    <cellStyle name="20% - Accent3 16" xfId="14" xr:uid="{00000000-0005-0000-0000-00007A000000}"/>
    <cellStyle name="20% - Accent3 2" xfId="15" xr:uid="{00000000-0005-0000-0000-00007B000000}"/>
    <cellStyle name="20% - Accent3 2 10" xfId="2816" xr:uid="{00000000-0005-0000-0000-00007C000000}"/>
    <cellStyle name="20% - Accent3 2 11" xfId="2815" xr:uid="{00000000-0005-0000-0000-00007D000000}"/>
    <cellStyle name="20% - Accent3 2 12" xfId="2817" xr:uid="{00000000-0005-0000-0000-00007E000000}"/>
    <cellStyle name="20% - Accent3 2 2" xfId="445" xr:uid="{00000000-0005-0000-0000-00007F000000}"/>
    <cellStyle name="20% - Accent3 2 2 2" xfId="2814" xr:uid="{00000000-0005-0000-0000-000080000000}"/>
    <cellStyle name="20% - Accent3 2 3" xfId="2813" xr:uid="{00000000-0005-0000-0000-000081000000}"/>
    <cellStyle name="20% - Accent3 2 4" xfId="2812" xr:uid="{00000000-0005-0000-0000-000082000000}"/>
    <cellStyle name="20% - Accent3 2 5" xfId="2811" xr:uid="{00000000-0005-0000-0000-000083000000}"/>
    <cellStyle name="20% - Accent3 2 6" xfId="2810" xr:uid="{00000000-0005-0000-0000-000084000000}"/>
    <cellStyle name="20% - Accent3 2 7" xfId="2809" xr:uid="{00000000-0005-0000-0000-000085000000}"/>
    <cellStyle name="20% - Accent3 2 8" xfId="2808" xr:uid="{00000000-0005-0000-0000-000086000000}"/>
    <cellStyle name="20% - Accent3 2 9" xfId="2807" xr:uid="{00000000-0005-0000-0000-000087000000}"/>
    <cellStyle name="20% - Accent3 3" xfId="16" xr:uid="{00000000-0005-0000-0000-000088000000}"/>
    <cellStyle name="20% - Accent3 3 10" xfId="2805" xr:uid="{00000000-0005-0000-0000-000089000000}"/>
    <cellStyle name="20% - Accent3 3 11" xfId="2804" xr:uid="{00000000-0005-0000-0000-00008A000000}"/>
    <cellStyle name="20% - Accent3 3 12" xfId="2806" xr:uid="{00000000-0005-0000-0000-00008B000000}"/>
    <cellStyle name="20% - Accent3 3 2" xfId="2803" xr:uid="{00000000-0005-0000-0000-00008C000000}"/>
    <cellStyle name="20% - Accent3 3 3" xfId="2802" xr:uid="{00000000-0005-0000-0000-00008D000000}"/>
    <cellStyle name="20% - Accent3 3 4" xfId="2801" xr:uid="{00000000-0005-0000-0000-00008E000000}"/>
    <cellStyle name="20% - Accent3 3 5" xfId="2800" xr:uid="{00000000-0005-0000-0000-00008F000000}"/>
    <cellStyle name="20% - Accent3 3 6" xfId="2799" xr:uid="{00000000-0005-0000-0000-000090000000}"/>
    <cellStyle name="20% - Accent3 3 7" xfId="2798" xr:uid="{00000000-0005-0000-0000-000091000000}"/>
    <cellStyle name="20% - Accent3 3 8" xfId="2797" xr:uid="{00000000-0005-0000-0000-000092000000}"/>
    <cellStyle name="20% - Accent3 3 9" xfId="2796" xr:uid="{00000000-0005-0000-0000-000093000000}"/>
    <cellStyle name="20% - Accent3 4" xfId="2795" xr:uid="{00000000-0005-0000-0000-000094000000}"/>
    <cellStyle name="20% - Accent3 4 10" xfId="2794" xr:uid="{00000000-0005-0000-0000-000095000000}"/>
    <cellStyle name="20% - Accent3 4 11" xfId="2793" xr:uid="{00000000-0005-0000-0000-000096000000}"/>
    <cellStyle name="20% - Accent3 4 2" xfId="2792" xr:uid="{00000000-0005-0000-0000-000097000000}"/>
    <cellStyle name="20% - Accent3 4 3" xfId="2791" xr:uid="{00000000-0005-0000-0000-000098000000}"/>
    <cellStyle name="20% - Accent3 4 4" xfId="2790" xr:uid="{00000000-0005-0000-0000-000099000000}"/>
    <cellStyle name="20% - Accent3 4 5" xfId="2789" xr:uid="{00000000-0005-0000-0000-00009A000000}"/>
    <cellStyle name="20% - Accent3 4 6" xfId="2788" xr:uid="{00000000-0005-0000-0000-00009B000000}"/>
    <cellStyle name="20% - Accent3 4 7" xfId="2787" xr:uid="{00000000-0005-0000-0000-00009C000000}"/>
    <cellStyle name="20% - Accent3 4 8" xfId="2786" xr:uid="{00000000-0005-0000-0000-00009D000000}"/>
    <cellStyle name="20% - Accent3 4 9" xfId="2785" xr:uid="{00000000-0005-0000-0000-00009E000000}"/>
    <cellStyle name="20% - Accent3 5" xfId="2784" xr:uid="{00000000-0005-0000-0000-00009F000000}"/>
    <cellStyle name="20% - Accent3 5 10" xfId="2783" xr:uid="{00000000-0005-0000-0000-0000A0000000}"/>
    <cellStyle name="20% - Accent3 5 11" xfId="2782" xr:uid="{00000000-0005-0000-0000-0000A1000000}"/>
    <cellStyle name="20% - Accent3 5 2" xfId="2781" xr:uid="{00000000-0005-0000-0000-0000A2000000}"/>
    <cellStyle name="20% - Accent3 5 3" xfId="2780" xr:uid="{00000000-0005-0000-0000-0000A3000000}"/>
    <cellStyle name="20% - Accent3 5 4" xfId="2779" xr:uid="{00000000-0005-0000-0000-0000A4000000}"/>
    <cellStyle name="20% - Accent3 5 5" xfId="2778" xr:uid="{00000000-0005-0000-0000-0000A5000000}"/>
    <cellStyle name="20% - Accent3 5 6" xfId="2777" xr:uid="{00000000-0005-0000-0000-0000A6000000}"/>
    <cellStyle name="20% - Accent3 5 7" xfId="2776" xr:uid="{00000000-0005-0000-0000-0000A7000000}"/>
    <cellStyle name="20% - Accent3 5 8" xfId="2775" xr:uid="{00000000-0005-0000-0000-0000A8000000}"/>
    <cellStyle name="20% - Accent3 5 9" xfId="2774" xr:uid="{00000000-0005-0000-0000-0000A9000000}"/>
    <cellStyle name="20% - Accent3 6" xfId="2773" xr:uid="{00000000-0005-0000-0000-0000AA000000}"/>
    <cellStyle name="20% - Accent3 7" xfId="2772" xr:uid="{00000000-0005-0000-0000-0000AB000000}"/>
    <cellStyle name="20% - Accent3 8" xfId="2771" xr:uid="{00000000-0005-0000-0000-0000AC000000}"/>
    <cellStyle name="20% - Accent3 9" xfId="2770" xr:uid="{00000000-0005-0000-0000-0000AD000000}"/>
    <cellStyle name="20% - Accent4 10" xfId="2769" xr:uid="{00000000-0005-0000-0000-0000AE000000}"/>
    <cellStyle name="20% - Accent4 11" xfId="2768" xr:uid="{00000000-0005-0000-0000-0000AF000000}"/>
    <cellStyle name="20% - Accent4 12" xfId="2767" xr:uid="{00000000-0005-0000-0000-0000B0000000}"/>
    <cellStyle name="20% - Accent4 13" xfId="2766" xr:uid="{00000000-0005-0000-0000-0000B1000000}"/>
    <cellStyle name="20% - Accent4 14" xfId="2765" xr:uid="{00000000-0005-0000-0000-0000B2000000}"/>
    <cellStyle name="20% - Accent4 15" xfId="2764" xr:uid="{00000000-0005-0000-0000-0000B3000000}"/>
    <cellStyle name="20% - Accent4 16" xfId="17" xr:uid="{00000000-0005-0000-0000-0000B4000000}"/>
    <cellStyle name="20% - Accent4 2" xfId="18" xr:uid="{00000000-0005-0000-0000-0000B5000000}"/>
    <cellStyle name="20% - Accent4 2 10" xfId="2762" xr:uid="{00000000-0005-0000-0000-0000B6000000}"/>
    <cellStyle name="20% - Accent4 2 11" xfId="2761" xr:uid="{00000000-0005-0000-0000-0000B7000000}"/>
    <cellStyle name="20% - Accent4 2 12" xfId="2763" xr:uid="{00000000-0005-0000-0000-0000B8000000}"/>
    <cellStyle name="20% - Accent4 2 2" xfId="447" xr:uid="{00000000-0005-0000-0000-0000B9000000}"/>
    <cellStyle name="20% - Accent4 2 2 2" xfId="2760" xr:uid="{00000000-0005-0000-0000-0000BA000000}"/>
    <cellStyle name="20% - Accent4 2 3" xfId="2759" xr:uid="{00000000-0005-0000-0000-0000BB000000}"/>
    <cellStyle name="20% - Accent4 2 4" xfId="2758" xr:uid="{00000000-0005-0000-0000-0000BC000000}"/>
    <cellStyle name="20% - Accent4 2 5" xfId="2757" xr:uid="{00000000-0005-0000-0000-0000BD000000}"/>
    <cellStyle name="20% - Accent4 2 6" xfId="2756" xr:uid="{00000000-0005-0000-0000-0000BE000000}"/>
    <cellStyle name="20% - Accent4 2 7" xfId="2755" xr:uid="{00000000-0005-0000-0000-0000BF000000}"/>
    <cellStyle name="20% - Accent4 2 8" xfId="2754" xr:uid="{00000000-0005-0000-0000-0000C0000000}"/>
    <cellStyle name="20% - Accent4 2 9" xfId="2753" xr:uid="{00000000-0005-0000-0000-0000C1000000}"/>
    <cellStyle name="20% - Accent4 3" xfId="19" xr:uid="{00000000-0005-0000-0000-0000C2000000}"/>
    <cellStyle name="20% - Accent4 3 10" xfId="2751" xr:uid="{00000000-0005-0000-0000-0000C3000000}"/>
    <cellStyle name="20% - Accent4 3 11" xfId="2750" xr:uid="{00000000-0005-0000-0000-0000C4000000}"/>
    <cellStyle name="20% - Accent4 3 12" xfId="2752" xr:uid="{00000000-0005-0000-0000-0000C5000000}"/>
    <cellStyle name="20% - Accent4 3 2" xfId="2749" xr:uid="{00000000-0005-0000-0000-0000C6000000}"/>
    <cellStyle name="20% - Accent4 3 3" xfId="2748" xr:uid="{00000000-0005-0000-0000-0000C7000000}"/>
    <cellStyle name="20% - Accent4 3 4" xfId="2747" xr:uid="{00000000-0005-0000-0000-0000C8000000}"/>
    <cellStyle name="20% - Accent4 3 5" xfId="2746" xr:uid="{00000000-0005-0000-0000-0000C9000000}"/>
    <cellStyle name="20% - Accent4 3 6" xfId="2745" xr:uid="{00000000-0005-0000-0000-0000CA000000}"/>
    <cellStyle name="20% - Accent4 3 7" xfId="2744" xr:uid="{00000000-0005-0000-0000-0000CB000000}"/>
    <cellStyle name="20% - Accent4 3 8" xfId="2743" xr:uid="{00000000-0005-0000-0000-0000CC000000}"/>
    <cellStyle name="20% - Accent4 3 9" xfId="2742" xr:uid="{00000000-0005-0000-0000-0000CD000000}"/>
    <cellStyle name="20% - Accent4 4" xfId="2741" xr:uid="{00000000-0005-0000-0000-0000CE000000}"/>
    <cellStyle name="20% - Accent4 4 10" xfId="2740" xr:uid="{00000000-0005-0000-0000-0000CF000000}"/>
    <cellStyle name="20% - Accent4 4 11" xfId="2739" xr:uid="{00000000-0005-0000-0000-0000D0000000}"/>
    <cellStyle name="20% - Accent4 4 2" xfId="2738" xr:uid="{00000000-0005-0000-0000-0000D1000000}"/>
    <cellStyle name="20% - Accent4 4 3" xfId="2737" xr:uid="{00000000-0005-0000-0000-0000D2000000}"/>
    <cellStyle name="20% - Accent4 4 4" xfId="2736" xr:uid="{00000000-0005-0000-0000-0000D3000000}"/>
    <cellStyle name="20% - Accent4 4 5" xfId="2735" xr:uid="{00000000-0005-0000-0000-0000D4000000}"/>
    <cellStyle name="20% - Accent4 4 6" xfId="2734" xr:uid="{00000000-0005-0000-0000-0000D5000000}"/>
    <cellStyle name="20% - Accent4 4 7" xfId="2733" xr:uid="{00000000-0005-0000-0000-0000D6000000}"/>
    <cellStyle name="20% - Accent4 4 8" xfId="2732" xr:uid="{00000000-0005-0000-0000-0000D7000000}"/>
    <cellStyle name="20% - Accent4 4 9" xfId="2731" xr:uid="{00000000-0005-0000-0000-0000D8000000}"/>
    <cellStyle name="20% - Accent4 5" xfId="2730" xr:uid="{00000000-0005-0000-0000-0000D9000000}"/>
    <cellStyle name="20% - Accent4 5 10" xfId="2729" xr:uid="{00000000-0005-0000-0000-0000DA000000}"/>
    <cellStyle name="20% - Accent4 5 11" xfId="2728" xr:uid="{00000000-0005-0000-0000-0000DB000000}"/>
    <cellStyle name="20% - Accent4 5 2" xfId="2727" xr:uid="{00000000-0005-0000-0000-0000DC000000}"/>
    <cellStyle name="20% - Accent4 5 3" xfId="2726" xr:uid="{00000000-0005-0000-0000-0000DD000000}"/>
    <cellStyle name="20% - Accent4 5 4" xfId="2725" xr:uid="{00000000-0005-0000-0000-0000DE000000}"/>
    <cellStyle name="20% - Accent4 5 5" xfId="2724" xr:uid="{00000000-0005-0000-0000-0000DF000000}"/>
    <cellStyle name="20% - Accent4 5 6" xfId="2723" xr:uid="{00000000-0005-0000-0000-0000E0000000}"/>
    <cellStyle name="20% - Accent4 5 7" xfId="2722" xr:uid="{00000000-0005-0000-0000-0000E1000000}"/>
    <cellStyle name="20% - Accent4 5 8" xfId="2721" xr:uid="{00000000-0005-0000-0000-0000E2000000}"/>
    <cellStyle name="20% - Accent4 5 9" xfId="2720" xr:uid="{00000000-0005-0000-0000-0000E3000000}"/>
    <cellStyle name="20% - Accent4 6" xfId="2719" xr:uid="{00000000-0005-0000-0000-0000E4000000}"/>
    <cellStyle name="20% - Accent4 7" xfId="2718" xr:uid="{00000000-0005-0000-0000-0000E5000000}"/>
    <cellStyle name="20% - Accent4 8" xfId="2717" xr:uid="{00000000-0005-0000-0000-0000E6000000}"/>
    <cellStyle name="20% - Accent4 9" xfId="2716" xr:uid="{00000000-0005-0000-0000-0000E7000000}"/>
    <cellStyle name="20% - Accent5 10" xfId="2715" xr:uid="{00000000-0005-0000-0000-0000E8000000}"/>
    <cellStyle name="20% - Accent5 11" xfId="2714" xr:uid="{00000000-0005-0000-0000-0000E9000000}"/>
    <cellStyle name="20% - Accent5 12" xfId="2713" xr:uid="{00000000-0005-0000-0000-0000EA000000}"/>
    <cellStyle name="20% - Accent5 13" xfId="2712" xr:uid="{00000000-0005-0000-0000-0000EB000000}"/>
    <cellStyle name="20% - Accent5 14" xfId="2711" xr:uid="{00000000-0005-0000-0000-0000EC000000}"/>
    <cellStyle name="20% - Accent5 15" xfId="2710" xr:uid="{00000000-0005-0000-0000-0000ED000000}"/>
    <cellStyle name="20% - Accent5 16" xfId="20" xr:uid="{00000000-0005-0000-0000-0000EE000000}"/>
    <cellStyle name="20% - Accent5 2" xfId="21" xr:uid="{00000000-0005-0000-0000-0000EF000000}"/>
    <cellStyle name="20% - Accent5 2 10" xfId="2708" xr:uid="{00000000-0005-0000-0000-0000F0000000}"/>
    <cellStyle name="20% - Accent5 2 11" xfId="2707" xr:uid="{00000000-0005-0000-0000-0000F1000000}"/>
    <cellStyle name="20% - Accent5 2 12" xfId="2709" xr:uid="{00000000-0005-0000-0000-0000F2000000}"/>
    <cellStyle name="20% - Accent5 2 2" xfId="449" xr:uid="{00000000-0005-0000-0000-0000F3000000}"/>
    <cellStyle name="20% - Accent5 2 2 2" xfId="2706" xr:uid="{00000000-0005-0000-0000-0000F4000000}"/>
    <cellStyle name="20% - Accent5 2 3" xfId="2705" xr:uid="{00000000-0005-0000-0000-0000F5000000}"/>
    <cellStyle name="20% - Accent5 2 4" xfId="2704" xr:uid="{00000000-0005-0000-0000-0000F6000000}"/>
    <cellStyle name="20% - Accent5 2 5" xfId="2703" xr:uid="{00000000-0005-0000-0000-0000F7000000}"/>
    <cellStyle name="20% - Accent5 2 6" xfId="2702" xr:uid="{00000000-0005-0000-0000-0000F8000000}"/>
    <cellStyle name="20% - Accent5 2 7" xfId="2701" xr:uid="{00000000-0005-0000-0000-0000F9000000}"/>
    <cellStyle name="20% - Accent5 2 8" xfId="2700" xr:uid="{00000000-0005-0000-0000-0000FA000000}"/>
    <cellStyle name="20% - Accent5 2 9" xfId="2699" xr:uid="{00000000-0005-0000-0000-0000FB000000}"/>
    <cellStyle name="20% - Accent5 3" xfId="22" xr:uid="{00000000-0005-0000-0000-0000FC000000}"/>
    <cellStyle name="20% - Accent5 3 10" xfId="2697" xr:uid="{00000000-0005-0000-0000-0000FD000000}"/>
    <cellStyle name="20% - Accent5 3 11" xfId="2696" xr:uid="{00000000-0005-0000-0000-0000FE000000}"/>
    <cellStyle name="20% - Accent5 3 12" xfId="2698" xr:uid="{00000000-0005-0000-0000-0000FF000000}"/>
    <cellStyle name="20% - Accent5 3 2" xfId="2695" xr:uid="{00000000-0005-0000-0000-000000010000}"/>
    <cellStyle name="20% - Accent5 3 3" xfId="2694" xr:uid="{00000000-0005-0000-0000-000001010000}"/>
    <cellStyle name="20% - Accent5 3 4" xfId="2693" xr:uid="{00000000-0005-0000-0000-000002010000}"/>
    <cellStyle name="20% - Accent5 3 5" xfId="2692" xr:uid="{00000000-0005-0000-0000-000003010000}"/>
    <cellStyle name="20% - Accent5 3 6" xfId="2691" xr:uid="{00000000-0005-0000-0000-000004010000}"/>
    <cellStyle name="20% - Accent5 3 7" xfId="2690" xr:uid="{00000000-0005-0000-0000-000005010000}"/>
    <cellStyle name="20% - Accent5 3 8" xfId="2689" xr:uid="{00000000-0005-0000-0000-000006010000}"/>
    <cellStyle name="20% - Accent5 3 9" xfId="2688" xr:uid="{00000000-0005-0000-0000-000007010000}"/>
    <cellStyle name="20% - Accent5 4" xfId="2687" xr:uid="{00000000-0005-0000-0000-000008010000}"/>
    <cellStyle name="20% - Accent5 4 10" xfId="2686" xr:uid="{00000000-0005-0000-0000-000009010000}"/>
    <cellStyle name="20% - Accent5 4 11" xfId="2685" xr:uid="{00000000-0005-0000-0000-00000A010000}"/>
    <cellStyle name="20% - Accent5 4 2" xfId="2684" xr:uid="{00000000-0005-0000-0000-00000B010000}"/>
    <cellStyle name="20% - Accent5 4 3" xfId="2683" xr:uid="{00000000-0005-0000-0000-00000C010000}"/>
    <cellStyle name="20% - Accent5 4 4" xfId="2682" xr:uid="{00000000-0005-0000-0000-00000D010000}"/>
    <cellStyle name="20% - Accent5 4 5" xfId="2681" xr:uid="{00000000-0005-0000-0000-00000E010000}"/>
    <cellStyle name="20% - Accent5 4 6" xfId="2680" xr:uid="{00000000-0005-0000-0000-00000F010000}"/>
    <cellStyle name="20% - Accent5 4 7" xfId="2679" xr:uid="{00000000-0005-0000-0000-000010010000}"/>
    <cellStyle name="20% - Accent5 4 8" xfId="2678" xr:uid="{00000000-0005-0000-0000-000011010000}"/>
    <cellStyle name="20% - Accent5 4 9" xfId="2677" xr:uid="{00000000-0005-0000-0000-000012010000}"/>
    <cellStyle name="20% - Accent5 5" xfId="2676" xr:uid="{00000000-0005-0000-0000-000013010000}"/>
    <cellStyle name="20% - Accent5 5 10" xfId="2675" xr:uid="{00000000-0005-0000-0000-000014010000}"/>
    <cellStyle name="20% - Accent5 5 11" xfId="2674" xr:uid="{00000000-0005-0000-0000-000015010000}"/>
    <cellStyle name="20% - Accent5 5 2" xfId="2673" xr:uid="{00000000-0005-0000-0000-000016010000}"/>
    <cellStyle name="20% - Accent5 5 3" xfId="2672" xr:uid="{00000000-0005-0000-0000-000017010000}"/>
    <cellStyle name="20% - Accent5 5 4" xfId="2671" xr:uid="{00000000-0005-0000-0000-000018010000}"/>
    <cellStyle name="20% - Accent5 5 5" xfId="2670" xr:uid="{00000000-0005-0000-0000-000019010000}"/>
    <cellStyle name="20% - Accent5 5 6" xfId="2669" xr:uid="{00000000-0005-0000-0000-00001A010000}"/>
    <cellStyle name="20% - Accent5 5 7" xfId="2668" xr:uid="{00000000-0005-0000-0000-00001B010000}"/>
    <cellStyle name="20% - Accent5 5 8" xfId="2667" xr:uid="{00000000-0005-0000-0000-00001C010000}"/>
    <cellStyle name="20% - Accent5 5 9" xfId="2666" xr:uid="{00000000-0005-0000-0000-00001D010000}"/>
    <cellStyle name="20% - Accent5 6" xfId="2665" xr:uid="{00000000-0005-0000-0000-00001E010000}"/>
    <cellStyle name="20% - Accent5 7" xfId="2664" xr:uid="{00000000-0005-0000-0000-00001F010000}"/>
    <cellStyle name="20% - Accent5 8" xfId="2663" xr:uid="{00000000-0005-0000-0000-000020010000}"/>
    <cellStyle name="20% - Accent5 9" xfId="2662" xr:uid="{00000000-0005-0000-0000-000021010000}"/>
    <cellStyle name="20% - Accent6 10" xfId="2661" xr:uid="{00000000-0005-0000-0000-000022010000}"/>
    <cellStyle name="20% - Accent6 11" xfId="2660" xr:uid="{00000000-0005-0000-0000-000023010000}"/>
    <cellStyle name="20% - Accent6 12" xfId="2659" xr:uid="{00000000-0005-0000-0000-000024010000}"/>
    <cellStyle name="20% - Accent6 13" xfId="2658" xr:uid="{00000000-0005-0000-0000-000025010000}"/>
    <cellStyle name="20% - Accent6 14" xfId="2657" xr:uid="{00000000-0005-0000-0000-000026010000}"/>
    <cellStyle name="20% - Accent6 15" xfId="2656" xr:uid="{00000000-0005-0000-0000-000027010000}"/>
    <cellStyle name="20% - Accent6 16" xfId="23" xr:uid="{00000000-0005-0000-0000-000028010000}"/>
    <cellStyle name="20% - Accent6 2" xfId="24" xr:uid="{00000000-0005-0000-0000-000029010000}"/>
    <cellStyle name="20% - Accent6 2 10" xfId="2654" xr:uid="{00000000-0005-0000-0000-00002A010000}"/>
    <cellStyle name="20% - Accent6 2 11" xfId="2653" xr:uid="{00000000-0005-0000-0000-00002B010000}"/>
    <cellStyle name="20% - Accent6 2 12" xfId="2655" xr:uid="{00000000-0005-0000-0000-00002C010000}"/>
    <cellStyle name="20% - Accent6 2 2" xfId="451" xr:uid="{00000000-0005-0000-0000-00002D010000}"/>
    <cellStyle name="20% - Accent6 2 2 2" xfId="2652" xr:uid="{00000000-0005-0000-0000-00002E010000}"/>
    <cellStyle name="20% - Accent6 2 3" xfId="2651" xr:uid="{00000000-0005-0000-0000-00002F010000}"/>
    <cellStyle name="20% - Accent6 2 4" xfId="2650" xr:uid="{00000000-0005-0000-0000-000030010000}"/>
    <cellStyle name="20% - Accent6 2 5" xfId="2649" xr:uid="{00000000-0005-0000-0000-000031010000}"/>
    <cellStyle name="20% - Accent6 2 6" xfId="2648" xr:uid="{00000000-0005-0000-0000-000032010000}"/>
    <cellStyle name="20% - Accent6 2 7" xfId="2647" xr:uid="{00000000-0005-0000-0000-000033010000}"/>
    <cellStyle name="20% - Accent6 2 8" xfId="2646" xr:uid="{00000000-0005-0000-0000-000034010000}"/>
    <cellStyle name="20% - Accent6 2 9" xfId="2645" xr:uid="{00000000-0005-0000-0000-000035010000}"/>
    <cellStyle name="20% - Accent6 3" xfId="25" xr:uid="{00000000-0005-0000-0000-000036010000}"/>
    <cellStyle name="20% - Accent6 3 10" xfId="2643" xr:uid="{00000000-0005-0000-0000-000037010000}"/>
    <cellStyle name="20% - Accent6 3 11" xfId="2642" xr:uid="{00000000-0005-0000-0000-000038010000}"/>
    <cellStyle name="20% - Accent6 3 12" xfId="2644" xr:uid="{00000000-0005-0000-0000-000039010000}"/>
    <cellStyle name="20% - Accent6 3 2" xfId="2641" xr:uid="{00000000-0005-0000-0000-00003A010000}"/>
    <cellStyle name="20% - Accent6 3 3" xfId="2640" xr:uid="{00000000-0005-0000-0000-00003B010000}"/>
    <cellStyle name="20% - Accent6 3 4" xfId="2639" xr:uid="{00000000-0005-0000-0000-00003C010000}"/>
    <cellStyle name="20% - Accent6 3 5" xfId="2638" xr:uid="{00000000-0005-0000-0000-00003D010000}"/>
    <cellStyle name="20% - Accent6 3 6" xfId="2637" xr:uid="{00000000-0005-0000-0000-00003E010000}"/>
    <cellStyle name="20% - Accent6 3 7" xfId="2636" xr:uid="{00000000-0005-0000-0000-00003F010000}"/>
    <cellStyle name="20% - Accent6 3 8" xfId="2635" xr:uid="{00000000-0005-0000-0000-000040010000}"/>
    <cellStyle name="20% - Accent6 3 9" xfId="2634" xr:uid="{00000000-0005-0000-0000-000041010000}"/>
    <cellStyle name="20% - Accent6 4" xfId="2633" xr:uid="{00000000-0005-0000-0000-000042010000}"/>
    <cellStyle name="20% - Accent6 4 10" xfId="2632" xr:uid="{00000000-0005-0000-0000-000043010000}"/>
    <cellStyle name="20% - Accent6 4 11" xfId="2631" xr:uid="{00000000-0005-0000-0000-000044010000}"/>
    <cellStyle name="20% - Accent6 4 2" xfId="2630" xr:uid="{00000000-0005-0000-0000-000045010000}"/>
    <cellStyle name="20% - Accent6 4 3" xfId="2629" xr:uid="{00000000-0005-0000-0000-000046010000}"/>
    <cellStyle name="20% - Accent6 4 4" xfId="2628" xr:uid="{00000000-0005-0000-0000-000047010000}"/>
    <cellStyle name="20% - Accent6 4 5" xfId="2627" xr:uid="{00000000-0005-0000-0000-000048010000}"/>
    <cellStyle name="20% - Accent6 4 6" xfId="2626" xr:uid="{00000000-0005-0000-0000-000049010000}"/>
    <cellStyle name="20% - Accent6 4 7" xfId="2625" xr:uid="{00000000-0005-0000-0000-00004A010000}"/>
    <cellStyle name="20% - Accent6 4 8" xfId="2624" xr:uid="{00000000-0005-0000-0000-00004B010000}"/>
    <cellStyle name="20% - Accent6 4 9" xfId="2623" xr:uid="{00000000-0005-0000-0000-00004C010000}"/>
    <cellStyle name="20% - Accent6 5" xfId="2622" xr:uid="{00000000-0005-0000-0000-00004D010000}"/>
    <cellStyle name="20% - Accent6 5 10" xfId="2621" xr:uid="{00000000-0005-0000-0000-00004E010000}"/>
    <cellStyle name="20% - Accent6 5 11" xfId="2620" xr:uid="{00000000-0005-0000-0000-00004F010000}"/>
    <cellStyle name="20% - Accent6 5 2" xfId="2619" xr:uid="{00000000-0005-0000-0000-000050010000}"/>
    <cellStyle name="20% - Accent6 5 3" xfId="2618" xr:uid="{00000000-0005-0000-0000-000051010000}"/>
    <cellStyle name="20% - Accent6 5 4" xfId="2617" xr:uid="{00000000-0005-0000-0000-000052010000}"/>
    <cellStyle name="20% - Accent6 5 5" xfId="2616" xr:uid="{00000000-0005-0000-0000-000053010000}"/>
    <cellStyle name="20% - Accent6 5 6" xfId="2615" xr:uid="{00000000-0005-0000-0000-000054010000}"/>
    <cellStyle name="20% - Accent6 5 7" xfId="2614" xr:uid="{00000000-0005-0000-0000-000055010000}"/>
    <cellStyle name="20% - Accent6 5 8" xfId="2613" xr:uid="{00000000-0005-0000-0000-000056010000}"/>
    <cellStyle name="20% - Accent6 5 9" xfId="2612" xr:uid="{00000000-0005-0000-0000-000057010000}"/>
    <cellStyle name="20% - Accent6 6" xfId="2611" xr:uid="{00000000-0005-0000-0000-000058010000}"/>
    <cellStyle name="20% - Accent6 7" xfId="2610" xr:uid="{00000000-0005-0000-0000-000059010000}"/>
    <cellStyle name="20% - Accent6 8" xfId="2609" xr:uid="{00000000-0005-0000-0000-00005A010000}"/>
    <cellStyle name="20% - Accent6 9" xfId="2608" xr:uid="{00000000-0005-0000-0000-00005B010000}"/>
    <cellStyle name="20% - ส่วนที่ถูกเน้น1" xfId="2607" xr:uid="{00000000-0005-0000-0000-00005C010000}"/>
    <cellStyle name="20% - ส่วนที่ถูกเน้น2" xfId="2606" xr:uid="{00000000-0005-0000-0000-00005D010000}"/>
    <cellStyle name="20% - ส่วนที่ถูกเน้น3" xfId="2605" xr:uid="{00000000-0005-0000-0000-00005E010000}"/>
    <cellStyle name="20% - ส่วนที่ถูกเน้น4" xfId="2604" xr:uid="{00000000-0005-0000-0000-00005F010000}"/>
    <cellStyle name="20% - ส่วนที่ถูกเน้น5" xfId="2603" xr:uid="{00000000-0005-0000-0000-000060010000}"/>
    <cellStyle name="20% - ส่วนที่ถูกเน้น6" xfId="2602" xr:uid="{00000000-0005-0000-0000-000061010000}"/>
    <cellStyle name="40% - Accent1 10" xfId="2601" xr:uid="{00000000-0005-0000-0000-000062010000}"/>
    <cellStyle name="40% - Accent1 11" xfId="2600" xr:uid="{00000000-0005-0000-0000-000063010000}"/>
    <cellStyle name="40% - Accent1 12" xfId="2599" xr:uid="{00000000-0005-0000-0000-000064010000}"/>
    <cellStyle name="40% - Accent1 13" xfId="2598" xr:uid="{00000000-0005-0000-0000-000065010000}"/>
    <cellStyle name="40% - Accent1 14" xfId="2597" xr:uid="{00000000-0005-0000-0000-000066010000}"/>
    <cellStyle name="40% - Accent1 15" xfId="2596" xr:uid="{00000000-0005-0000-0000-000067010000}"/>
    <cellStyle name="40% - Accent1 16" xfId="26" xr:uid="{00000000-0005-0000-0000-000068010000}"/>
    <cellStyle name="40% - Accent1 2" xfId="27" xr:uid="{00000000-0005-0000-0000-000069010000}"/>
    <cellStyle name="40% - Accent1 2 10" xfId="2594" xr:uid="{00000000-0005-0000-0000-00006A010000}"/>
    <cellStyle name="40% - Accent1 2 11" xfId="2593" xr:uid="{00000000-0005-0000-0000-00006B010000}"/>
    <cellStyle name="40% - Accent1 2 12" xfId="2595" xr:uid="{00000000-0005-0000-0000-00006C010000}"/>
    <cellStyle name="40% - Accent1 2 2" xfId="453" xr:uid="{00000000-0005-0000-0000-00006D010000}"/>
    <cellStyle name="40% - Accent1 2 2 2" xfId="2592" xr:uid="{00000000-0005-0000-0000-00006E010000}"/>
    <cellStyle name="40% - Accent1 2 3" xfId="2591" xr:uid="{00000000-0005-0000-0000-00006F010000}"/>
    <cellStyle name="40% - Accent1 2 4" xfId="2590" xr:uid="{00000000-0005-0000-0000-000070010000}"/>
    <cellStyle name="40% - Accent1 2 5" xfId="2589" xr:uid="{00000000-0005-0000-0000-000071010000}"/>
    <cellStyle name="40% - Accent1 2 6" xfId="2588" xr:uid="{00000000-0005-0000-0000-000072010000}"/>
    <cellStyle name="40% - Accent1 2 7" xfId="2587" xr:uid="{00000000-0005-0000-0000-000073010000}"/>
    <cellStyle name="40% - Accent1 2 8" xfId="2586" xr:uid="{00000000-0005-0000-0000-000074010000}"/>
    <cellStyle name="40% - Accent1 2 9" xfId="2585" xr:uid="{00000000-0005-0000-0000-000075010000}"/>
    <cellStyle name="40% - Accent1 3" xfId="28" xr:uid="{00000000-0005-0000-0000-000076010000}"/>
    <cellStyle name="40% - Accent1 3 10" xfId="2583" xr:uid="{00000000-0005-0000-0000-000077010000}"/>
    <cellStyle name="40% - Accent1 3 11" xfId="2582" xr:uid="{00000000-0005-0000-0000-000078010000}"/>
    <cellStyle name="40% - Accent1 3 12" xfId="2584" xr:uid="{00000000-0005-0000-0000-000079010000}"/>
    <cellStyle name="40% - Accent1 3 2" xfId="2581" xr:uid="{00000000-0005-0000-0000-00007A010000}"/>
    <cellStyle name="40% - Accent1 3 3" xfId="2580" xr:uid="{00000000-0005-0000-0000-00007B010000}"/>
    <cellStyle name="40% - Accent1 3 4" xfId="2579" xr:uid="{00000000-0005-0000-0000-00007C010000}"/>
    <cellStyle name="40% - Accent1 3 5" xfId="2578" xr:uid="{00000000-0005-0000-0000-00007D010000}"/>
    <cellStyle name="40% - Accent1 3 6" xfId="2577" xr:uid="{00000000-0005-0000-0000-00007E010000}"/>
    <cellStyle name="40% - Accent1 3 7" xfId="2576" xr:uid="{00000000-0005-0000-0000-00007F010000}"/>
    <cellStyle name="40% - Accent1 3 8" xfId="2575" xr:uid="{00000000-0005-0000-0000-000080010000}"/>
    <cellStyle name="40% - Accent1 3 9" xfId="2574" xr:uid="{00000000-0005-0000-0000-000081010000}"/>
    <cellStyle name="40% - Accent1 4" xfId="2573" xr:uid="{00000000-0005-0000-0000-000082010000}"/>
    <cellStyle name="40% - Accent1 4 10" xfId="2572" xr:uid="{00000000-0005-0000-0000-000083010000}"/>
    <cellStyle name="40% - Accent1 4 11" xfId="2571" xr:uid="{00000000-0005-0000-0000-000084010000}"/>
    <cellStyle name="40% - Accent1 4 2" xfId="2570" xr:uid="{00000000-0005-0000-0000-000085010000}"/>
    <cellStyle name="40% - Accent1 4 3" xfId="2569" xr:uid="{00000000-0005-0000-0000-000086010000}"/>
    <cellStyle name="40% - Accent1 4 4" xfId="2568" xr:uid="{00000000-0005-0000-0000-000087010000}"/>
    <cellStyle name="40% - Accent1 4 5" xfId="2567" xr:uid="{00000000-0005-0000-0000-000088010000}"/>
    <cellStyle name="40% - Accent1 4 6" xfId="2566" xr:uid="{00000000-0005-0000-0000-000089010000}"/>
    <cellStyle name="40% - Accent1 4 7" xfId="2565" xr:uid="{00000000-0005-0000-0000-00008A010000}"/>
    <cellStyle name="40% - Accent1 4 8" xfId="2564" xr:uid="{00000000-0005-0000-0000-00008B010000}"/>
    <cellStyle name="40% - Accent1 4 9" xfId="2563" xr:uid="{00000000-0005-0000-0000-00008C010000}"/>
    <cellStyle name="40% - Accent1 5" xfId="2562" xr:uid="{00000000-0005-0000-0000-00008D010000}"/>
    <cellStyle name="40% - Accent1 5 10" xfId="2561" xr:uid="{00000000-0005-0000-0000-00008E010000}"/>
    <cellStyle name="40% - Accent1 5 11" xfId="2560" xr:uid="{00000000-0005-0000-0000-00008F010000}"/>
    <cellStyle name="40% - Accent1 5 2" xfId="2559" xr:uid="{00000000-0005-0000-0000-000090010000}"/>
    <cellStyle name="40% - Accent1 5 3" xfId="2558" xr:uid="{00000000-0005-0000-0000-000091010000}"/>
    <cellStyle name="40% - Accent1 5 4" xfId="2557" xr:uid="{00000000-0005-0000-0000-000092010000}"/>
    <cellStyle name="40% - Accent1 5 5" xfId="2556" xr:uid="{00000000-0005-0000-0000-000093010000}"/>
    <cellStyle name="40% - Accent1 5 6" xfId="2555" xr:uid="{00000000-0005-0000-0000-000094010000}"/>
    <cellStyle name="40% - Accent1 5 7" xfId="2554" xr:uid="{00000000-0005-0000-0000-000095010000}"/>
    <cellStyle name="40% - Accent1 5 8" xfId="2553" xr:uid="{00000000-0005-0000-0000-000096010000}"/>
    <cellStyle name="40% - Accent1 5 9" xfId="2552" xr:uid="{00000000-0005-0000-0000-000097010000}"/>
    <cellStyle name="40% - Accent1 6" xfId="2551" xr:uid="{00000000-0005-0000-0000-000098010000}"/>
    <cellStyle name="40% - Accent1 7" xfId="2550" xr:uid="{00000000-0005-0000-0000-000099010000}"/>
    <cellStyle name="40% - Accent1 8" xfId="2549" xr:uid="{00000000-0005-0000-0000-00009A010000}"/>
    <cellStyle name="40% - Accent1 9" xfId="2548" xr:uid="{00000000-0005-0000-0000-00009B010000}"/>
    <cellStyle name="40% - Accent2 10" xfId="2547" xr:uid="{00000000-0005-0000-0000-00009C010000}"/>
    <cellStyle name="40% - Accent2 11" xfId="2546" xr:uid="{00000000-0005-0000-0000-00009D010000}"/>
    <cellStyle name="40% - Accent2 12" xfId="2545" xr:uid="{00000000-0005-0000-0000-00009E010000}"/>
    <cellStyle name="40% - Accent2 13" xfId="2544" xr:uid="{00000000-0005-0000-0000-00009F010000}"/>
    <cellStyle name="40% - Accent2 14" xfId="2543" xr:uid="{00000000-0005-0000-0000-0000A0010000}"/>
    <cellStyle name="40% - Accent2 15" xfId="2542" xr:uid="{00000000-0005-0000-0000-0000A1010000}"/>
    <cellStyle name="40% - Accent2 16" xfId="29" xr:uid="{00000000-0005-0000-0000-0000A2010000}"/>
    <cellStyle name="40% - Accent2 2" xfId="30" xr:uid="{00000000-0005-0000-0000-0000A3010000}"/>
    <cellStyle name="40% - Accent2 2 10" xfId="2540" xr:uid="{00000000-0005-0000-0000-0000A4010000}"/>
    <cellStyle name="40% - Accent2 2 11" xfId="2539" xr:uid="{00000000-0005-0000-0000-0000A5010000}"/>
    <cellStyle name="40% - Accent2 2 12" xfId="2541" xr:uid="{00000000-0005-0000-0000-0000A6010000}"/>
    <cellStyle name="40% - Accent2 2 2" xfId="455" xr:uid="{00000000-0005-0000-0000-0000A7010000}"/>
    <cellStyle name="40% - Accent2 2 2 2" xfId="2538" xr:uid="{00000000-0005-0000-0000-0000A8010000}"/>
    <cellStyle name="40% - Accent2 2 3" xfId="2537" xr:uid="{00000000-0005-0000-0000-0000A9010000}"/>
    <cellStyle name="40% - Accent2 2 4" xfId="2536" xr:uid="{00000000-0005-0000-0000-0000AA010000}"/>
    <cellStyle name="40% - Accent2 2 5" xfId="2535" xr:uid="{00000000-0005-0000-0000-0000AB010000}"/>
    <cellStyle name="40% - Accent2 2 6" xfId="2534" xr:uid="{00000000-0005-0000-0000-0000AC010000}"/>
    <cellStyle name="40% - Accent2 2 7" xfId="2533" xr:uid="{00000000-0005-0000-0000-0000AD010000}"/>
    <cellStyle name="40% - Accent2 2 8" xfId="2532" xr:uid="{00000000-0005-0000-0000-0000AE010000}"/>
    <cellStyle name="40% - Accent2 2 9" xfId="2531" xr:uid="{00000000-0005-0000-0000-0000AF010000}"/>
    <cellStyle name="40% - Accent2 3" xfId="31" xr:uid="{00000000-0005-0000-0000-0000B0010000}"/>
    <cellStyle name="40% - Accent2 3 10" xfId="2529" xr:uid="{00000000-0005-0000-0000-0000B1010000}"/>
    <cellStyle name="40% - Accent2 3 11" xfId="2528" xr:uid="{00000000-0005-0000-0000-0000B2010000}"/>
    <cellStyle name="40% - Accent2 3 12" xfId="2530" xr:uid="{00000000-0005-0000-0000-0000B3010000}"/>
    <cellStyle name="40% - Accent2 3 2" xfId="2527" xr:uid="{00000000-0005-0000-0000-0000B4010000}"/>
    <cellStyle name="40% - Accent2 3 3" xfId="2526" xr:uid="{00000000-0005-0000-0000-0000B5010000}"/>
    <cellStyle name="40% - Accent2 3 4" xfId="2525" xr:uid="{00000000-0005-0000-0000-0000B6010000}"/>
    <cellStyle name="40% - Accent2 3 5" xfId="2524" xr:uid="{00000000-0005-0000-0000-0000B7010000}"/>
    <cellStyle name="40% - Accent2 3 6" xfId="2523" xr:uid="{00000000-0005-0000-0000-0000B8010000}"/>
    <cellStyle name="40% - Accent2 3 7" xfId="2522" xr:uid="{00000000-0005-0000-0000-0000B9010000}"/>
    <cellStyle name="40% - Accent2 3 8" xfId="2521" xr:uid="{00000000-0005-0000-0000-0000BA010000}"/>
    <cellStyle name="40% - Accent2 3 9" xfId="2520" xr:uid="{00000000-0005-0000-0000-0000BB010000}"/>
    <cellStyle name="40% - Accent2 4" xfId="2519" xr:uid="{00000000-0005-0000-0000-0000BC010000}"/>
    <cellStyle name="40% - Accent2 4 10" xfId="2518" xr:uid="{00000000-0005-0000-0000-0000BD010000}"/>
    <cellStyle name="40% - Accent2 4 11" xfId="2517" xr:uid="{00000000-0005-0000-0000-0000BE010000}"/>
    <cellStyle name="40% - Accent2 4 2" xfId="2516" xr:uid="{00000000-0005-0000-0000-0000BF010000}"/>
    <cellStyle name="40% - Accent2 4 3" xfId="2515" xr:uid="{00000000-0005-0000-0000-0000C0010000}"/>
    <cellStyle name="40% - Accent2 4 4" xfId="2514" xr:uid="{00000000-0005-0000-0000-0000C1010000}"/>
    <cellStyle name="40% - Accent2 4 5" xfId="2513" xr:uid="{00000000-0005-0000-0000-0000C2010000}"/>
    <cellStyle name="40% - Accent2 4 6" xfId="2512" xr:uid="{00000000-0005-0000-0000-0000C3010000}"/>
    <cellStyle name="40% - Accent2 4 7" xfId="2511" xr:uid="{00000000-0005-0000-0000-0000C4010000}"/>
    <cellStyle name="40% - Accent2 4 8" xfId="2510" xr:uid="{00000000-0005-0000-0000-0000C5010000}"/>
    <cellStyle name="40% - Accent2 4 9" xfId="2509" xr:uid="{00000000-0005-0000-0000-0000C6010000}"/>
    <cellStyle name="40% - Accent2 5" xfId="2508" xr:uid="{00000000-0005-0000-0000-0000C7010000}"/>
    <cellStyle name="40% - Accent2 5 10" xfId="2507" xr:uid="{00000000-0005-0000-0000-0000C8010000}"/>
    <cellStyle name="40% - Accent2 5 11" xfId="2506" xr:uid="{00000000-0005-0000-0000-0000C9010000}"/>
    <cellStyle name="40% - Accent2 5 2" xfId="2505" xr:uid="{00000000-0005-0000-0000-0000CA010000}"/>
    <cellStyle name="40% - Accent2 5 3" xfId="2504" xr:uid="{00000000-0005-0000-0000-0000CB010000}"/>
    <cellStyle name="40% - Accent2 5 4" xfId="2503" xr:uid="{00000000-0005-0000-0000-0000CC010000}"/>
    <cellStyle name="40% - Accent2 5 5" xfId="2502" xr:uid="{00000000-0005-0000-0000-0000CD010000}"/>
    <cellStyle name="40% - Accent2 5 6" xfId="2501" xr:uid="{00000000-0005-0000-0000-0000CE010000}"/>
    <cellStyle name="40% - Accent2 5 7" xfId="2500" xr:uid="{00000000-0005-0000-0000-0000CF010000}"/>
    <cellStyle name="40% - Accent2 5 8" xfId="2499" xr:uid="{00000000-0005-0000-0000-0000D0010000}"/>
    <cellStyle name="40% - Accent2 5 9" xfId="2498" xr:uid="{00000000-0005-0000-0000-0000D1010000}"/>
    <cellStyle name="40% - Accent2 6" xfId="2497" xr:uid="{00000000-0005-0000-0000-0000D2010000}"/>
    <cellStyle name="40% - Accent2 7" xfId="2496" xr:uid="{00000000-0005-0000-0000-0000D3010000}"/>
    <cellStyle name="40% - Accent2 8" xfId="2495" xr:uid="{00000000-0005-0000-0000-0000D4010000}"/>
    <cellStyle name="40% - Accent2 9" xfId="2494" xr:uid="{00000000-0005-0000-0000-0000D5010000}"/>
    <cellStyle name="40% - Accent3 10" xfId="2493" xr:uid="{00000000-0005-0000-0000-0000D6010000}"/>
    <cellStyle name="40% - Accent3 11" xfId="2492" xr:uid="{00000000-0005-0000-0000-0000D7010000}"/>
    <cellStyle name="40% - Accent3 12" xfId="2491" xr:uid="{00000000-0005-0000-0000-0000D8010000}"/>
    <cellStyle name="40% - Accent3 13" xfId="2490" xr:uid="{00000000-0005-0000-0000-0000D9010000}"/>
    <cellStyle name="40% - Accent3 14" xfId="2489" xr:uid="{00000000-0005-0000-0000-0000DA010000}"/>
    <cellStyle name="40% - Accent3 15" xfId="2488" xr:uid="{00000000-0005-0000-0000-0000DB010000}"/>
    <cellStyle name="40% - Accent3 16" xfId="32" xr:uid="{00000000-0005-0000-0000-0000DC010000}"/>
    <cellStyle name="40% - Accent3 2" xfId="33" xr:uid="{00000000-0005-0000-0000-0000DD010000}"/>
    <cellStyle name="40% - Accent3 2 10" xfId="2486" xr:uid="{00000000-0005-0000-0000-0000DE010000}"/>
    <cellStyle name="40% - Accent3 2 11" xfId="2485" xr:uid="{00000000-0005-0000-0000-0000DF010000}"/>
    <cellStyle name="40% - Accent3 2 12" xfId="2487" xr:uid="{00000000-0005-0000-0000-0000E0010000}"/>
    <cellStyle name="40% - Accent3 2 2" xfId="457" xr:uid="{00000000-0005-0000-0000-0000E1010000}"/>
    <cellStyle name="40% - Accent3 2 2 2" xfId="2484" xr:uid="{00000000-0005-0000-0000-0000E2010000}"/>
    <cellStyle name="40% - Accent3 2 3" xfId="2483" xr:uid="{00000000-0005-0000-0000-0000E3010000}"/>
    <cellStyle name="40% - Accent3 2 4" xfId="2482" xr:uid="{00000000-0005-0000-0000-0000E4010000}"/>
    <cellStyle name="40% - Accent3 2 5" xfId="2481" xr:uid="{00000000-0005-0000-0000-0000E5010000}"/>
    <cellStyle name="40% - Accent3 2 6" xfId="2480" xr:uid="{00000000-0005-0000-0000-0000E6010000}"/>
    <cellStyle name="40% - Accent3 2 7" xfId="2479" xr:uid="{00000000-0005-0000-0000-0000E7010000}"/>
    <cellStyle name="40% - Accent3 2 8" xfId="2478" xr:uid="{00000000-0005-0000-0000-0000E8010000}"/>
    <cellStyle name="40% - Accent3 2 9" xfId="2477" xr:uid="{00000000-0005-0000-0000-0000E9010000}"/>
    <cellStyle name="40% - Accent3 3" xfId="34" xr:uid="{00000000-0005-0000-0000-0000EA010000}"/>
    <cellStyle name="40% - Accent3 3 10" xfId="2475" xr:uid="{00000000-0005-0000-0000-0000EB010000}"/>
    <cellStyle name="40% - Accent3 3 11" xfId="2474" xr:uid="{00000000-0005-0000-0000-0000EC010000}"/>
    <cellStyle name="40% - Accent3 3 12" xfId="2476" xr:uid="{00000000-0005-0000-0000-0000ED010000}"/>
    <cellStyle name="40% - Accent3 3 2" xfId="2473" xr:uid="{00000000-0005-0000-0000-0000EE010000}"/>
    <cellStyle name="40% - Accent3 3 3" xfId="2472" xr:uid="{00000000-0005-0000-0000-0000EF010000}"/>
    <cellStyle name="40% - Accent3 3 4" xfId="2471" xr:uid="{00000000-0005-0000-0000-0000F0010000}"/>
    <cellStyle name="40% - Accent3 3 5" xfId="2470" xr:uid="{00000000-0005-0000-0000-0000F1010000}"/>
    <cellStyle name="40% - Accent3 3 6" xfId="2469" xr:uid="{00000000-0005-0000-0000-0000F2010000}"/>
    <cellStyle name="40% - Accent3 3 7" xfId="2468" xr:uid="{00000000-0005-0000-0000-0000F3010000}"/>
    <cellStyle name="40% - Accent3 3 8" xfId="2467" xr:uid="{00000000-0005-0000-0000-0000F4010000}"/>
    <cellStyle name="40% - Accent3 3 9" xfId="2466" xr:uid="{00000000-0005-0000-0000-0000F5010000}"/>
    <cellStyle name="40% - Accent3 4" xfId="2465" xr:uid="{00000000-0005-0000-0000-0000F6010000}"/>
    <cellStyle name="40% - Accent3 4 10" xfId="2464" xr:uid="{00000000-0005-0000-0000-0000F7010000}"/>
    <cellStyle name="40% - Accent3 4 11" xfId="2463" xr:uid="{00000000-0005-0000-0000-0000F8010000}"/>
    <cellStyle name="40% - Accent3 4 2" xfId="2462" xr:uid="{00000000-0005-0000-0000-0000F9010000}"/>
    <cellStyle name="40% - Accent3 4 3" xfId="2461" xr:uid="{00000000-0005-0000-0000-0000FA010000}"/>
    <cellStyle name="40% - Accent3 4 4" xfId="2460" xr:uid="{00000000-0005-0000-0000-0000FB010000}"/>
    <cellStyle name="40% - Accent3 4 5" xfId="2459" xr:uid="{00000000-0005-0000-0000-0000FC010000}"/>
    <cellStyle name="40% - Accent3 4 6" xfId="2458" xr:uid="{00000000-0005-0000-0000-0000FD010000}"/>
    <cellStyle name="40% - Accent3 4 7" xfId="2457" xr:uid="{00000000-0005-0000-0000-0000FE010000}"/>
    <cellStyle name="40% - Accent3 4 8" xfId="2456" xr:uid="{00000000-0005-0000-0000-0000FF010000}"/>
    <cellStyle name="40% - Accent3 4 9" xfId="2455" xr:uid="{00000000-0005-0000-0000-000000020000}"/>
    <cellStyle name="40% - Accent3 5" xfId="2454" xr:uid="{00000000-0005-0000-0000-000001020000}"/>
    <cellStyle name="40% - Accent3 5 10" xfId="2453" xr:uid="{00000000-0005-0000-0000-000002020000}"/>
    <cellStyle name="40% - Accent3 5 11" xfId="2452" xr:uid="{00000000-0005-0000-0000-000003020000}"/>
    <cellStyle name="40% - Accent3 5 2" xfId="2451" xr:uid="{00000000-0005-0000-0000-000004020000}"/>
    <cellStyle name="40% - Accent3 5 3" xfId="2450" xr:uid="{00000000-0005-0000-0000-000005020000}"/>
    <cellStyle name="40% - Accent3 5 4" xfId="2449" xr:uid="{00000000-0005-0000-0000-000006020000}"/>
    <cellStyle name="40% - Accent3 5 5" xfId="2448" xr:uid="{00000000-0005-0000-0000-000007020000}"/>
    <cellStyle name="40% - Accent3 5 6" xfId="2447" xr:uid="{00000000-0005-0000-0000-000008020000}"/>
    <cellStyle name="40% - Accent3 5 7" xfId="2446" xr:uid="{00000000-0005-0000-0000-000009020000}"/>
    <cellStyle name="40% - Accent3 5 8" xfId="2445" xr:uid="{00000000-0005-0000-0000-00000A020000}"/>
    <cellStyle name="40% - Accent3 5 9" xfId="2444" xr:uid="{00000000-0005-0000-0000-00000B020000}"/>
    <cellStyle name="40% - Accent3 6" xfId="2443" xr:uid="{00000000-0005-0000-0000-00000C020000}"/>
    <cellStyle name="40% - Accent3 7" xfId="2442" xr:uid="{00000000-0005-0000-0000-00000D020000}"/>
    <cellStyle name="40% - Accent3 8" xfId="2441" xr:uid="{00000000-0005-0000-0000-00000E020000}"/>
    <cellStyle name="40% - Accent3 9" xfId="2440" xr:uid="{00000000-0005-0000-0000-00000F020000}"/>
    <cellStyle name="40% - Accent4 10" xfId="2439" xr:uid="{00000000-0005-0000-0000-000010020000}"/>
    <cellStyle name="40% - Accent4 11" xfId="2438" xr:uid="{00000000-0005-0000-0000-000011020000}"/>
    <cellStyle name="40% - Accent4 12" xfId="2437" xr:uid="{00000000-0005-0000-0000-000012020000}"/>
    <cellStyle name="40% - Accent4 13" xfId="2436" xr:uid="{00000000-0005-0000-0000-000013020000}"/>
    <cellStyle name="40% - Accent4 14" xfId="2435" xr:uid="{00000000-0005-0000-0000-000014020000}"/>
    <cellStyle name="40% - Accent4 15" xfId="2434" xr:uid="{00000000-0005-0000-0000-000015020000}"/>
    <cellStyle name="40% - Accent4 16" xfId="35" xr:uid="{00000000-0005-0000-0000-000016020000}"/>
    <cellStyle name="40% - Accent4 2" xfId="36" xr:uid="{00000000-0005-0000-0000-000017020000}"/>
    <cellStyle name="40% - Accent4 2 10" xfId="2432" xr:uid="{00000000-0005-0000-0000-000018020000}"/>
    <cellStyle name="40% - Accent4 2 11" xfId="2431" xr:uid="{00000000-0005-0000-0000-000019020000}"/>
    <cellStyle name="40% - Accent4 2 12" xfId="2433" xr:uid="{00000000-0005-0000-0000-00001A020000}"/>
    <cellStyle name="40% - Accent4 2 2" xfId="459" xr:uid="{00000000-0005-0000-0000-00001B020000}"/>
    <cellStyle name="40% - Accent4 2 2 2" xfId="2430" xr:uid="{00000000-0005-0000-0000-00001C020000}"/>
    <cellStyle name="40% - Accent4 2 3" xfId="2429" xr:uid="{00000000-0005-0000-0000-00001D020000}"/>
    <cellStyle name="40% - Accent4 2 4" xfId="2428" xr:uid="{00000000-0005-0000-0000-00001E020000}"/>
    <cellStyle name="40% - Accent4 2 5" xfId="2427" xr:uid="{00000000-0005-0000-0000-00001F020000}"/>
    <cellStyle name="40% - Accent4 2 6" xfId="2426" xr:uid="{00000000-0005-0000-0000-000020020000}"/>
    <cellStyle name="40% - Accent4 2 7" xfId="2425" xr:uid="{00000000-0005-0000-0000-000021020000}"/>
    <cellStyle name="40% - Accent4 2 8" xfId="2424" xr:uid="{00000000-0005-0000-0000-000022020000}"/>
    <cellStyle name="40% - Accent4 2 9" xfId="2423" xr:uid="{00000000-0005-0000-0000-000023020000}"/>
    <cellStyle name="40% - Accent4 3" xfId="37" xr:uid="{00000000-0005-0000-0000-000024020000}"/>
    <cellStyle name="40% - Accent4 3 10" xfId="2421" xr:uid="{00000000-0005-0000-0000-000025020000}"/>
    <cellStyle name="40% - Accent4 3 11" xfId="2420" xr:uid="{00000000-0005-0000-0000-000026020000}"/>
    <cellStyle name="40% - Accent4 3 12" xfId="2422" xr:uid="{00000000-0005-0000-0000-000027020000}"/>
    <cellStyle name="40% - Accent4 3 2" xfId="2419" xr:uid="{00000000-0005-0000-0000-000028020000}"/>
    <cellStyle name="40% - Accent4 3 3" xfId="2418" xr:uid="{00000000-0005-0000-0000-000029020000}"/>
    <cellStyle name="40% - Accent4 3 4" xfId="2417" xr:uid="{00000000-0005-0000-0000-00002A020000}"/>
    <cellStyle name="40% - Accent4 3 5" xfId="2416" xr:uid="{00000000-0005-0000-0000-00002B020000}"/>
    <cellStyle name="40% - Accent4 3 6" xfId="2415" xr:uid="{00000000-0005-0000-0000-00002C020000}"/>
    <cellStyle name="40% - Accent4 3 7" xfId="2414" xr:uid="{00000000-0005-0000-0000-00002D020000}"/>
    <cellStyle name="40% - Accent4 3 8" xfId="2413" xr:uid="{00000000-0005-0000-0000-00002E020000}"/>
    <cellStyle name="40% - Accent4 3 9" xfId="2412" xr:uid="{00000000-0005-0000-0000-00002F020000}"/>
    <cellStyle name="40% - Accent4 4" xfId="2411" xr:uid="{00000000-0005-0000-0000-000030020000}"/>
    <cellStyle name="40% - Accent4 4 10" xfId="2410" xr:uid="{00000000-0005-0000-0000-000031020000}"/>
    <cellStyle name="40% - Accent4 4 11" xfId="2409" xr:uid="{00000000-0005-0000-0000-000032020000}"/>
    <cellStyle name="40% - Accent4 4 2" xfId="2408" xr:uid="{00000000-0005-0000-0000-000033020000}"/>
    <cellStyle name="40% - Accent4 4 3" xfId="2407" xr:uid="{00000000-0005-0000-0000-000034020000}"/>
    <cellStyle name="40% - Accent4 4 4" xfId="2406" xr:uid="{00000000-0005-0000-0000-000035020000}"/>
    <cellStyle name="40% - Accent4 4 5" xfId="2405" xr:uid="{00000000-0005-0000-0000-000036020000}"/>
    <cellStyle name="40% - Accent4 4 6" xfId="2404" xr:uid="{00000000-0005-0000-0000-000037020000}"/>
    <cellStyle name="40% - Accent4 4 7" xfId="2403" xr:uid="{00000000-0005-0000-0000-000038020000}"/>
    <cellStyle name="40% - Accent4 4 8" xfId="2402" xr:uid="{00000000-0005-0000-0000-000039020000}"/>
    <cellStyle name="40% - Accent4 4 9" xfId="2401" xr:uid="{00000000-0005-0000-0000-00003A020000}"/>
    <cellStyle name="40% - Accent4 5" xfId="2400" xr:uid="{00000000-0005-0000-0000-00003B020000}"/>
    <cellStyle name="40% - Accent4 5 10" xfId="2399" xr:uid="{00000000-0005-0000-0000-00003C020000}"/>
    <cellStyle name="40% - Accent4 5 11" xfId="2398" xr:uid="{00000000-0005-0000-0000-00003D020000}"/>
    <cellStyle name="40% - Accent4 5 2" xfId="2397" xr:uid="{00000000-0005-0000-0000-00003E020000}"/>
    <cellStyle name="40% - Accent4 5 3" xfId="2396" xr:uid="{00000000-0005-0000-0000-00003F020000}"/>
    <cellStyle name="40% - Accent4 5 4" xfId="2395" xr:uid="{00000000-0005-0000-0000-000040020000}"/>
    <cellStyle name="40% - Accent4 5 5" xfId="2394" xr:uid="{00000000-0005-0000-0000-000041020000}"/>
    <cellStyle name="40% - Accent4 5 6" xfId="2393" xr:uid="{00000000-0005-0000-0000-000042020000}"/>
    <cellStyle name="40% - Accent4 5 7" xfId="2392" xr:uid="{00000000-0005-0000-0000-000043020000}"/>
    <cellStyle name="40% - Accent4 5 8" xfId="2391" xr:uid="{00000000-0005-0000-0000-000044020000}"/>
    <cellStyle name="40% - Accent4 5 9" xfId="2390" xr:uid="{00000000-0005-0000-0000-000045020000}"/>
    <cellStyle name="40% - Accent4 6" xfId="2389" xr:uid="{00000000-0005-0000-0000-000046020000}"/>
    <cellStyle name="40% - Accent4 7" xfId="2388" xr:uid="{00000000-0005-0000-0000-000047020000}"/>
    <cellStyle name="40% - Accent4 8" xfId="2387" xr:uid="{00000000-0005-0000-0000-000048020000}"/>
    <cellStyle name="40% - Accent4 9" xfId="2386" xr:uid="{00000000-0005-0000-0000-000049020000}"/>
    <cellStyle name="40% - Accent5 10" xfId="2385" xr:uid="{00000000-0005-0000-0000-00004A020000}"/>
    <cellStyle name="40% - Accent5 11" xfId="2384" xr:uid="{00000000-0005-0000-0000-00004B020000}"/>
    <cellStyle name="40% - Accent5 12" xfId="2383" xr:uid="{00000000-0005-0000-0000-00004C020000}"/>
    <cellStyle name="40% - Accent5 13" xfId="2382" xr:uid="{00000000-0005-0000-0000-00004D020000}"/>
    <cellStyle name="40% - Accent5 14" xfId="2381" xr:uid="{00000000-0005-0000-0000-00004E020000}"/>
    <cellStyle name="40% - Accent5 15" xfId="2380" xr:uid="{00000000-0005-0000-0000-00004F020000}"/>
    <cellStyle name="40% - Accent5 16" xfId="38" xr:uid="{00000000-0005-0000-0000-000050020000}"/>
    <cellStyle name="40% - Accent5 2" xfId="39" xr:uid="{00000000-0005-0000-0000-000051020000}"/>
    <cellStyle name="40% - Accent5 2 10" xfId="2378" xr:uid="{00000000-0005-0000-0000-000052020000}"/>
    <cellStyle name="40% - Accent5 2 11" xfId="2377" xr:uid="{00000000-0005-0000-0000-000053020000}"/>
    <cellStyle name="40% - Accent5 2 12" xfId="2379" xr:uid="{00000000-0005-0000-0000-000054020000}"/>
    <cellStyle name="40% - Accent5 2 2" xfId="461" xr:uid="{00000000-0005-0000-0000-000055020000}"/>
    <cellStyle name="40% - Accent5 2 2 2" xfId="2376" xr:uid="{00000000-0005-0000-0000-000056020000}"/>
    <cellStyle name="40% - Accent5 2 3" xfId="2375" xr:uid="{00000000-0005-0000-0000-000057020000}"/>
    <cellStyle name="40% - Accent5 2 4" xfId="2374" xr:uid="{00000000-0005-0000-0000-000058020000}"/>
    <cellStyle name="40% - Accent5 2 5" xfId="2373" xr:uid="{00000000-0005-0000-0000-000059020000}"/>
    <cellStyle name="40% - Accent5 2 6" xfId="2372" xr:uid="{00000000-0005-0000-0000-00005A020000}"/>
    <cellStyle name="40% - Accent5 2 7" xfId="2371" xr:uid="{00000000-0005-0000-0000-00005B020000}"/>
    <cellStyle name="40% - Accent5 2 8" xfId="2370" xr:uid="{00000000-0005-0000-0000-00005C020000}"/>
    <cellStyle name="40% - Accent5 2 9" xfId="2369" xr:uid="{00000000-0005-0000-0000-00005D020000}"/>
    <cellStyle name="40% - Accent5 3" xfId="40" xr:uid="{00000000-0005-0000-0000-00005E020000}"/>
    <cellStyle name="40% - Accent5 3 10" xfId="2367" xr:uid="{00000000-0005-0000-0000-00005F020000}"/>
    <cellStyle name="40% - Accent5 3 11" xfId="2366" xr:uid="{00000000-0005-0000-0000-000060020000}"/>
    <cellStyle name="40% - Accent5 3 12" xfId="2368" xr:uid="{00000000-0005-0000-0000-000061020000}"/>
    <cellStyle name="40% - Accent5 3 2" xfId="2365" xr:uid="{00000000-0005-0000-0000-000062020000}"/>
    <cellStyle name="40% - Accent5 3 3" xfId="2364" xr:uid="{00000000-0005-0000-0000-000063020000}"/>
    <cellStyle name="40% - Accent5 3 4" xfId="2363" xr:uid="{00000000-0005-0000-0000-000064020000}"/>
    <cellStyle name="40% - Accent5 3 5" xfId="2362" xr:uid="{00000000-0005-0000-0000-000065020000}"/>
    <cellStyle name="40% - Accent5 3 6" xfId="2361" xr:uid="{00000000-0005-0000-0000-000066020000}"/>
    <cellStyle name="40% - Accent5 3 7" xfId="2360" xr:uid="{00000000-0005-0000-0000-000067020000}"/>
    <cellStyle name="40% - Accent5 3 8" xfId="2359" xr:uid="{00000000-0005-0000-0000-000068020000}"/>
    <cellStyle name="40% - Accent5 3 9" xfId="2358" xr:uid="{00000000-0005-0000-0000-000069020000}"/>
    <cellStyle name="40% - Accent5 4" xfId="2357" xr:uid="{00000000-0005-0000-0000-00006A020000}"/>
    <cellStyle name="40% - Accent5 4 10" xfId="2356" xr:uid="{00000000-0005-0000-0000-00006B020000}"/>
    <cellStyle name="40% - Accent5 4 11" xfId="2355" xr:uid="{00000000-0005-0000-0000-00006C020000}"/>
    <cellStyle name="40% - Accent5 4 2" xfId="2354" xr:uid="{00000000-0005-0000-0000-00006D020000}"/>
    <cellStyle name="40% - Accent5 4 3" xfId="2353" xr:uid="{00000000-0005-0000-0000-00006E020000}"/>
    <cellStyle name="40% - Accent5 4 4" xfId="2352" xr:uid="{00000000-0005-0000-0000-00006F020000}"/>
    <cellStyle name="40% - Accent5 4 5" xfId="2351" xr:uid="{00000000-0005-0000-0000-000070020000}"/>
    <cellStyle name="40% - Accent5 4 6" xfId="2350" xr:uid="{00000000-0005-0000-0000-000071020000}"/>
    <cellStyle name="40% - Accent5 4 7" xfId="2349" xr:uid="{00000000-0005-0000-0000-000072020000}"/>
    <cellStyle name="40% - Accent5 4 8" xfId="2348" xr:uid="{00000000-0005-0000-0000-000073020000}"/>
    <cellStyle name="40% - Accent5 4 9" xfId="2347" xr:uid="{00000000-0005-0000-0000-000074020000}"/>
    <cellStyle name="40% - Accent5 5" xfId="2346" xr:uid="{00000000-0005-0000-0000-000075020000}"/>
    <cellStyle name="40% - Accent5 5 10" xfId="2345" xr:uid="{00000000-0005-0000-0000-000076020000}"/>
    <cellStyle name="40% - Accent5 5 11" xfId="2344" xr:uid="{00000000-0005-0000-0000-000077020000}"/>
    <cellStyle name="40% - Accent5 5 2" xfId="2343" xr:uid="{00000000-0005-0000-0000-000078020000}"/>
    <cellStyle name="40% - Accent5 5 3" xfId="2342" xr:uid="{00000000-0005-0000-0000-000079020000}"/>
    <cellStyle name="40% - Accent5 5 4" xfId="2341" xr:uid="{00000000-0005-0000-0000-00007A020000}"/>
    <cellStyle name="40% - Accent5 5 5" xfId="2340" xr:uid="{00000000-0005-0000-0000-00007B020000}"/>
    <cellStyle name="40% - Accent5 5 6" xfId="2339" xr:uid="{00000000-0005-0000-0000-00007C020000}"/>
    <cellStyle name="40% - Accent5 5 7" xfId="2338" xr:uid="{00000000-0005-0000-0000-00007D020000}"/>
    <cellStyle name="40% - Accent5 5 8" xfId="2337" xr:uid="{00000000-0005-0000-0000-00007E020000}"/>
    <cellStyle name="40% - Accent5 5 9" xfId="2336" xr:uid="{00000000-0005-0000-0000-00007F020000}"/>
    <cellStyle name="40% - Accent5 6" xfId="2335" xr:uid="{00000000-0005-0000-0000-000080020000}"/>
    <cellStyle name="40% - Accent5 7" xfId="2334" xr:uid="{00000000-0005-0000-0000-000081020000}"/>
    <cellStyle name="40% - Accent5 8" xfId="2333" xr:uid="{00000000-0005-0000-0000-000082020000}"/>
    <cellStyle name="40% - Accent5 9" xfId="2332" xr:uid="{00000000-0005-0000-0000-000083020000}"/>
    <cellStyle name="40% - Accent6 10" xfId="2331" xr:uid="{00000000-0005-0000-0000-000084020000}"/>
    <cellStyle name="40% - Accent6 11" xfId="2330" xr:uid="{00000000-0005-0000-0000-000085020000}"/>
    <cellStyle name="40% - Accent6 12" xfId="2329" xr:uid="{00000000-0005-0000-0000-000086020000}"/>
    <cellStyle name="40% - Accent6 13" xfId="2328" xr:uid="{00000000-0005-0000-0000-000087020000}"/>
    <cellStyle name="40% - Accent6 14" xfId="2327" xr:uid="{00000000-0005-0000-0000-000088020000}"/>
    <cellStyle name="40% - Accent6 15" xfId="2326" xr:uid="{00000000-0005-0000-0000-000089020000}"/>
    <cellStyle name="40% - Accent6 16" xfId="41" xr:uid="{00000000-0005-0000-0000-00008A020000}"/>
    <cellStyle name="40% - Accent6 2" xfId="42" xr:uid="{00000000-0005-0000-0000-00008B020000}"/>
    <cellStyle name="40% - Accent6 2 10" xfId="2324" xr:uid="{00000000-0005-0000-0000-00008C020000}"/>
    <cellStyle name="40% - Accent6 2 11" xfId="2323" xr:uid="{00000000-0005-0000-0000-00008D020000}"/>
    <cellStyle name="40% - Accent6 2 12" xfId="2325" xr:uid="{00000000-0005-0000-0000-00008E020000}"/>
    <cellStyle name="40% - Accent6 2 2" xfId="463" xr:uid="{00000000-0005-0000-0000-00008F020000}"/>
    <cellStyle name="40% - Accent6 2 2 2" xfId="2322" xr:uid="{00000000-0005-0000-0000-000090020000}"/>
    <cellStyle name="40% - Accent6 2 3" xfId="2321" xr:uid="{00000000-0005-0000-0000-000091020000}"/>
    <cellStyle name="40% - Accent6 2 4" xfId="2320" xr:uid="{00000000-0005-0000-0000-000092020000}"/>
    <cellStyle name="40% - Accent6 2 5" xfId="2319" xr:uid="{00000000-0005-0000-0000-000093020000}"/>
    <cellStyle name="40% - Accent6 2 6" xfId="2318" xr:uid="{00000000-0005-0000-0000-000094020000}"/>
    <cellStyle name="40% - Accent6 2 7" xfId="2317" xr:uid="{00000000-0005-0000-0000-000095020000}"/>
    <cellStyle name="40% - Accent6 2 8" xfId="2316" xr:uid="{00000000-0005-0000-0000-000096020000}"/>
    <cellStyle name="40% - Accent6 2 9" xfId="2315" xr:uid="{00000000-0005-0000-0000-000097020000}"/>
    <cellStyle name="40% - Accent6 3" xfId="43" xr:uid="{00000000-0005-0000-0000-000098020000}"/>
    <cellStyle name="40% - Accent6 3 10" xfId="2313" xr:uid="{00000000-0005-0000-0000-000099020000}"/>
    <cellStyle name="40% - Accent6 3 11" xfId="2312" xr:uid="{00000000-0005-0000-0000-00009A020000}"/>
    <cellStyle name="40% - Accent6 3 12" xfId="2314" xr:uid="{00000000-0005-0000-0000-00009B020000}"/>
    <cellStyle name="40% - Accent6 3 2" xfId="2311" xr:uid="{00000000-0005-0000-0000-00009C020000}"/>
    <cellStyle name="40% - Accent6 3 3" xfId="2310" xr:uid="{00000000-0005-0000-0000-00009D020000}"/>
    <cellStyle name="40% - Accent6 3 4" xfId="2309" xr:uid="{00000000-0005-0000-0000-00009E020000}"/>
    <cellStyle name="40% - Accent6 3 5" xfId="2308" xr:uid="{00000000-0005-0000-0000-00009F020000}"/>
    <cellStyle name="40% - Accent6 3 6" xfId="2307" xr:uid="{00000000-0005-0000-0000-0000A0020000}"/>
    <cellStyle name="40% - Accent6 3 7" xfId="2306" xr:uid="{00000000-0005-0000-0000-0000A1020000}"/>
    <cellStyle name="40% - Accent6 3 8" xfId="2305" xr:uid="{00000000-0005-0000-0000-0000A2020000}"/>
    <cellStyle name="40% - Accent6 3 9" xfId="2304" xr:uid="{00000000-0005-0000-0000-0000A3020000}"/>
    <cellStyle name="40% - Accent6 4" xfId="2303" xr:uid="{00000000-0005-0000-0000-0000A4020000}"/>
    <cellStyle name="40% - Accent6 4 10" xfId="2302" xr:uid="{00000000-0005-0000-0000-0000A5020000}"/>
    <cellStyle name="40% - Accent6 4 11" xfId="2301" xr:uid="{00000000-0005-0000-0000-0000A6020000}"/>
    <cellStyle name="40% - Accent6 4 2" xfId="2300" xr:uid="{00000000-0005-0000-0000-0000A7020000}"/>
    <cellStyle name="40% - Accent6 4 3" xfId="2299" xr:uid="{00000000-0005-0000-0000-0000A8020000}"/>
    <cellStyle name="40% - Accent6 4 4" xfId="2298" xr:uid="{00000000-0005-0000-0000-0000A9020000}"/>
    <cellStyle name="40% - Accent6 4 5" xfId="2297" xr:uid="{00000000-0005-0000-0000-0000AA020000}"/>
    <cellStyle name="40% - Accent6 4 6" xfId="2296" xr:uid="{00000000-0005-0000-0000-0000AB020000}"/>
    <cellStyle name="40% - Accent6 4 7" xfId="2295" xr:uid="{00000000-0005-0000-0000-0000AC020000}"/>
    <cellStyle name="40% - Accent6 4 8" xfId="2294" xr:uid="{00000000-0005-0000-0000-0000AD020000}"/>
    <cellStyle name="40% - Accent6 4 9" xfId="2293" xr:uid="{00000000-0005-0000-0000-0000AE020000}"/>
    <cellStyle name="40% - Accent6 5" xfId="2292" xr:uid="{00000000-0005-0000-0000-0000AF020000}"/>
    <cellStyle name="40% - Accent6 5 10" xfId="2291" xr:uid="{00000000-0005-0000-0000-0000B0020000}"/>
    <cellStyle name="40% - Accent6 5 11" xfId="2290" xr:uid="{00000000-0005-0000-0000-0000B1020000}"/>
    <cellStyle name="40% - Accent6 5 2" xfId="2289" xr:uid="{00000000-0005-0000-0000-0000B2020000}"/>
    <cellStyle name="40% - Accent6 5 3" xfId="2288" xr:uid="{00000000-0005-0000-0000-0000B3020000}"/>
    <cellStyle name="40% - Accent6 5 4" xfId="2287" xr:uid="{00000000-0005-0000-0000-0000B4020000}"/>
    <cellStyle name="40% - Accent6 5 5" xfId="2286" xr:uid="{00000000-0005-0000-0000-0000B5020000}"/>
    <cellStyle name="40% - Accent6 5 6" xfId="2285" xr:uid="{00000000-0005-0000-0000-0000B6020000}"/>
    <cellStyle name="40% - Accent6 5 7" xfId="2284" xr:uid="{00000000-0005-0000-0000-0000B7020000}"/>
    <cellStyle name="40% - Accent6 5 8" xfId="2283" xr:uid="{00000000-0005-0000-0000-0000B8020000}"/>
    <cellStyle name="40% - Accent6 5 9" xfId="2282" xr:uid="{00000000-0005-0000-0000-0000B9020000}"/>
    <cellStyle name="40% - Accent6 6" xfId="2281" xr:uid="{00000000-0005-0000-0000-0000BA020000}"/>
    <cellStyle name="40% - Accent6 7" xfId="2280" xr:uid="{00000000-0005-0000-0000-0000BB020000}"/>
    <cellStyle name="40% - Accent6 8" xfId="2279" xr:uid="{00000000-0005-0000-0000-0000BC020000}"/>
    <cellStyle name="40% - Accent6 9" xfId="2278" xr:uid="{00000000-0005-0000-0000-0000BD020000}"/>
    <cellStyle name="40% - ส่วนที่ถูกเน้น1" xfId="2277" xr:uid="{00000000-0005-0000-0000-0000BE020000}"/>
    <cellStyle name="40% - ส่วนที่ถูกเน้น2" xfId="2276" xr:uid="{00000000-0005-0000-0000-0000BF020000}"/>
    <cellStyle name="40% - ส่วนที่ถูกเน้น3" xfId="2275" xr:uid="{00000000-0005-0000-0000-0000C0020000}"/>
    <cellStyle name="40% - ส่วนที่ถูกเน้น4" xfId="2274" xr:uid="{00000000-0005-0000-0000-0000C1020000}"/>
    <cellStyle name="40% - ส่วนที่ถูกเน้น5" xfId="2273" xr:uid="{00000000-0005-0000-0000-0000C2020000}"/>
    <cellStyle name="40% - ส่วนที่ถูกเน้น6" xfId="2272" xr:uid="{00000000-0005-0000-0000-0000C3020000}"/>
    <cellStyle name="60% - Accent1 10" xfId="2271" xr:uid="{00000000-0005-0000-0000-0000C4020000}"/>
    <cellStyle name="60% - Accent1 11" xfId="2270" xr:uid="{00000000-0005-0000-0000-0000C5020000}"/>
    <cellStyle name="60% - Accent1 12" xfId="2269" xr:uid="{00000000-0005-0000-0000-0000C6020000}"/>
    <cellStyle name="60% - Accent1 13" xfId="2268" xr:uid="{00000000-0005-0000-0000-0000C7020000}"/>
    <cellStyle name="60% - Accent1 14" xfId="2267" xr:uid="{00000000-0005-0000-0000-0000C8020000}"/>
    <cellStyle name="60% - Accent1 15" xfId="2266" xr:uid="{00000000-0005-0000-0000-0000C9020000}"/>
    <cellStyle name="60% - Accent1 16" xfId="44" xr:uid="{00000000-0005-0000-0000-0000CA020000}"/>
    <cellStyle name="60% - Accent1 2" xfId="45" xr:uid="{00000000-0005-0000-0000-0000CB020000}"/>
    <cellStyle name="60% - Accent1 2 10" xfId="2264" xr:uid="{00000000-0005-0000-0000-0000CC020000}"/>
    <cellStyle name="60% - Accent1 2 11" xfId="2263" xr:uid="{00000000-0005-0000-0000-0000CD020000}"/>
    <cellStyle name="60% - Accent1 2 12" xfId="2265" xr:uid="{00000000-0005-0000-0000-0000CE020000}"/>
    <cellStyle name="60% - Accent1 2 2" xfId="465" xr:uid="{00000000-0005-0000-0000-0000CF020000}"/>
    <cellStyle name="60% - Accent1 2 2 2" xfId="2262" xr:uid="{00000000-0005-0000-0000-0000D0020000}"/>
    <cellStyle name="60% - Accent1 2 3" xfId="2261" xr:uid="{00000000-0005-0000-0000-0000D1020000}"/>
    <cellStyle name="60% - Accent1 2 4" xfId="2260" xr:uid="{00000000-0005-0000-0000-0000D2020000}"/>
    <cellStyle name="60% - Accent1 2 5" xfId="2259" xr:uid="{00000000-0005-0000-0000-0000D3020000}"/>
    <cellStyle name="60% - Accent1 2 6" xfId="2258" xr:uid="{00000000-0005-0000-0000-0000D4020000}"/>
    <cellStyle name="60% - Accent1 2 7" xfId="2257" xr:uid="{00000000-0005-0000-0000-0000D5020000}"/>
    <cellStyle name="60% - Accent1 2 8" xfId="2256" xr:uid="{00000000-0005-0000-0000-0000D6020000}"/>
    <cellStyle name="60% - Accent1 2 9" xfId="2255" xr:uid="{00000000-0005-0000-0000-0000D7020000}"/>
    <cellStyle name="60% - Accent1 3" xfId="46" xr:uid="{00000000-0005-0000-0000-0000D8020000}"/>
    <cellStyle name="60% - Accent1 3 10" xfId="2253" xr:uid="{00000000-0005-0000-0000-0000D9020000}"/>
    <cellStyle name="60% - Accent1 3 11" xfId="2252" xr:uid="{00000000-0005-0000-0000-0000DA020000}"/>
    <cellStyle name="60% - Accent1 3 12" xfId="2254" xr:uid="{00000000-0005-0000-0000-0000DB020000}"/>
    <cellStyle name="60% - Accent1 3 2" xfId="2251" xr:uid="{00000000-0005-0000-0000-0000DC020000}"/>
    <cellStyle name="60% - Accent1 3 3" xfId="2250" xr:uid="{00000000-0005-0000-0000-0000DD020000}"/>
    <cellStyle name="60% - Accent1 3 4" xfId="2249" xr:uid="{00000000-0005-0000-0000-0000DE020000}"/>
    <cellStyle name="60% - Accent1 3 5" xfId="2248" xr:uid="{00000000-0005-0000-0000-0000DF020000}"/>
    <cellStyle name="60% - Accent1 3 6" xfId="2247" xr:uid="{00000000-0005-0000-0000-0000E0020000}"/>
    <cellStyle name="60% - Accent1 3 7" xfId="2246" xr:uid="{00000000-0005-0000-0000-0000E1020000}"/>
    <cellStyle name="60% - Accent1 3 8" xfId="2245" xr:uid="{00000000-0005-0000-0000-0000E2020000}"/>
    <cellStyle name="60% - Accent1 3 9" xfId="2244" xr:uid="{00000000-0005-0000-0000-0000E3020000}"/>
    <cellStyle name="60% - Accent1 4" xfId="2243" xr:uid="{00000000-0005-0000-0000-0000E4020000}"/>
    <cellStyle name="60% - Accent1 4 10" xfId="2242" xr:uid="{00000000-0005-0000-0000-0000E5020000}"/>
    <cellStyle name="60% - Accent1 4 11" xfId="2241" xr:uid="{00000000-0005-0000-0000-0000E6020000}"/>
    <cellStyle name="60% - Accent1 4 2" xfId="2240" xr:uid="{00000000-0005-0000-0000-0000E7020000}"/>
    <cellStyle name="60% - Accent1 4 3" xfId="2239" xr:uid="{00000000-0005-0000-0000-0000E8020000}"/>
    <cellStyle name="60% - Accent1 4 4" xfId="2238" xr:uid="{00000000-0005-0000-0000-0000E9020000}"/>
    <cellStyle name="60% - Accent1 4 5" xfId="2237" xr:uid="{00000000-0005-0000-0000-0000EA020000}"/>
    <cellStyle name="60% - Accent1 4 6" xfId="2236" xr:uid="{00000000-0005-0000-0000-0000EB020000}"/>
    <cellStyle name="60% - Accent1 4 7" xfId="2235" xr:uid="{00000000-0005-0000-0000-0000EC020000}"/>
    <cellStyle name="60% - Accent1 4 8" xfId="2234" xr:uid="{00000000-0005-0000-0000-0000ED020000}"/>
    <cellStyle name="60% - Accent1 4 9" xfId="2233" xr:uid="{00000000-0005-0000-0000-0000EE020000}"/>
    <cellStyle name="60% - Accent1 5" xfId="2232" xr:uid="{00000000-0005-0000-0000-0000EF020000}"/>
    <cellStyle name="60% - Accent1 5 10" xfId="2231" xr:uid="{00000000-0005-0000-0000-0000F0020000}"/>
    <cellStyle name="60% - Accent1 5 11" xfId="2230" xr:uid="{00000000-0005-0000-0000-0000F1020000}"/>
    <cellStyle name="60% - Accent1 5 2" xfId="2229" xr:uid="{00000000-0005-0000-0000-0000F2020000}"/>
    <cellStyle name="60% - Accent1 5 3" xfId="2228" xr:uid="{00000000-0005-0000-0000-0000F3020000}"/>
    <cellStyle name="60% - Accent1 5 4" xfId="2227" xr:uid="{00000000-0005-0000-0000-0000F4020000}"/>
    <cellStyle name="60% - Accent1 5 5" xfId="2226" xr:uid="{00000000-0005-0000-0000-0000F5020000}"/>
    <cellStyle name="60% - Accent1 5 6" xfId="2225" xr:uid="{00000000-0005-0000-0000-0000F6020000}"/>
    <cellStyle name="60% - Accent1 5 7" xfId="2224" xr:uid="{00000000-0005-0000-0000-0000F7020000}"/>
    <cellStyle name="60% - Accent1 5 8" xfId="2223" xr:uid="{00000000-0005-0000-0000-0000F8020000}"/>
    <cellStyle name="60% - Accent1 5 9" xfId="2222" xr:uid="{00000000-0005-0000-0000-0000F9020000}"/>
    <cellStyle name="60% - Accent1 6" xfId="2221" xr:uid="{00000000-0005-0000-0000-0000FA020000}"/>
    <cellStyle name="60% - Accent1 7" xfId="2220" xr:uid="{00000000-0005-0000-0000-0000FB020000}"/>
    <cellStyle name="60% - Accent1 8" xfId="2219" xr:uid="{00000000-0005-0000-0000-0000FC020000}"/>
    <cellStyle name="60% - Accent1 9" xfId="2218" xr:uid="{00000000-0005-0000-0000-0000FD020000}"/>
    <cellStyle name="60% - Accent2 10" xfId="2217" xr:uid="{00000000-0005-0000-0000-0000FE020000}"/>
    <cellStyle name="60% - Accent2 11" xfId="2216" xr:uid="{00000000-0005-0000-0000-0000FF020000}"/>
    <cellStyle name="60% - Accent2 12" xfId="2215" xr:uid="{00000000-0005-0000-0000-000000030000}"/>
    <cellStyle name="60% - Accent2 13" xfId="2214" xr:uid="{00000000-0005-0000-0000-000001030000}"/>
    <cellStyle name="60% - Accent2 14" xfId="2213" xr:uid="{00000000-0005-0000-0000-000002030000}"/>
    <cellStyle name="60% - Accent2 15" xfId="2212" xr:uid="{00000000-0005-0000-0000-000003030000}"/>
    <cellStyle name="60% - Accent2 16" xfId="47" xr:uid="{00000000-0005-0000-0000-000004030000}"/>
    <cellStyle name="60% - Accent2 2" xfId="48" xr:uid="{00000000-0005-0000-0000-000005030000}"/>
    <cellStyle name="60% - Accent2 2 10" xfId="2210" xr:uid="{00000000-0005-0000-0000-000006030000}"/>
    <cellStyle name="60% - Accent2 2 11" xfId="2209" xr:uid="{00000000-0005-0000-0000-000007030000}"/>
    <cellStyle name="60% - Accent2 2 12" xfId="2211" xr:uid="{00000000-0005-0000-0000-000008030000}"/>
    <cellStyle name="60% - Accent2 2 2" xfId="467" xr:uid="{00000000-0005-0000-0000-000009030000}"/>
    <cellStyle name="60% - Accent2 2 2 2" xfId="2208" xr:uid="{00000000-0005-0000-0000-00000A030000}"/>
    <cellStyle name="60% - Accent2 2 3" xfId="2207" xr:uid="{00000000-0005-0000-0000-00000B030000}"/>
    <cellStyle name="60% - Accent2 2 4" xfId="2206" xr:uid="{00000000-0005-0000-0000-00000C030000}"/>
    <cellStyle name="60% - Accent2 2 5" xfId="2205" xr:uid="{00000000-0005-0000-0000-00000D030000}"/>
    <cellStyle name="60% - Accent2 2 6" xfId="2204" xr:uid="{00000000-0005-0000-0000-00000E030000}"/>
    <cellStyle name="60% - Accent2 2 7" xfId="2203" xr:uid="{00000000-0005-0000-0000-00000F030000}"/>
    <cellStyle name="60% - Accent2 2 8" xfId="2202" xr:uid="{00000000-0005-0000-0000-000010030000}"/>
    <cellStyle name="60% - Accent2 2 9" xfId="2201" xr:uid="{00000000-0005-0000-0000-000011030000}"/>
    <cellStyle name="60% - Accent2 3" xfId="49" xr:uid="{00000000-0005-0000-0000-000012030000}"/>
    <cellStyle name="60% - Accent2 3 10" xfId="2199" xr:uid="{00000000-0005-0000-0000-000013030000}"/>
    <cellStyle name="60% - Accent2 3 11" xfId="2198" xr:uid="{00000000-0005-0000-0000-000014030000}"/>
    <cellStyle name="60% - Accent2 3 12" xfId="2200" xr:uid="{00000000-0005-0000-0000-000015030000}"/>
    <cellStyle name="60% - Accent2 3 2" xfId="2197" xr:uid="{00000000-0005-0000-0000-000016030000}"/>
    <cellStyle name="60% - Accent2 3 3" xfId="2196" xr:uid="{00000000-0005-0000-0000-000017030000}"/>
    <cellStyle name="60% - Accent2 3 4" xfId="2195" xr:uid="{00000000-0005-0000-0000-000018030000}"/>
    <cellStyle name="60% - Accent2 3 5" xfId="2194" xr:uid="{00000000-0005-0000-0000-000019030000}"/>
    <cellStyle name="60% - Accent2 3 6" xfId="2193" xr:uid="{00000000-0005-0000-0000-00001A030000}"/>
    <cellStyle name="60% - Accent2 3 7" xfId="2192" xr:uid="{00000000-0005-0000-0000-00001B030000}"/>
    <cellStyle name="60% - Accent2 3 8" xfId="2191" xr:uid="{00000000-0005-0000-0000-00001C030000}"/>
    <cellStyle name="60% - Accent2 3 9" xfId="2190" xr:uid="{00000000-0005-0000-0000-00001D030000}"/>
    <cellStyle name="60% - Accent2 4" xfId="2189" xr:uid="{00000000-0005-0000-0000-00001E030000}"/>
    <cellStyle name="60% - Accent2 4 10" xfId="2188" xr:uid="{00000000-0005-0000-0000-00001F030000}"/>
    <cellStyle name="60% - Accent2 4 11" xfId="2187" xr:uid="{00000000-0005-0000-0000-000020030000}"/>
    <cellStyle name="60% - Accent2 4 2" xfId="2186" xr:uid="{00000000-0005-0000-0000-000021030000}"/>
    <cellStyle name="60% - Accent2 4 3" xfId="2185" xr:uid="{00000000-0005-0000-0000-000022030000}"/>
    <cellStyle name="60% - Accent2 4 4" xfId="2184" xr:uid="{00000000-0005-0000-0000-000023030000}"/>
    <cellStyle name="60% - Accent2 4 5" xfId="2183" xr:uid="{00000000-0005-0000-0000-000024030000}"/>
    <cellStyle name="60% - Accent2 4 6" xfId="2182" xr:uid="{00000000-0005-0000-0000-000025030000}"/>
    <cellStyle name="60% - Accent2 4 7" xfId="2181" xr:uid="{00000000-0005-0000-0000-000026030000}"/>
    <cellStyle name="60% - Accent2 4 8" xfId="2180" xr:uid="{00000000-0005-0000-0000-000027030000}"/>
    <cellStyle name="60% - Accent2 4 9" xfId="2179" xr:uid="{00000000-0005-0000-0000-000028030000}"/>
    <cellStyle name="60% - Accent2 5" xfId="2178" xr:uid="{00000000-0005-0000-0000-000029030000}"/>
    <cellStyle name="60% - Accent2 5 10" xfId="2177" xr:uid="{00000000-0005-0000-0000-00002A030000}"/>
    <cellStyle name="60% - Accent2 5 11" xfId="2176" xr:uid="{00000000-0005-0000-0000-00002B030000}"/>
    <cellStyle name="60% - Accent2 5 2" xfId="2175" xr:uid="{00000000-0005-0000-0000-00002C030000}"/>
    <cellStyle name="60% - Accent2 5 3" xfId="2174" xr:uid="{00000000-0005-0000-0000-00002D030000}"/>
    <cellStyle name="60% - Accent2 5 4" xfId="2173" xr:uid="{00000000-0005-0000-0000-00002E030000}"/>
    <cellStyle name="60% - Accent2 5 5" xfId="2172" xr:uid="{00000000-0005-0000-0000-00002F030000}"/>
    <cellStyle name="60% - Accent2 5 6" xfId="2171" xr:uid="{00000000-0005-0000-0000-000030030000}"/>
    <cellStyle name="60% - Accent2 5 7" xfId="2170" xr:uid="{00000000-0005-0000-0000-000031030000}"/>
    <cellStyle name="60% - Accent2 5 8" xfId="2169" xr:uid="{00000000-0005-0000-0000-000032030000}"/>
    <cellStyle name="60% - Accent2 5 9" xfId="2168" xr:uid="{00000000-0005-0000-0000-000033030000}"/>
    <cellStyle name="60% - Accent2 6" xfId="2167" xr:uid="{00000000-0005-0000-0000-000034030000}"/>
    <cellStyle name="60% - Accent2 7" xfId="2166" xr:uid="{00000000-0005-0000-0000-000035030000}"/>
    <cellStyle name="60% - Accent2 8" xfId="2165" xr:uid="{00000000-0005-0000-0000-000036030000}"/>
    <cellStyle name="60% - Accent2 9" xfId="2164" xr:uid="{00000000-0005-0000-0000-000037030000}"/>
    <cellStyle name="60% - Accent3 10" xfId="2163" xr:uid="{00000000-0005-0000-0000-000038030000}"/>
    <cellStyle name="60% - Accent3 11" xfId="2162" xr:uid="{00000000-0005-0000-0000-000039030000}"/>
    <cellStyle name="60% - Accent3 12" xfId="2161" xr:uid="{00000000-0005-0000-0000-00003A030000}"/>
    <cellStyle name="60% - Accent3 13" xfId="2160" xr:uid="{00000000-0005-0000-0000-00003B030000}"/>
    <cellStyle name="60% - Accent3 14" xfId="2159" xr:uid="{00000000-0005-0000-0000-00003C030000}"/>
    <cellStyle name="60% - Accent3 15" xfId="2158" xr:uid="{00000000-0005-0000-0000-00003D030000}"/>
    <cellStyle name="60% - Accent3 16" xfId="50" xr:uid="{00000000-0005-0000-0000-00003E030000}"/>
    <cellStyle name="60% - Accent3 2" xfId="51" xr:uid="{00000000-0005-0000-0000-00003F030000}"/>
    <cellStyle name="60% - Accent3 2 10" xfId="2156" xr:uid="{00000000-0005-0000-0000-000040030000}"/>
    <cellStyle name="60% - Accent3 2 11" xfId="2155" xr:uid="{00000000-0005-0000-0000-000041030000}"/>
    <cellStyle name="60% - Accent3 2 12" xfId="2157" xr:uid="{00000000-0005-0000-0000-000042030000}"/>
    <cellStyle name="60% - Accent3 2 2" xfId="469" xr:uid="{00000000-0005-0000-0000-000043030000}"/>
    <cellStyle name="60% - Accent3 2 2 2" xfId="2154" xr:uid="{00000000-0005-0000-0000-000044030000}"/>
    <cellStyle name="60% - Accent3 2 3" xfId="2153" xr:uid="{00000000-0005-0000-0000-000045030000}"/>
    <cellStyle name="60% - Accent3 2 4" xfId="2152" xr:uid="{00000000-0005-0000-0000-000046030000}"/>
    <cellStyle name="60% - Accent3 2 5" xfId="2151" xr:uid="{00000000-0005-0000-0000-000047030000}"/>
    <cellStyle name="60% - Accent3 2 6" xfId="2150" xr:uid="{00000000-0005-0000-0000-000048030000}"/>
    <cellStyle name="60% - Accent3 2 7" xfId="2149" xr:uid="{00000000-0005-0000-0000-000049030000}"/>
    <cellStyle name="60% - Accent3 2 8" xfId="2148" xr:uid="{00000000-0005-0000-0000-00004A030000}"/>
    <cellStyle name="60% - Accent3 2 9" xfId="2147" xr:uid="{00000000-0005-0000-0000-00004B030000}"/>
    <cellStyle name="60% - Accent3 3" xfId="52" xr:uid="{00000000-0005-0000-0000-00004C030000}"/>
    <cellStyle name="60% - Accent3 3 10" xfId="2145" xr:uid="{00000000-0005-0000-0000-00004D030000}"/>
    <cellStyle name="60% - Accent3 3 11" xfId="2144" xr:uid="{00000000-0005-0000-0000-00004E030000}"/>
    <cellStyle name="60% - Accent3 3 12" xfId="2146" xr:uid="{00000000-0005-0000-0000-00004F030000}"/>
    <cellStyle name="60% - Accent3 3 2" xfId="2143" xr:uid="{00000000-0005-0000-0000-000050030000}"/>
    <cellStyle name="60% - Accent3 3 3" xfId="2142" xr:uid="{00000000-0005-0000-0000-000051030000}"/>
    <cellStyle name="60% - Accent3 3 4" xfId="2141" xr:uid="{00000000-0005-0000-0000-000052030000}"/>
    <cellStyle name="60% - Accent3 3 5" xfId="2140" xr:uid="{00000000-0005-0000-0000-000053030000}"/>
    <cellStyle name="60% - Accent3 3 6" xfId="2139" xr:uid="{00000000-0005-0000-0000-000054030000}"/>
    <cellStyle name="60% - Accent3 3 7" xfId="2138" xr:uid="{00000000-0005-0000-0000-000055030000}"/>
    <cellStyle name="60% - Accent3 3 8" xfId="2137" xr:uid="{00000000-0005-0000-0000-000056030000}"/>
    <cellStyle name="60% - Accent3 3 9" xfId="2136" xr:uid="{00000000-0005-0000-0000-000057030000}"/>
    <cellStyle name="60% - Accent3 4" xfId="2135" xr:uid="{00000000-0005-0000-0000-000058030000}"/>
    <cellStyle name="60% - Accent3 4 10" xfId="2134" xr:uid="{00000000-0005-0000-0000-000059030000}"/>
    <cellStyle name="60% - Accent3 4 11" xfId="2133" xr:uid="{00000000-0005-0000-0000-00005A030000}"/>
    <cellStyle name="60% - Accent3 4 2" xfId="2132" xr:uid="{00000000-0005-0000-0000-00005B030000}"/>
    <cellStyle name="60% - Accent3 4 3" xfId="2131" xr:uid="{00000000-0005-0000-0000-00005C030000}"/>
    <cellStyle name="60% - Accent3 4 4" xfId="2130" xr:uid="{00000000-0005-0000-0000-00005D030000}"/>
    <cellStyle name="60% - Accent3 4 5" xfId="2129" xr:uid="{00000000-0005-0000-0000-00005E030000}"/>
    <cellStyle name="60% - Accent3 4 6" xfId="2128" xr:uid="{00000000-0005-0000-0000-00005F030000}"/>
    <cellStyle name="60% - Accent3 4 7" xfId="2127" xr:uid="{00000000-0005-0000-0000-000060030000}"/>
    <cellStyle name="60% - Accent3 4 8" xfId="2126" xr:uid="{00000000-0005-0000-0000-000061030000}"/>
    <cellStyle name="60% - Accent3 4 9" xfId="2125" xr:uid="{00000000-0005-0000-0000-000062030000}"/>
    <cellStyle name="60% - Accent3 5" xfId="2124" xr:uid="{00000000-0005-0000-0000-000063030000}"/>
    <cellStyle name="60% - Accent3 5 10" xfId="2123" xr:uid="{00000000-0005-0000-0000-000064030000}"/>
    <cellStyle name="60% - Accent3 5 11" xfId="2122" xr:uid="{00000000-0005-0000-0000-000065030000}"/>
    <cellStyle name="60% - Accent3 5 2" xfId="2121" xr:uid="{00000000-0005-0000-0000-000066030000}"/>
    <cellStyle name="60% - Accent3 5 3" xfId="2120" xr:uid="{00000000-0005-0000-0000-000067030000}"/>
    <cellStyle name="60% - Accent3 5 4" xfId="2119" xr:uid="{00000000-0005-0000-0000-000068030000}"/>
    <cellStyle name="60% - Accent3 5 5" xfId="2118" xr:uid="{00000000-0005-0000-0000-000069030000}"/>
    <cellStyle name="60% - Accent3 5 6" xfId="2117" xr:uid="{00000000-0005-0000-0000-00006A030000}"/>
    <cellStyle name="60% - Accent3 5 7" xfId="2116" xr:uid="{00000000-0005-0000-0000-00006B030000}"/>
    <cellStyle name="60% - Accent3 5 8" xfId="2115" xr:uid="{00000000-0005-0000-0000-00006C030000}"/>
    <cellStyle name="60% - Accent3 5 9" xfId="2114" xr:uid="{00000000-0005-0000-0000-00006D030000}"/>
    <cellStyle name="60% - Accent3 6" xfId="2113" xr:uid="{00000000-0005-0000-0000-00006E030000}"/>
    <cellStyle name="60% - Accent3 7" xfId="2112" xr:uid="{00000000-0005-0000-0000-00006F030000}"/>
    <cellStyle name="60% - Accent3 8" xfId="2111" xr:uid="{00000000-0005-0000-0000-000070030000}"/>
    <cellStyle name="60% - Accent3 9" xfId="2110" xr:uid="{00000000-0005-0000-0000-000071030000}"/>
    <cellStyle name="60% - Accent4 10" xfId="2109" xr:uid="{00000000-0005-0000-0000-000072030000}"/>
    <cellStyle name="60% - Accent4 11" xfId="2108" xr:uid="{00000000-0005-0000-0000-000073030000}"/>
    <cellStyle name="60% - Accent4 12" xfId="2107" xr:uid="{00000000-0005-0000-0000-000074030000}"/>
    <cellStyle name="60% - Accent4 13" xfId="2106" xr:uid="{00000000-0005-0000-0000-000075030000}"/>
    <cellStyle name="60% - Accent4 14" xfId="2105" xr:uid="{00000000-0005-0000-0000-000076030000}"/>
    <cellStyle name="60% - Accent4 15" xfId="2104" xr:uid="{00000000-0005-0000-0000-000077030000}"/>
    <cellStyle name="60% - Accent4 16" xfId="53" xr:uid="{00000000-0005-0000-0000-000078030000}"/>
    <cellStyle name="60% - Accent4 2" xfId="54" xr:uid="{00000000-0005-0000-0000-000079030000}"/>
    <cellStyle name="60% - Accent4 2 10" xfId="2102" xr:uid="{00000000-0005-0000-0000-00007A030000}"/>
    <cellStyle name="60% - Accent4 2 11" xfId="2101" xr:uid="{00000000-0005-0000-0000-00007B030000}"/>
    <cellStyle name="60% - Accent4 2 12" xfId="2103" xr:uid="{00000000-0005-0000-0000-00007C030000}"/>
    <cellStyle name="60% - Accent4 2 2" xfId="471" xr:uid="{00000000-0005-0000-0000-00007D030000}"/>
    <cellStyle name="60% - Accent4 2 2 2" xfId="2100" xr:uid="{00000000-0005-0000-0000-00007E030000}"/>
    <cellStyle name="60% - Accent4 2 3" xfId="2099" xr:uid="{00000000-0005-0000-0000-00007F030000}"/>
    <cellStyle name="60% - Accent4 2 4" xfId="2098" xr:uid="{00000000-0005-0000-0000-000080030000}"/>
    <cellStyle name="60% - Accent4 2 5" xfId="2097" xr:uid="{00000000-0005-0000-0000-000081030000}"/>
    <cellStyle name="60% - Accent4 2 6" xfId="2096" xr:uid="{00000000-0005-0000-0000-000082030000}"/>
    <cellStyle name="60% - Accent4 2 7" xfId="2095" xr:uid="{00000000-0005-0000-0000-000083030000}"/>
    <cellStyle name="60% - Accent4 2 8" xfId="2094" xr:uid="{00000000-0005-0000-0000-000084030000}"/>
    <cellStyle name="60% - Accent4 2 9" xfId="2093" xr:uid="{00000000-0005-0000-0000-000085030000}"/>
    <cellStyle name="60% - Accent4 3" xfId="55" xr:uid="{00000000-0005-0000-0000-000086030000}"/>
    <cellStyle name="60% - Accent4 3 10" xfId="2091" xr:uid="{00000000-0005-0000-0000-000087030000}"/>
    <cellStyle name="60% - Accent4 3 11" xfId="2090" xr:uid="{00000000-0005-0000-0000-000088030000}"/>
    <cellStyle name="60% - Accent4 3 12" xfId="2092" xr:uid="{00000000-0005-0000-0000-000089030000}"/>
    <cellStyle name="60% - Accent4 3 2" xfId="2089" xr:uid="{00000000-0005-0000-0000-00008A030000}"/>
    <cellStyle name="60% - Accent4 3 3" xfId="2088" xr:uid="{00000000-0005-0000-0000-00008B030000}"/>
    <cellStyle name="60% - Accent4 3 4" xfId="2087" xr:uid="{00000000-0005-0000-0000-00008C030000}"/>
    <cellStyle name="60% - Accent4 3 5" xfId="2086" xr:uid="{00000000-0005-0000-0000-00008D030000}"/>
    <cellStyle name="60% - Accent4 3 6" xfId="2085" xr:uid="{00000000-0005-0000-0000-00008E030000}"/>
    <cellStyle name="60% - Accent4 3 7" xfId="2084" xr:uid="{00000000-0005-0000-0000-00008F030000}"/>
    <cellStyle name="60% - Accent4 3 8" xfId="2083" xr:uid="{00000000-0005-0000-0000-000090030000}"/>
    <cellStyle name="60% - Accent4 3 9" xfId="2082" xr:uid="{00000000-0005-0000-0000-000091030000}"/>
    <cellStyle name="60% - Accent4 4" xfId="2081" xr:uid="{00000000-0005-0000-0000-000092030000}"/>
    <cellStyle name="60% - Accent4 4 10" xfId="2080" xr:uid="{00000000-0005-0000-0000-000093030000}"/>
    <cellStyle name="60% - Accent4 4 11" xfId="2079" xr:uid="{00000000-0005-0000-0000-000094030000}"/>
    <cellStyle name="60% - Accent4 4 2" xfId="2078" xr:uid="{00000000-0005-0000-0000-000095030000}"/>
    <cellStyle name="60% - Accent4 4 3" xfId="2077" xr:uid="{00000000-0005-0000-0000-000096030000}"/>
    <cellStyle name="60% - Accent4 4 4" xfId="2076" xr:uid="{00000000-0005-0000-0000-000097030000}"/>
    <cellStyle name="60% - Accent4 4 5" xfId="2075" xr:uid="{00000000-0005-0000-0000-000098030000}"/>
    <cellStyle name="60% - Accent4 4 6" xfId="2074" xr:uid="{00000000-0005-0000-0000-000099030000}"/>
    <cellStyle name="60% - Accent4 4 7" xfId="2073" xr:uid="{00000000-0005-0000-0000-00009A030000}"/>
    <cellStyle name="60% - Accent4 4 8" xfId="2072" xr:uid="{00000000-0005-0000-0000-00009B030000}"/>
    <cellStyle name="60% - Accent4 4 9" xfId="2071" xr:uid="{00000000-0005-0000-0000-00009C030000}"/>
    <cellStyle name="60% - Accent4 5" xfId="2070" xr:uid="{00000000-0005-0000-0000-00009D030000}"/>
    <cellStyle name="60% - Accent4 5 10" xfId="2069" xr:uid="{00000000-0005-0000-0000-00009E030000}"/>
    <cellStyle name="60% - Accent4 5 11" xfId="2068" xr:uid="{00000000-0005-0000-0000-00009F030000}"/>
    <cellStyle name="60% - Accent4 5 2" xfId="2067" xr:uid="{00000000-0005-0000-0000-0000A0030000}"/>
    <cellStyle name="60% - Accent4 5 3" xfId="2066" xr:uid="{00000000-0005-0000-0000-0000A1030000}"/>
    <cellStyle name="60% - Accent4 5 4" xfId="2065" xr:uid="{00000000-0005-0000-0000-0000A2030000}"/>
    <cellStyle name="60% - Accent4 5 5" xfId="2064" xr:uid="{00000000-0005-0000-0000-0000A3030000}"/>
    <cellStyle name="60% - Accent4 5 6" xfId="2063" xr:uid="{00000000-0005-0000-0000-0000A4030000}"/>
    <cellStyle name="60% - Accent4 5 7" xfId="2062" xr:uid="{00000000-0005-0000-0000-0000A5030000}"/>
    <cellStyle name="60% - Accent4 5 8" xfId="2061" xr:uid="{00000000-0005-0000-0000-0000A6030000}"/>
    <cellStyle name="60% - Accent4 5 9" xfId="2060" xr:uid="{00000000-0005-0000-0000-0000A7030000}"/>
    <cellStyle name="60% - Accent4 6" xfId="2059" xr:uid="{00000000-0005-0000-0000-0000A8030000}"/>
    <cellStyle name="60% - Accent4 7" xfId="2058" xr:uid="{00000000-0005-0000-0000-0000A9030000}"/>
    <cellStyle name="60% - Accent4 8" xfId="2057" xr:uid="{00000000-0005-0000-0000-0000AA030000}"/>
    <cellStyle name="60% - Accent4 9" xfId="2056" xr:uid="{00000000-0005-0000-0000-0000AB030000}"/>
    <cellStyle name="60% - Accent5 10" xfId="2055" xr:uid="{00000000-0005-0000-0000-0000AC030000}"/>
    <cellStyle name="60% - Accent5 11" xfId="2054" xr:uid="{00000000-0005-0000-0000-0000AD030000}"/>
    <cellStyle name="60% - Accent5 12" xfId="2053" xr:uid="{00000000-0005-0000-0000-0000AE030000}"/>
    <cellStyle name="60% - Accent5 13" xfId="2052" xr:uid="{00000000-0005-0000-0000-0000AF030000}"/>
    <cellStyle name="60% - Accent5 14" xfId="2051" xr:uid="{00000000-0005-0000-0000-0000B0030000}"/>
    <cellStyle name="60% - Accent5 15" xfId="2050" xr:uid="{00000000-0005-0000-0000-0000B1030000}"/>
    <cellStyle name="60% - Accent5 16" xfId="56" xr:uid="{00000000-0005-0000-0000-0000B2030000}"/>
    <cellStyle name="60% - Accent5 2" xfId="57" xr:uid="{00000000-0005-0000-0000-0000B3030000}"/>
    <cellStyle name="60% - Accent5 2 10" xfId="2048" xr:uid="{00000000-0005-0000-0000-0000B4030000}"/>
    <cellStyle name="60% - Accent5 2 11" xfId="2047" xr:uid="{00000000-0005-0000-0000-0000B5030000}"/>
    <cellStyle name="60% - Accent5 2 12" xfId="2049" xr:uid="{00000000-0005-0000-0000-0000B6030000}"/>
    <cellStyle name="60% - Accent5 2 2" xfId="473" xr:uid="{00000000-0005-0000-0000-0000B7030000}"/>
    <cellStyle name="60% - Accent5 2 2 2" xfId="2046" xr:uid="{00000000-0005-0000-0000-0000B8030000}"/>
    <cellStyle name="60% - Accent5 2 3" xfId="2045" xr:uid="{00000000-0005-0000-0000-0000B9030000}"/>
    <cellStyle name="60% - Accent5 2 4" xfId="2044" xr:uid="{00000000-0005-0000-0000-0000BA030000}"/>
    <cellStyle name="60% - Accent5 2 5" xfId="2043" xr:uid="{00000000-0005-0000-0000-0000BB030000}"/>
    <cellStyle name="60% - Accent5 2 6" xfId="2042" xr:uid="{00000000-0005-0000-0000-0000BC030000}"/>
    <cellStyle name="60% - Accent5 2 7" xfId="2041" xr:uid="{00000000-0005-0000-0000-0000BD030000}"/>
    <cellStyle name="60% - Accent5 2 8" xfId="2040" xr:uid="{00000000-0005-0000-0000-0000BE030000}"/>
    <cellStyle name="60% - Accent5 2 9" xfId="2039" xr:uid="{00000000-0005-0000-0000-0000BF030000}"/>
    <cellStyle name="60% - Accent5 3" xfId="58" xr:uid="{00000000-0005-0000-0000-0000C0030000}"/>
    <cellStyle name="60% - Accent5 3 10" xfId="2037" xr:uid="{00000000-0005-0000-0000-0000C1030000}"/>
    <cellStyle name="60% - Accent5 3 11" xfId="2036" xr:uid="{00000000-0005-0000-0000-0000C2030000}"/>
    <cellStyle name="60% - Accent5 3 12" xfId="2038" xr:uid="{00000000-0005-0000-0000-0000C3030000}"/>
    <cellStyle name="60% - Accent5 3 2" xfId="2035" xr:uid="{00000000-0005-0000-0000-0000C4030000}"/>
    <cellStyle name="60% - Accent5 3 3" xfId="2034" xr:uid="{00000000-0005-0000-0000-0000C5030000}"/>
    <cellStyle name="60% - Accent5 3 4" xfId="2033" xr:uid="{00000000-0005-0000-0000-0000C6030000}"/>
    <cellStyle name="60% - Accent5 3 5" xfId="2032" xr:uid="{00000000-0005-0000-0000-0000C7030000}"/>
    <cellStyle name="60% - Accent5 3 6" xfId="2031" xr:uid="{00000000-0005-0000-0000-0000C8030000}"/>
    <cellStyle name="60% - Accent5 3 7" xfId="2030" xr:uid="{00000000-0005-0000-0000-0000C9030000}"/>
    <cellStyle name="60% - Accent5 3 8" xfId="2029" xr:uid="{00000000-0005-0000-0000-0000CA030000}"/>
    <cellStyle name="60% - Accent5 3 9" xfId="2028" xr:uid="{00000000-0005-0000-0000-0000CB030000}"/>
    <cellStyle name="60% - Accent5 4" xfId="2027" xr:uid="{00000000-0005-0000-0000-0000CC030000}"/>
    <cellStyle name="60% - Accent5 4 10" xfId="2026" xr:uid="{00000000-0005-0000-0000-0000CD030000}"/>
    <cellStyle name="60% - Accent5 4 11" xfId="2025" xr:uid="{00000000-0005-0000-0000-0000CE030000}"/>
    <cellStyle name="60% - Accent5 4 2" xfId="2024" xr:uid="{00000000-0005-0000-0000-0000CF030000}"/>
    <cellStyle name="60% - Accent5 4 3" xfId="2023" xr:uid="{00000000-0005-0000-0000-0000D0030000}"/>
    <cellStyle name="60% - Accent5 4 4" xfId="2022" xr:uid="{00000000-0005-0000-0000-0000D1030000}"/>
    <cellStyle name="60% - Accent5 4 5" xfId="2021" xr:uid="{00000000-0005-0000-0000-0000D2030000}"/>
    <cellStyle name="60% - Accent5 4 6" xfId="2020" xr:uid="{00000000-0005-0000-0000-0000D3030000}"/>
    <cellStyle name="60% - Accent5 4 7" xfId="2019" xr:uid="{00000000-0005-0000-0000-0000D4030000}"/>
    <cellStyle name="60% - Accent5 4 8" xfId="2018" xr:uid="{00000000-0005-0000-0000-0000D5030000}"/>
    <cellStyle name="60% - Accent5 4 9" xfId="2017" xr:uid="{00000000-0005-0000-0000-0000D6030000}"/>
    <cellStyle name="60% - Accent5 5" xfId="2016" xr:uid="{00000000-0005-0000-0000-0000D7030000}"/>
    <cellStyle name="60% - Accent5 5 10" xfId="2015" xr:uid="{00000000-0005-0000-0000-0000D8030000}"/>
    <cellStyle name="60% - Accent5 5 11" xfId="2014" xr:uid="{00000000-0005-0000-0000-0000D9030000}"/>
    <cellStyle name="60% - Accent5 5 2" xfId="2013" xr:uid="{00000000-0005-0000-0000-0000DA030000}"/>
    <cellStyle name="60% - Accent5 5 3" xfId="2012" xr:uid="{00000000-0005-0000-0000-0000DB030000}"/>
    <cellStyle name="60% - Accent5 5 4" xfId="2011" xr:uid="{00000000-0005-0000-0000-0000DC030000}"/>
    <cellStyle name="60% - Accent5 5 5" xfId="2010" xr:uid="{00000000-0005-0000-0000-0000DD030000}"/>
    <cellStyle name="60% - Accent5 5 6" xfId="2009" xr:uid="{00000000-0005-0000-0000-0000DE030000}"/>
    <cellStyle name="60% - Accent5 5 7" xfId="2008" xr:uid="{00000000-0005-0000-0000-0000DF030000}"/>
    <cellStyle name="60% - Accent5 5 8" xfId="2007" xr:uid="{00000000-0005-0000-0000-0000E0030000}"/>
    <cellStyle name="60% - Accent5 5 9" xfId="2006" xr:uid="{00000000-0005-0000-0000-0000E1030000}"/>
    <cellStyle name="60% - Accent5 6" xfId="2005" xr:uid="{00000000-0005-0000-0000-0000E2030000}"/>
    <cellStyle name="60% - Accent5 7" xfId="2004" xr:uid="{00000000-0005-0000-0000-0000E3030000}"/>
    <cellStyle name="60% - Accent5 8" xfId="2003" xr:uid="{00000000-0005-0000-0000-0000E4030000}"/>
    <cellStyle name="60% - Accent5 9" xfId="2002" xr:uid="{00000000-0005-0000-0000-0000E5030000}"/>
    <cellStyle name="60% - Accent6 10" xfId="2001" xr:uid="{00000000-0005-0000-0000-0000E6030000}"/>
    <cellStyle name="60% - Accent6 11" xfId="2000" xr:uid="{00000000-0005-0000-0000-0000E7030000}"/>
    <cellStyle name="60% - Accent6 12" xfId="1999" xr:uid="{00000000-0005-0000-0000-0000E8030000}"/>
    <cellStyle name="60% - Accent6 13" xfId="1998" xr:uid="{00000000-0005-0000-0000-0000E9030000}"/>
    <cellStyle name="60% - Accent6 14" xfId="1997" xr:uid="{00000000-0005-0000-0000-0000EA030000}"/>
    <cellStyle name="60% - Accent6 15" xfId="1996" xr:uid="{00000000-0005-0000-0000-0000EB030000}"/>
    <cellStyle name="60% - Accent6 16" xfId="59" xr:uid="{00000000-0005-0000-0000-0000EC030000}"/>
    <cellStyle name="60% - Accent6 2" xfId="60" xr:uid="{00000000-0005-0000-0000-0000ED030000}"/>
    <cellStyle name="60% - Accent6 2 10" xfId="1994" xr:uid="{00000000-0005-0000-0000-0000EE030000}"/>
    <cellStyle name="60% - Accent6 2 11" xfId="1993" xr:uid="{00000000-0005-0000-0000-0000EF030000}"/>
    <cellStyle name="60% - Accent6 2 12" xfId="1995" xr:uid="{00000000-0005-0000-0000-0000F0030000}"/>
    <cellStyle name="60% - Accent6 2 2" xfId="475" xr:uid="{00000000-0005-0000-0000-0000F1030000}"/>
    <cellStyle name="60% - Accent6 2 2 2" xfId="1992" xr:uid="{00000000-0005-0000-0000-0000F2030000}"/>
    <cellStyle name="60% - Accent6 2 3" xfId="1991" xr:uid="{00000000-0005-0000-0000-0000F3030000}"/>
    <cellStyle name="60% - Accent6 2 4" xfId="1990" xr:uid="{00000000-0005-0000-0000-0000F4030000}"/>
    <cellStyle name="60% - Accent6 2 5" xfId="1989" xr:uid="{00000000-0005-0000-0000-0000F5030000}"/>
    <cellStyle name="60% - Accent6 2 6" xfId="1988" xr:uid="{00000000-0005-0000-0000-0000F6030000}"/>
    <cellStyle name="60% - Accent6 2 7" xfId="1987" xr:uid="{00000000-0005-0000-0000-0000F7030000}"/>
    <cellStyle name="60% - Accent6 2 8" xfId="1986" xr:uid="{00000000-0005-0000-0000-0000F8030000}"/>
    <cellStyle name="60% - Accent6 2 9" xfId="1985" xr:uid="{00000000-0005-0000-0000-0000F9030000}"/>
    <cellStyle name="60% - Accent6 3" xfId="61" xr:uid="{00000000-0005-0000-0000-0000FA030000}"/>
    <cellStyle name="60% - Accent6 3 10" xfId="1983" xr:uid="{00000000-0005-0000-0000-0000FB030000}"/>
    <cellStyle name="60% - Accent6 3 11" xfId="1982" xr:uid="{00000000-0005-0000-0000-0000FC030000}"/>
    <cellStyle name="60% - Accent6 3 12" xfId="1984" xr:uid="{00000000-0005-0000-0000-0000FD030000}"/>
    <cellStyle name="60% - Accent6 3 2" xfId="1981" xr:uid="{00000000-0005-0000-0000-0000FE030000}"/>
    <cellStyle name="60% - Accent6 3 3" xfId="1980" xr:uid="{00000000-0005-0000-0000-0000FF030000}"/>
    <cellStyle name="60% - Accent6 3 4" xfId="1979" xr:uid="{00000000-0005-0000-0000-000000040000}"/>
    <cellStyle name="60% - Accent6 3 5" xfId="1978" xr:uid="{00000000-0005-0000-0000-000001040000}"/>
    <cellStyle name="60% - Accent6 3 6" xfId="1977" xr:uid="{00000000-0005-0000-0000-000002040000}"/>
    <cellStyle name="60% - Accent6 3 7" xfId="1976" xr:uid="{00000000-0005-0000-0000-000003040000}"/>
    <cellStyle name="60% - Accent6 3 8" xfId="1975" xr:uid="{00000000-0005-0000-0000-000004040000}"/>
    <cellStyle name="60% - Accent6 3 9" xfId="1974" xr:uid="{00000000-0005-0000-0000-000005040000}"/>
    <cellStyle name="60% - Accent6 4" xfId="1973" xr:uid="{00000000-0005-0000-0000-000006040000}"/>
    <cellStyle name="60% - Accent6 4 10" xfId="1972" xr:uid="{00000000-0005-0000-0000-000007040000}"/>
    <cellStyle name="60% - Accent6 4 11" xfId="1971" xr:uid="{00000000-0005-0000-0000-000008040000}"/>
    <cellStyle name="60% - Accent6 4 2" xfId="1970" xr:uid="{00000000-0005-0000-0000-000009040000}"/>
    <cellStyle name="60% - Accent6 4 3" xfId="1969" xr:uid="{00000000-0005-0000-0000-00000A040000}"/>
    <cellStyle name="60% - Accent6 4 4" xfId="1968" xr:uid="{00000000-0005-0000-0000-00000B040000}"/>
    <cellStyle name="60% - Accent6 4 5" xfId="1967" xr:uid="{00000000-0005-0000-0000-00000C040000}"/>
    <cellStyle name="60% - Accent6 4 6" xfId="1966" xr:uid="{00000000-0005-0000-0000-00000D040000}"/>
    <cellStyle name="60% - Accent6 4 7" xfId="1965" xr:uid="{00000000-0005-0000-0000-00000E040000}"/>
    <cellStyle name="60% - Accent6 4 8" xfId="1964" xr:uid="{00000000-0005-0000-0000-00000F040000}"/>
    <cellStyle name="60% - Accent6 4 9" xfId="1963" xr:uid="{00000000-0005-0000-0000-000010040000}"/>
    <cellStyle name="60% - Accent6 5" xfId="1962" xr:uid="{00000000-0005-0000-0000-000011040000}"/>
    <cellStyle name="60% - Accent6 5 10" xfId="1961" xr:uid="{00000000-0005-0000-0000-000012040000}"/>
    <cellStyle name="60% - Accent6 5 11" xfId="1960" xr:uid="{00000000-0005-0000-0000-000013040000}"/>
    <cellStyle name="60% - Accent6 5 2" xfId="1959" xr:uid="{00000000-0005-0000-0000-000014040000}"/>
    <cellStyle name="60% - Accent6 5 3" xfId="1958" xr:uid="{00000000-0005-0000-0000-000015040000}"/>
    <cellStyle name="60% - Accent6 5 4" xfId="1957" xr:uid="{00000000-0005-0000-0000-000016040000}"/>
    <cellStyle name="60% - Accent6 5 5" xfId="1956" xr:uid="{00000000-0005-0000-0000-000017040000}"/>
    <cellStyle name="60% - Accent6 5 6" xfId="1955" xr:uid="{00000000-0005-0000-0000-000018040000}"/>
    <cellStyle name="60% - Accent6 5 7" xfId="1954" xr:uid="{00000000-0005-0000-0000-000019040000}"/>
    <cellStyle name="60% - Accent6 5 8" xfId="1953" xr:uid="{00000000-0005-0000-0000-00001A040000}"/>
    <cellStyle name="60% - Accent6 5 9" xfId="1952" xr:uid="{00000000-0005-0000-0000-00001B040000}"/>
    <cellStyle name="60% - Accent6 6" xfId="1951" xr:uid="{00000000-0005-0000-0000-00001C040000}"/>
    <cellStyle name="60% - Accent6 7" xfId="1950" xr:uid="{00000000-0005-0000-0000-00001D040000}"/>
    <cellStyle name="60% - Accent6 8" xfId="1949" xr:uid="{00000000-0005-0000-0000-00001E040000}"/>
    <cellStyle name="60% - Accent6 9" xfId="1948" xr:uid="{00000000-0005-0000-0000-00001F040000}"/>
    <cellStyle name="60% - ส่วนที่ถูกเน้น1" xfId="1947" xr:uid="{00000000-0005-0000-0000-000020040000}"/>
    <cellStyle name="60% - ส่วนที่ถูกเน้น2" xfId="1946" xr:uid="{00000000-0005-0000-0000-000021040000}"/>
    <cellStyle name="60% - ส่วนที่ถูกเน้น3" xfId="1945" xr:uid="{00000000-0005-0000-0000-000022040000}"/>
    <cellStyle name="60% - ส่วนที่ถูกเน้น4" xfId="1944" xr:uid="{00000000-0005-0000-0000-000023040000}"/>
    <cellStyle name="60% - ส่วนที่ถูกเน้น5" xfId="1943" xr:uid="{00000000-0005-0000-0000-000024040000}"/>
    <cellStyle name="60% - ส่วนที่ถูกเน้น6" xfId="1942" xr:uid="{00000000-0005-0000-0000-000025040000}"/>
    <cellStyle name="75" xfId="62" xr:uid="{00000000-0005-0000-0000-000026040000}"/>
    <cellStyle name="75 2" xfId="63" xr:uid="{00000000-0005-0000-0000-000027040000}"/>
    <cellStyle name="Accent1 - 20%" xfId="479" xr:uid="{00000000-0005-0000-0000-000028040000}"/>
    <cellStyle name="Accent1 - 40%" xfId="480" xr:uid="{00000000-0005-0000-0000-000029040000}"/>
    <cellStyle name="Accent1 - 60%" xfId="481" xr:uid="{00000000-0005-0000-0000-00002A040000}"/>
    <cellStyle name="Accent1 10" xfId="482" xr:uid="{00000000-0005-0000-0000-00002B040000}"/>
    <cellStyle name="Accent1 10 2" xfId="1941" xr:uid="{00000000-0005-0000-0000-00002C040000}"/>
    <cellStyle name="Accent1 100" xfId="483" xr:uid="{00000000-0005-0000-0000-00002D040000}"/>
    <cellStyle name="Accent1 101" xfId="484" xr:uid="{00000000-0005-0000-0000-00002E040000}"/>
    <cellStyle name="Accent1 102" xfId="485" xr:uid="{00000000-0005-0000-0000-00002F040000}"/>
    <cellStyle name="Accent1 103" xfId="486" xr:uid="{00000000-0005-0000-0000-000030040000}"/>
    <cellStyle name="Accent1 104" xfId="487" xr:uid="{00000000-0005-0000-0000-000031040000}"/>
    <cellStyle name="Accent1 105" xfId="488" xr:uid="{00000000-0005-0000-0000-000032040000}"/>
    <cellStyle name="Accent1 106" xfId="489" xr:uid="{00000000-0005-0000-0000-000033040000}"/>
    <cellStyle name="Accent1 107" xfId="490" xr:uid="{00000000-0005-0000-0000-000034040000}"/>
    <cellStyle name="Accent1 108" xfId="64" xr:uid="{00000000-0005-0000-0000-000035040000}"/>
    <cellStyle name="Accent1 11" xfId="491" xr:uid="{00000000-0005-0000-0000-000036040000}"/>
    <cellStyle name="Accent1 11 2" xfId="1940" xr:uid="{00000000-0005-0000-0000-000037040000}"/>
    <cellStyle name="Accent1 12" xfId="492" xr:uid="{00000000-0005-0000-0000-000038040000}"/>
    <cellStyle name="Accent1 12 2" xfId="1939" xr:uid="{00000000-0005-0000-0000-000039040000}"/>
    <cellStyle name="Accent1 13" xfId="493" xr:uid="{00000000-0005-0000-0000-00003A040000}"/>
    <cellStyle name="Accent1 13 2" xfId="1938" xr:uid="{00000000-0005-0000-0000-00003B040000}"/>
    <cellStyle name="Accent1 14" xfId="494" xr:uid="{00000000-0005-0000-0000-00003C040000}"/>
    <cellStyle name="Accent1 14 2" xfId="1937" xr:uid="{00000000-0005-0000-0000-00003D040000}"/>
    <cellStyle name="Accent1 15" xfId="495" xr:uid="{00000000-0005-0000-0000-00003E040000}"/>
    <cellStyle name="Accent1 15 2" xfId="1936" xr:uid="{00000000-0005-0000-0000-00003F040000}"/>
    <cellStyle name="Accent1 16" xfId="496" xr:uid="{00000000-0005-0000-0000-000040040000}"/>
    <cellStyle name="Accent1 17" xfId="497" xr:uid="{00000000-0005-0000-0000-000041040000}"/>
    <cellStyle name="Accent1 18" xfId="498" xr:uid="{00000000-0005-0000-0000-000042040000}"/>
    <cellStyle name="Accent1 19" xfId="499" xr:uid="{00000000-0005-0000-0000-000043040000}"/>
    <cellStyle name="Accent1 2" xfId="65" xr:uid="{00000000-0005-0000-0000-000044040000}"/>
    <cellStyle name="Accent1 2 10" xfId="1934" xr:uid="{00000000-0005-0000-0000-000045040000}"/>
    <cellStyle name="Accent1 2 11" xfId="1933" xr:uid="{00000000-0005-0000-0000-000046040000}"/>
    <cellStyle name="Accent1 2 12" xfId="1935" xr:uid="{00000000-0005-0000-0000-000047040000}"/>
    <cellStyle name="Accent1 2 2" xfId="500" xr:uid="{00000000-0005-0000-0000-000048040000}"/>
    <cellStyle name="Accent1 2 2 2" xfId="1932" xr:uid="{00000000-0005-0000-0000-000049040000}"/>
    <cellStyle name="Accent1 2 3" xfId="1931" xr:uid="{00000000-0005-0000-0000-00004A040000}"/>
    <cellStyle name="Accent1 2 4" xfId="1930" xr:uid="{00000000-0005-0000-0000-00004B040000}"/>
    <cellStyle name="Accent1 2 5" xfId="1929" xr:uid="{00000000-0005-0000-0000-00004C040000}"/>
    <cellStyle name="Accent1 2 6" xfId="1928" xr:uid="{00000000-0005-0000-0000-00004D040000}"/>
    <cellStyle name="Accent1 2 7" xfId="1927" xr:uid="{00000000-0005-0000-0000-00004E040000}"/>
    <cellStyle name="Accent1 2 8" xfId="1926" xr:uid="{00000000-0005-0000-0000-00004F040000}"/>
    <cellStyle name="Accent1 2 9" xfId="1925" xr:uid="{00000000-0005-0000-0000-000050040000}"/>
    <cellStyle name="Accent1 20" xfId="501" xr:uid="{00000000-0005-0000-0000-000051040000}"/>
    <cellStyle name="Accent1 21" xfId="502" xr:uid="{00000000-0005-0000-0000-000052040000}"/>
    <cellStyle name="Accent1 22" xfId="503" xr:uid="{00000000-0005-0000-0000-000053040000}"/>
    <cellStyle name="Accent1 23" xfId="504" xr:uid="{00000000-0005-0000-0000-000054040000}"/>
    <cellStyle name="Accent1 24" xfId="505" xr:uid="{00000000-0005-0000-0000-000055040000}"/>
    <cellStyle name="Accent1 25" xfId="506" xr:uid="{00000000-0005-0000-0000-000056040000}"/>
    <cellStyle name="Accent1 26" xfId="507" xr:uid="{00000000-0005-0000-0000-000057040000}"/>
    <cellStyle name="Accent1 27" xfId="508" xr:uid="{00000000-0005-0000-0000-000058040000}"/>
    <cellStyle name="Accent1 28" xfId="509" xr:uid="{00000000-0005-0000-0000-000059040000}"/>
    <cellStyle name="Accent1 29" xfId="510" xr:uid="{00000000-0005-0000-0000-00005A040000}"/>
    <cellStyle name="Accent1 3" xfId="66" xr:uid="{00000000-0005-0000-0000-00005B040000}"/>
    <cellStyle name="Accent1 3 10" xfId="1923" xr:uid="{00000000-0005-0000-0000-00005C040000}"/>
    <cellStyle name="Accent1 3 11" xfId="1922" xr:uid="{00000000-0005-0000-0000-00005D040000}"/>
    <cellStyle name="Accent1 3 12" xfId="1924" xr:uid="{00000000-0005-0000-0000-00005E040000}"/>
    <cellStyle name="Accent1 3 2" xfId="1921" xr:uid="{00000000-0005-0000-0000-00005F040000}"/>
    <cellStyle name="Accent1 3 3" xfId="1920" xr:uid="{00000000-0005-0000-0000-000060040000}"/>
    <cellStyle name="Accent1 3 4" xfId="1919" xr:uid="{00000000-0005-0000-0000-000061040000}"/>
    <cellStyle name="Accent1 3 5" xfId="1918" xr:uid="{00000000-0005-0000-0000-000062040000}"/>
    <cellStyle name="Accent1 3 6" xfId="1917" xr:uid="{00000000-0005-0000-0000-000063040000}"/>
    <cellStyle name="Accent1 3 7" xfId="1916" xr:uid="{00000000-0005-0000-0000-000064040000}"/>
    <cellStyle name="Accent1 3 8" xfId="1915" xr:uid="{00000000-0005-0000-0000-000065040000}"/>
    <cellStyle name="Accent1 3 9" xfId="1914" xr:uid="{00000000-0005-0000-0000-000066040000}"/>
    <cellStyle name="Accent1 30" xfId="512" xr:uid="{00000000-0005-0000-0000-000067040000}"/>
    <cellStyle name="Accent1 31" xfId="513" xr:uid="{00000000-0005-0000-0000-000068040000}"/>
    <cellStyle name="Accent1 32" xfId="514" xr:uid="{00000000-0005-0000-0000-000069040000}"/>
    <cellStyle name="Accent1 33" xfId="515" xr:uid="{00000000-0005-0000-0000-00006A040000}"/>
    <cellStyle name="Accent1 34" xfId="516" xr:uid="{00000000-0005-0000-0000-00006B040000}"/>
    <cellStyle name="Accent1 35" xfId="517" xr:uid="{00000000-0005-0000-0000-00006C040000}"/>
    <cellStyle name="Accent1 36" xfId="518" xr:uid="{00000000-0005-0000-0000-00006D040000}"/>
    <cellStyle name="Accent1 37" xfId="519" xr:uid="{00000000-0005-0000-0000-00006E040000}"/>
    <cellStyle name="Accent1 38" xfId="520" xr:uid="{00000000-0005-0000-0000-00006F040000}"/>
    <cellStyle name="Accent1 39" xfId="521" xr:uid="{00000000-0005-0000-0000-000070040000}"/>
    <cellStyle name="Accent1 4" xfId="522" xr:uid="{00000000-0005-0000-0000-000071040000}"/>
    <cellStyle name="Accent1 4 10" xfId="1912" xr:uid="{00000000-0005-0000-0000-000072040000}"/>
    <cellStyle name="Accent1 4 11" xfId="1911" xr:uid="{00000000-0005-0000-0000-000073040000}"/>
    <cellStyle name="Accent1 4 12" xfId="1913" xr:uid="{00000000-0005-0000-0000-000074040000}"/>
    <cellStyle name="Accent1 4 2" xfId="1910" xr:uid="{00000000-0005-0000-0000-000075040000}"/>
    <cellStyle name="Accent1 4 3" xfId="1909" xr:uid="{00000000-0005-0000-0000-000076040000}"/>
    <cellStyle name="Accent1 4 4" xfId="1908" xr:uid="{00000000-0005-0000-0000-000077040000}"/>
    <cellStyle name="Accent1 4 5" xfId="1907" xr:uid="{00000000-0005-0000-0000-000078040000}"/>
    <cellStyle name="Accent1 4 6" xfId="1906" xr:uid="{00000000-0005-0000-0000-000079040000}"/>
    <cellStyle name="Accent1 4 7" xfId="1905" xr:uid="{00000000-0005-0000-0000-00007A040000}"/>
    <cellStyle name="Accent1 4 8" xfId="1904" xr:uid="{00000000-0005-0000-0000-00007B040000}"/>
    <cellStyle name="Accent1 4 9" xfId="1903" xr:uid="{00000000-0005-0000-0000-00007C040000}"/>
    <cellStyle name="Accent1 40" xfId="523" xr:uid="{00000000-0005-0000-0000-00007D040000}"/>
    <cellStyle name="Accent1 41" xfId="524" xr:uid="{00000000-0005-0000-0000-00007E040000}"/>
    <cellStyle name="Accent1 42" xfId="525" xr:uid="{00000000-0005-0000-0000-00007F040000}"/>
    <cellStyle name="Accent1 43" xfId="526" xr:uid="{00000000-0005-0000-0000-000080040000}"/>
    <cellStyle name="Accent1 44" xfId="527" xr:uid="{00000000-0005-0000-0000-000081040000}"/>
    <cellStyle name="Accent1 45" xfId="528" xr:uid="{00000000-0005-0000-0000-000082040000}"/>
    <cellStyle name="Accent1 46" xfId="529" xr:uid="{00000000-0005-0000-0000-000083040000}"/>
    <cellStyle name="Accent1 47" xfId="530" xr:uid="{00000000-0005-0000-0000-000084040000}"/>
    <cellStyle name="Accent1 48" xfId="531" xr:uid="{00000000-0005-0000-0000-000085040000}"/>
    <cellStyle name="Accent1 49" xfId="532" xr:uid="{00000000-0005-0000-0000-000086040000}"/>
    <cellStyle name="Accent1 5" xfId="533" xr:uid="{00000000-0005-0000-0000-000087040000}"/>
    <cellStyle name="Accent1 5 10" xfId="1901" xr:uid="{00000000-0005-0000-0000-000088040000}"/>
    <cellStyle name="Accent1 5 11" xfId="1900" xr:uid="{00000000-0005-0000-0000-000089040000}"/>
    <cellStyle name="Accent1 5 12" xfId="1902" xr:uid="{00000000-0005-0000-0000-00008A040000}"/>
    <cellStyle name="Accent1 5 2" xfId="1899" xr:uid="{00000000-0005-0000-0000-00008B040000}"/>
    <cellStyle name="Accent1 5 3" xfId="1898" xr:uid="{00000000-0005-0000-0000-00008C040000}"/>
    <cellStyle name="Accent1 5 4" xfId="1897" xr:uid="{00000000-0005-0000-0000-00008D040000}"/>
    <cellStyle name="Accent1 5 5" xfId="1896" xr:uid="{00000000-0005-0000-0000-00008E040000}"/>
    <cellStyle name="Accent1 5 6" xfId="1895" xr:uid="{00000000-0005-0000-0000-00008F040000}"/>
    <cellStyle name="Accent1 5 7" xfId="1894" xr:uid="{00000000-0005-0000-0000-000090040000}"/>
    <cellStyle name="Accent1 5 8" xfId="1893" xr:uid="{00000000-0005-0000-0000-000091040000}"/>
    <cellStyle name="Accent1 5 9" xfId="1892" xr:uid="{00000000-0005-0000-0000-000092040000}"/>
    <cellStyle name="Accent1 50" xfId="534" xr:uid="{00000000-0005-0000-0000-000093040000}"/>
    <cellStyle name="Accent1 51" xfId="535" xr:uid="{00000000-0005-0000-0000-000094040000}"/>
    <cellStyle name="Accent1 52" xfId="536" xr:uid="{00000000-0005-0000-0000-000095040000}"/>
    <cellStyle name="Accent1 53" xfId="537" xr:uid="{00000000-0005-0000-0000-000096040000}"/>
    <cellStyle name="Accent1 54" xfId="538" xr:uid="{00000000-0005-0000-0000-000097040000}"/>
    <cellStyle name="Accent1 55" xfId="539" xr:uid="{00000000-0005-0000-0000-000098040000}"/>
    <cellStyle name="Accent1 56" xfId="540" xr:uid="{00000000-0005-0000-0000-000099040000}"/>
    <cellStyle name="Accent1 57" xfId="541" xr:uid="{00000000-0005-0000-0000-00009A040000}"/>
    <cellStyle name="Accent1 58" xfId="542" xr:uid="{00000000-0005-0000-0000-00009B040000}"/>
    <cellStyle name="Accent1 59" xfId="543" xr:uid="{00000000-0005-0000-0000-00009C040000}"/>
    <cellStyle name="Accent1 6" xfId="544" xr:uid="{00000000-0005-0000-0000-00009D040000}"/>
    <cellStyle name="Accent1 6 2" xfId="1891" xr:uid="{00000000-0005-0000-0000-00009E040000}"/>
    <cellStyle name="Accent1 60" xfId="545" xr:uid="{00000000-0005-0000-0000-00009F040000}"/>
    <cellStyle name="Accent1 61" xfId="546" xr:uid="{00000000-0005-0000-0000-0000A0040000}"/>
    <cellStyle name="Accent1 62" xfId="547" xr:uid="{00000000-0005-0000-0000-0000A1040000}"/>
    <cellStyle name="Accent1 63" xfId="548" xr:uid="{00000000-0005-0000-0000-0000A2040000}"/>
    <cellStyle name="Accent1 64" xfId="549" xr:uid="{00000000-0005-0000-0000-0000A3040000}"/>
    <cellStyle name="Accent1 65" xfId="550" xr:uid="{00000000-0005-0000-0000-0000A4040000}"/>
    <cellStyle name="Accent1 66" xfId="551" xr:uid="{00000000-0005-0000-0000-0000A5040000}"/>
    <cellStyle name="Accent1 67" xfId="552" xr:uid="{00000000-0005-0000-0000-0000A6040000}"/>
    <cellStyle name="Accent1 68" xfId="553" xr:uid="{00000000-0005-0000-0000-0000A7040000}"/>
    <cellStyle name="Accent1 69" xfId="554" xr:uid="{00000000-0005-0000-0000-0000A8040000}"/>
    <cellStyle name="Accent1 7" xfId="555" xr:uid="{00000000-0005-0000-0000-0000A9040000}"/>
    <cellStyle name="Accent1 7 2" xfId="1890" xr:uid="{00000000-0005-0000-0000-0000AA040000}"/>
    <cellStyle name="Accent1 70" xfId="556" xr:uid="{00000000-0005-0000-0000-0000AB040000}"/>
    <cellStyle name="Accent1 71" xfId="557" xr:uid="{00000000-0005-0000-0000-0000AC040000}"/>
    <cellStyle name="Accent1 72" xfId="558" xr:uid="{00000000-0005-0000-0000-0000AD040000}"/>
    <cellStyle name="Accent1 73" xfId="559" xr:uid="{00000000-0005-0000-0000-0000AE040000}"/>
    <cellStyle name="Accent1 74" xfId="560" xr:uid="{00000000-0005-0000-0000-0000AF040000}"/>
    <cellStyle name="Accent1 75" xfId="561" xr:uid="{00000000-0005-0000-0000-0000B0040000}"/>
    <cellStyle name="Accent1 76" xfId="562" xr:uid="{00000000-0005-0000-0000-0000B1040000}"/>
    <cellStyle name="Accent1 77" xfId="563" xr:uid="{00000000-0005-0000-0000-0000B2040000}"/>
    <cellStyle name="Accent1 78" xfId="564" xr:uid="{00000000-0005-0000-0000-0000B3040000}"/>
    <cellStyle name="Accent1 79" xfId="565" xr:uid="{00000000-0005-0000-0000-0000B4040000}"/>
    <cellStyle name="Accent1 8" xfId="566" xr:uid="{00000000-0005-0000-0000-0000B5040000}"/>
    <cellStyle name="Accent1 8 2" xfId="1889" xr:uid="{00000000-0005-0000-0000-0000B6040000}"/>
    <cellStyle name="Accent1 80" xfId="567" xr:uid="{00000000-0005-0000-0000-0000B7040000}"/>
    <cellStyle name="Accent1 81" xfId="568" xr:uid="{00000000-0005-0000-0000-0000B8040000}"/>
    <cellStyle name="Accent1 82" xfId="569" xr:uid="{00000000-0005-0000-0000-0000B9040000}"/>
    <cellStyle name="Accent1 83" xfId="570" xr:uid="{00000000-0005-0000-0000-0000BA040000}"/>
    <cellStyle name="Accent1 84" xfId="571" xr:uid="{00000000-0005-0000-0000-0000BB040000}"/>
    <cellStyle name="Accent1 85" xfId="572" xr:uid="{00000000-0005-0000-0000-0000BC040000}"/>
    <cellStyle name="Accent1 86" xfId="573" xr:uid="{00000000-0005-0000-0000-0000BD040000}"/>
    <cellStyle name="Accent1 87" xfId="574" xr:uid="{00000000-0005-0000-0000-0000BE040000}"/>
    <cellStyle name="Accent1 88" xfId="575" xr:uid="{00000000-0005-0000-0000-0000BF040000}"/>
    <cellStyle name="Accent1 89" xfId="576" xr:uid="{00000000-0005-0000-0000-0000C0040000}"/>
    <cellStyle name="Accent1 9" xfId="577" xr:uid="{00000000-0005-0000-0000-0000C1040000}"/>
    <cellStyle name="Accent1 9 2" xfId="1888" xr:uid="{00000000-0005-0000-0000-0000C2040000}"/>
    <cellStyle name="Accent1 90" xfId="578" xr:uid="{00000000-0005-0000-0000-0000C3040000}"/>
    <cellStyle name="Accent1 91" xfId="579" xr:uid="{00000000-0005-0000-0000-0000C4040000}"/>
    <cellStyle name="Accent1 92" xfId="580" xr:uid="{00000000-0005-0000-0000-0000C5040000}"/>
    <cellStyle name="Accent1 93" xfId="581" xr:uid="{00000000-0005-0000-0000-0000C6040000}"/>
    <cellStyle name="Accent1 94" xfId="582" xr:uid="{00000000-0005-0000-0000-0000C7040000}"/>
    <cellStyle name="Accent1 95" xfId="583" xr:uid="{00000000-0005-0000-0000-0000C8040000}"/>
    <cellStyle name="Accent1 96" xfId="584" xr:uid="{00000000-0005-0000-0000-0000C9040000}"/>
    <cellStyle name="Accent1 97" xfId="585" xr:uid="{00000000-0005-0000-0000-0000CA040000}"/>
    <cellStyle name="Accent1 98" xfId="586" xr:uid="{00000000-0005-0000-0000-0000CB040000}"/>
    <cellStyle name="Accent1 99" xfId="587" xr:uid="{00000000-0005-0000-0000-0000CC040000}"/>
    <cellStyle name="Accent2 - 20%" xfId="588" xr:uid="{00000000-0005-0000-0000-0000CD040000}"/>
    <cellStyle name="Accent2 - 40%" xfId="589" xr:uid="{00000000-0005-0000-0000-0000CE040000}"/>
    <cellStyle name="Accent2 - 60%" xfId="590" xr:uid="{00000000-0005-0000-0000-0000CF040000}"/>
    <cellStyle name="Accent2 10" xfId="591" xr:uid="{00000000-0005-0000-0000-0000D0040000}"/>
    <cellStyle name="Accent2 10 2" xfId="1887" xr:uid="{00000000-0005-0000-0000-0000D1040000}"/>
    <cellStyle name="Accent2 100" xfId="592" xr:uid="{00000000-0005-0000-0000-0000D2040000}"/>
    <cellStyle name="Accent2 101" xfId="593" xr:uid="{00000000-0005-0000-0000-0000D3040000}"/>
    <cellStyle name="Accent2 102" xfId="594" xr:uid="{00000000-0005-0000-0000-0000D4040000}"/>
    <cellStyle name="Accent2 103" xfId="595" xr:uid="{00000000-0005-0000-0000-0000D5040000}"/>
    <cellStyle name="Accent2 104" xfId="596" xr:uid="{00000000-0005-0000-0000-0000D6040000}"/>
    <cellStyle name="Accent2 105" xfId="597" xr:uid="{00000000-0005-0000-0000-0000D7040000}"/>
    <cellStyle name="Accent2 106" xfId="598" xr:uid="{00000000-0005-0000-0000-0000D8040000}"/>
    <cellStyle name="Accent2 107" xfId="599" xr:uid="{00000000-0005-0000-0000-0000D9040000}"/>
    <cellStyle name="Accent2 108" xfId="67" xr:uid="{00000000-0005-0000-0000-0000DA040000}"/>
    <cellStyle name="Accent2 11" xfId="600" xr:uid="{00000000-0005-0000-0000-0000DB040000}"/>
    <cellStyle name="Accent2 11 2" xfId="1886" xr:uid="{00000000-0005-0000-0000-0000DC040000}"/>
    <cellStyle name="Accent2 12" xfId="601" xr:uid="{00000000-0005-0000-0000-0000DD040000}"/>
    <cellStyle name="Accent2 12 2" xfId="1885" xr:uid="{00000000-0005-0000-0000-0000DE040000}"/>
    <cellStyle name="Accent2 13" xfId="602" xr:uid="{00000000-0005-0000-0000-0000DF040000}"/>
    <cellStyle name="Accent2 13 2" xfId="1884" xr:uid="{00000000-0005-0000-0000-0000E0040000}"/>
    <cellStyle name="Accent2 14" xfId="603" xr:uid="{00000000-0005-0000-0000-0000E1040000}"/>
    <cellStyle name="Accent2 14 2" xfId="1883" xr:uid="{00000000-0005-0000-0000-0000E2040000}"/>
    <cellStyle name="Accent2 15" xfId="604" xr:uid="{00000000-0005-0000-0000-0000E3040000}"/>
    <cellStyle name="Accent2 15 2" xfId="1882" xr:uid="{00000000-0005-0000-0000-0000E4040000}"/>
    <cellStyle name="Accent2 16" xfId="605" xr:uid="{00000000-0005-0000-0000-0000E5040000}"/>
    <cellStyle name="Accent2 17" xfId="606" xr:uid="{00000000-0005-0000-0000-0000E6040000}"/>
    <cellStyle name="Accent2 18" xfId="607" xr:uid="{00000000-0005-0000-0000-0000E7040000}"/>
    <cellStyle name="Accent2 19" xfId="608" xr:uid="{00000000-0005-0000-0000-0000E8040000}"/>
    <cellStyle name="Accent2 2" xfId="68" xr:uid="{00000000-0005-0000-0000-0000E9040000}"/>
    <cellStyle name="Accent2 2 10" xfId="1880" xr:uid="{00000000-0005-0000-0000-0000EA040000}"/>
    <cellStyle name="Accent2 2 11" xfId="1879" xr:uid="{00000000-0005-0000-0000-0000EB040000}"/>
    <cellStyle name="Accent2 2 12" xfId="1881" xr:uid="{00000000-0005-0000-0000-0000EC040000}"/>
    <cellStyle name="Accent2 2 2" xfId="609" xr:uid="{00000000-0005-0000-0000-0000ED040000}"/>
    <cellStyle name="Accent2 2 2 2" xfId="1878" xr:uid="{00000000-0005-0000-0000-0000EE040000}"/>
    <cellStyle name="Accent2 2 3" xfId="1877" xr:uid="{00000000-0005-0000-0000-0000EF040000}"/>
    <cellStyle name="Accent2 2 4" xfId="1876" xr:uid="{00000000-0005-0000-0000-0000F0040000}"/>
    <cellStyle name="Accent2 2 5" xfId="1875" xr:uid="{00000000-0005-0000-0000-0000F1040000}"/>
    <cellStyle name="Accent2 2 6" xfId="1874" xr:uid="{00000000-0005-0000-0000-0000F2040000}"/>
    <cellStyle name="Accent2 2 7" xfId="1873" xr:uid="{00000000-0005-0000-0000-0000F3040000}"/>
    <cellStyle name="Accent2 2 8" xfId="1872" xr:uid="{00000000-0005-0000-0000-0000F4040000}"/>
    <cellStyle name="Accent2 2 9" xfId="1871" xr:uid="{00000000-0005-0000-0000-0000F5040000}"/>
    <cellStyle name="Accent2 20" xfId="610" xr:uid="{00000000-0005-0000-0000-0000F6040000}"/>
    <cellStyle name="Accent2 21" xfId="611" xr:uid="{00000000-0005-0000-0000-0000F7040000}"/>
    <cellStyle name="Accent2 22" xfId="612" xr:uid="{00000000-0005-0000-0000-0000F8040000}"/>
    <cellStyle name="Accent2 23" xfId="613" xr:uid="{00000000-0005-0000-0000-0000F9040000}"/>
    <cellStyle name="Accent2 24" xfId="614" xr:uid="{00000000-0005-0000-0000-0000FA040000}"/>
    <cellStyle name="Accent2 25" xfId="615" xr:uid="{00000000-0005-0000-0000-0000FB040000}"/>
    <cellStyle name="Accent2 26" xfId="616" xr:uid="{00000000-0005-0000-0000-0000FC040000}"/>
    <cellStyle name="Accent2 27" xfId="617" xr:uid="{00000000-0005-0000-0000-0000FD040000}"/>
    <cellStyle name="Accent2 28" xfId="618" xr:uid="{00000000-0005-0000-0000-0000FE040000}"/>
    <cellStyle name="Accent2 29" xfId="619" xr:uid="{00000000-0005-0000-0000-0000FF040000}"/>
    <cellStyle name="Accent2 3" xfId="69" xr:uid="{00000000-0005-0000-0000-000000050000}"/>
    <cellStyle name="Accent2 3 10" xfId="1869" xr:uid="{00000000-0005-0000-0000-000001050000}"/>
    <cellStyle name="Accent2 3 11" xfId="1868" xr:uid="{00000000-0005-0000-0000-000002050000}"/>
    <cellStyle name="Accent2 3 12" xfId="1870" xr:uid="{00000000-0005-0000-0000-000003050000}"/>
    <cellStyle name="Accent2 3 2" xfId="1867" xr:uid="{00000000-0005-0000-0000-000004050000}"/>
    <cellStyle name="Accent2 3 3" xfId="1866" xr:uid="{00000000-0005-0000-0000-000005050000}"/>
    <cellStyle name="Accent2 3 4" xfId="1865" xr:uid="{00000000-0005-0000-0000-000006050000}"/>
    <cellStyle name="Accent2 3 5" xfId="1864" xr:uid="{00000000-0005-0000-0000-000007050000}"/>
    <cellStyle name="Accent2 3 6" xfId="1863" xr:uid="{00000000-0005-0000-0000-000008050000}"/>
    <cellStyle name="Accent2 3 7" xfId="1862" xr:uid="{00000000-0005-0000-0000-000009050000}"/>
    <cellStyle name="Accent2 3 8" xfId="1861" xr:uid="{00000000-0005-0000-0000-00000A050000}"/>
    <cellStyle name="Accent2 3 9" xfId="1860" xr:uid="{00000000-0005-0000-0000-00000B050000}"/>
    <cellStyle name="Accent2 30" xfId="621" xr:uid="{00000000-0005-0000-0000-00000C050000}"/>
    <cellStyle name="Accent2 31" xfId="622" xr:uid="{00000000-0005-0000-0000-00000D050000}"/>
    <cellStyle name="Accent2 32" xfId="623" xr:uid="{00000000-0005-0000-0000-00000E050000}"/>
    <cellStyle name="Accent2 33" xfId="624" xr:uid="{00000000-0005-0000-0000-00000F050000}"/>
    <cellStyle name="Accent2 34" xfId="625" xr:uid="{00000000-0005-0000-0000-000010050000}"/>
    <cellStyle name="Accent2 35" xfId="626" xr:uid="{00000000-0005-0000-0000-000011050000}"/>
    <cellStyle name="Accent2 36" xfId="627" xr:uid="{00000000-0005-0000-0000-000012050000}"/>
    <cellStyle name="Accent2 37" xfId="628" xr:uid="{00000000-0005-0000-0000-000013050000}"/>
    <cellStyle name="Accent2 38" xfId="629" xr:uid="{00000000-0005-0000-0000-000014050000}"/>
    <cellStyle name="Accent2 39" xfId="630" xr:uid="{00000000-0005-0000-0000-000015050000}"/>
    <cellStyle name="Accent2 4" xfId="631" xr:uid="{00000000-0005-0000-0000-000016050000}"/>
    <cellStyle name="Accent2 4 10" xfId="1858" xr:uid="{00000000-0005-0000-0000-000017050000}"/>
    <cellStyle name="Accent2 4 11" xfId="1857" xr:uid="{00000000-0005-0000-0000-000018050000}"/>
    <cellStyle name="Accent2 4 12" xfId="1859" xr:uid="{00000000-0005-0000-0000-000019050000}"/>
    <cellStyle name="Accent2 4 2" xfId="1856" xr:uid="{00000000-0005-0000-0000-00001A050000}"/>
    <cellStyle name="Accent2 4 3" xfId="1855" xr:uid="{00000000-0005-0000-0000-00001B050000}"/>
    <cellStyle name="Accent2 4 4" xfId="1854" xr:uid="{00000000-0005-0000-0000-00001C050000}"/>
    <cellStyle name="Accent2 4 5" xfId="1853" xr:uid="{00000000-0005-0000-0000-00001D050000}"/>
    <cellStyle name="Accent2 4 6" xfId="1852" xr:uid="{00000000-0005-0000-0000-00001E050000}"/>
    <cellStyle name="Accent2 4 7" xfId="1851" xr:uid="{00000000-0005-0000-0000-00001F050000}"/>
    <cellStyle name="Accent2 4 8" xfId="1850" xr:uid="{00000000-0005-0000-0000-000020050000}"/>
    <cellStyle name="Accent2 4 9" xfId="1849" xr:uid="{00000000-0005-0000-0000-000021050000}"/>
    <cellStyle name="Accent2 40" xfId="632" xr:uid="{00000000-0005-0000-0000-000022050000}"/>
    <cellStyle name="Accent2 41" xfId="633" xr:uid="{00000000-0005-0000-0000-000023050000}"/>
    <cellStyle name="Accent2 42" xfId="634" xr:uid="{00000000-0005-0000-0000-000024050000}"/>
    <cellStyle name="Accent2 43" xfId="635" xr:uid="{00000000-0005-0000-0000-000025050000}"/>
    <cellStyle name="Accent2 44" xfId="636" xr:uid="{00000000-0005-0000-0000-000026050000}"/>
    <cellStyle name="Accent2 45" xfId="637" xr:uid="{00000000-0005-0000-0000-000027050000}"/>
    <cellStyle name="Accent2 46" xfId="638" xr:uid="{00000000-0005-0000-0000-000028050000}"/>
    <cellStyle name="Accent2 47" xfId="639" xr:uid="{00000000-0005-0000-0000-000029050000}"/>
    <cellStyle name="Accent2 48" xfId="640" xr:uid="{00000000-0005-0000-0000-00002A050000}"/>
    <cellStyle name="Accent2 49" xfId="641" xr:uid="{00000000-0005-0000-0000-00002B050000}"/>
    <cellStyle name="Accent2 5" xfId="642" xr:uid="{00000000-0005-0000-0000-00002C050000}"/>
    <cellStyle name="Accent2 5 10" xfId="1847" xr:uid="{00000000-0005-0000-0000-00002D050000}"/>
    <cellStyle name="Accent2 5 11" xfId="1846" xr:uid="{00000000-0005-0000-0000-00002E050000}"/>
    <cellStyle name="Accent2 5 12" xfId="1848" xr:uid="{00000000-0005-0000-0000-00002F050000}"/>
    <cellStyle name="Accent2 5 2" xfId="1845" xr:uid="{00000000-0005-0000-0000-000030050000}"/>
    <cellStyle name="Accent2 5 3" xfId="1844" xr:uid="{00000000-0005-0000-0000-000031050000}"/>
    <cellStyle name="Accent2 5 4" xfId="1843" xr:uid="{00000000-0005-0000-0000-000032050000}"/>
    <cellStyle name="Accent2 5 5" xfId="1842" xr:uid="{00000000-0005-0000-0000-000033050000}"/>
    <cellStyle name="Accent2 5 6" xfId="1841" xr:uid="{00000000-0005-0000-0000-000034050000}"/>
    <cellStyle name="Accent2 5 7" xfId="1840" xr:uid="{00000000-0005-0000-0000-000035050000}"/>
    <cellStyle name="Accent2 5 8" xfId="1839" xr:uid="{00000000-0005-0000-0000-000036050000}"/>
    <cellStyle name="Accent2 5 9" xfId="1838" xr:uid="{00000000-0005-0000-0000-000037050000}"/>
    <cellStyle name="Accent2 50" xfId="643" xr:uid="{00000000-0005-0000-0000-000038050000}"/>
    <cellStyle name="Accent2 51" xfId="644" xr:uid="{00000000-0005-0000-0000-000039050000}"/>
    <cellStyle name="Accent2 52" xfId="645" xr:uid="{00000000-0005-0000-0000-00003A050000}"/>
    <cellStyle name="Accent2 53" xfId="646" xr:uid="{00000000-0005-0000-0000-00003B050000}"/>
    <cellStyle name="Accent2 54" xfId="647" xr:uid="{00000000-0005-0000-0000-00003C050000}"/>
    <cellStyle name="Accent2 55" xfId="648" xr:uid="{00000000-0005-0000-0000-00003D050000}"/>
    <cellStyle name="Accent2 56" xfId="649" xr:uid="{00000000-0005-0000-0000-00003E050000}"/>
    <cellStyle name="Accent2 57" xfId="650" xr:uid="{00000000-0005-0000-0000-00003F050000}"/>
    <cellStyle name="Accent2 58" xfId="651" xr:uid="{00000000-0005-0000-0000-000040050000}"/>
    <cellStyle name="Accent2 59" xfId="652" xr:uid="{00000000-0005-0000-0000-000041050000}"/>
    <cellStyle name="Accent2 6" xfId="653" xr:uid="{00000000-0005-0000-0000-000042050000}"/>
    <cellStyle name="Accent2 6 2" xfId="1837" xr:uid="{00000000-0005-0000-0000-000043050000}"/>
    <cellStyle name="Accent2 60" xfId="654" xr:uid="{00000000-0005-0000-0000-000044050000}"/>
    <cellStyle name="Accent2 61" xfId="655" xr:uid="{00000000-0005-0000-0000-000045050000}"/>
    <cellStyle name="Accent2 62" xfId="656" xr:uid="{00000000-0005-0000-0000-000046050000}"/>
    <cellStyle name="Accent2 63" xfId="657" xr:uid="{00000000-0005-0000-0000-000047050000}"/>
    <cellStyle name="Accent2 64" xfId="658" xr:uid="{00000000-0005-0000-0000-000048050000}"/>
    <cellStyle name="Accent2 65" xfId="659" xr:uid="{00000000-0005-0000-0000-000049050000}"/>
    <cellStyle name="Accent2 66" xfId="660" xr:uid="{00000000-0005-0000-0000-00004A050000}"/>
    <cellStyle name="Accent2 67" xfId="661" xr:uid="{00000000-0005-0000-0000-00004B050000}"/>
    <cellStyle name="Accent2 68" xfId="662" xr:uid="{00000000-0005-0000-0000-00004C050000}"/>
    <cellStyle name="Accent2 69" xfId="663" xr:uid="{00000000-0005-0000-0000-00004D050000}"/>
    <cellStyle name="Accent2 7" xfId="664" xr:uid="{00000000-0005-0000-0000-00004E050000}"/>
    <cellStyle name="Accent2 7 2" xfId="1836" xr:uid="{00000000-0005-0000-0000-00004F050000}"/>
    <cellStyle name="Accent2 70" xfId="665" xr:uid="{00000000-0005-0000-0000-000050050000}"/>
    <cellStyle name="Accent2 71" xfId="666" xr:uid="{00000000-0005-0000-0000-000051050000}"/>
    <cellStyle name="Accent2 72" xfId="667" xr:uid="{00000000-0005-0000-0000-000052050000}"/>
    <cellStyle name="Accent2 73" xfId="668" xr:uid="{00000000-0005-0000-0000-000053050000}"/>
    <cellStyle name="Accent2 74" xfId="669" xr:uid="{00000000-0005-0000-0000-000054050000}"/>
    <cellStyle name="Accent2 75" xfId="670" xr:uid="{00000000-0005-0000-0000-000055050000}"/>
    <cellStyle name="Accent2 76" xfId="671" xr:uid="{00000000-0005-0000-0000-000056050000}"/>
    <cellStyle name="Accent2 77" xfId="672" xr:uid="{00000000-0005-0000-0000-000057050000}"/>
    <cellStyle name="Accent2 78" xfId="673" xr:uid="{00000000-0005-0000-0000-000058050000}"/>
    <cellStyle name="Accent2 79" xfId="674" xr:uid="{00000000-0005-0000-0000-000059050000}"/>
    <cellStyle name="Accent2 8" xfId="675" xr:uid="{00000000-0005-0000-0000-00005A050000}"/>
    <cellStyle name="Accent2 8 2" xfId="1835" xr:uid="{00000000-0005-0000-0000-00005B050000}"/>
    <cellStyle name="Accent2 80" xfId="676" xr:uid="{00000000-0005-0000-0000-00005C050000}"/>
    <cellStyle name="Accent2 81" xfId="677" xr:uid="{00000000-0005-0000-0000-00005D050000}"/>
    <cellStyle name="Accent2 82" xfId="678" xr:uid="{00000000-0005-0000-0000-00005E050000}"/>
    <cellStyle name="Accent2 83" xfId="679" xr:uid="{00000000-0005-0000-0000-00005F050000}"/>
    <cellStyle name="Accent2 84" xfId="680" xr:uid="{00000000-0005-0000-0000-000060050000}"/>
    <cellStyle name="Accent2 85" xfId="681" xr:uid="{00000000-0005-0000-0000-000061050000}"/>
    <cellStyle name="Accent2 86" xfId="682" xr:uid="{00000000-0005-0000-0000-000062050000}"/>
    <cellStyle name="Accent2 87" xfId="683" xr:uid="{00000000-0005-0000-0000-000063050000}"/>
    <cellStyle name="Accent2 88" xfId="684" xr:uid="{00000000-0005-0000-0000-000064050000}"/>
    <cellStyle name="Accent2 89" xfId="685" xr:uid="{00000000-0005-0000-0000-000065050000}"/>
    <cellStyle name="Accent2 9" xfId="686" xr:uid="{00000000-0005-0000-0000-000066050000}"/>
    <cellStyle name="Accent2 9 2" xfId="1834" xr:uid="{00000000-0005-0000-0000-000067050000}"/>
    <cellStyle name="Accent2 90" xfId="687" xr:uid="{00000000-0005-0000-0000-000068050000}"/>
    <cellStyle name="Accent2 91" xfId="688" xr:uid="{00000000-0005-0000-0000-000069050000}"/>
    <cellStyle name="Accent2 92" xfId="689" xr:uid="{00000000-0005-0000-0000-00006A050000}"/>
    <cellStyle name="Accent2 93" xfId="690" xr:uid="{00000000-0005-0000-0000-00006B050000}"/>
    <cellStyle name="Accent2 94" xfId="691" xr:uid="{00000000-0005-0000-0000-00006C050000}"/>
    <cellStyle name="Accent2 95" xfId="692" xr:uid="{00000000-0005-0000-0000-00006D050000}"/>
    <cellStyle name="Accent2 96" xfId="693" xr:uid="{00000000-0005-0000-0000-00006E050000}"/>
    <cellStyle name="Accent2 97" xfId="694" xr:uid="{00000000-0005-0000-0000-00006F050000}"/>
    <cellStyle name="Accent2 98" xfId="695" xr:uid="{00000000-0005-0000-0000-000070050000}"/>
    <cellStyle name="Accent2 99" xfId="696" xr:uid="{00000000-0005-0000-0000-000071050000}"/>
    <cellStyle name="Accent3 - 20%" xfId="697" xr:uid="{00000000-0005-0000-0000-000072050000}"/>
    <cellStyle name="Accent3 - 40%" xfId="698" xr:uid="{00000000-0005-0000-0000-000073050000}"/>
    <cellStyle name="Accent3 - 60%" xfId="699" xr:uid="{00000000-0005-0000-0000-000074050000}"/>
    <cellStyle name="Accent3 10" xfId="700" xr:uid="{00000000-0005-0000-0000-000075050000}"/>
    <cellStyle name="Accent3 10 2" xfId="1833" xr:uid="{00000000-0005-0000-0000-000076050000}"/>
    <cellStyle name="Accent3 100" xfId="701" xr:uid="{00000000-0005-0000-0000-000077050000}"/>
    <cellStyle name="Accent3 101" xfId="702" xr:uid="{00000000-0005-0000-0000-000078050000}"/>
    <cellStyle name="Accent3 102" xfId="703" xr:uid="{00000000-0005-0000-0000-000079050000}"/>
    <cellStyle name="Accent3 103" xfId="704" xr:uid="{00000000-0005-0000-0000-00007A050000}"/>
    <cellStyle name="Accent3 104" xfId="705" xr:uid="{00000000-0005-0000-0000-00007B050000}"/>
    <cellStyle name="Accent3 105" xfId="706" xr:uid="{00000000-0005-0000-0000-00007C050000}"/>
    <cellStyle name="Accent3 106" xfId="707" xr:uid="{00000000-0005-0000-0000-00007D050000}"/>
    <cellStyle name="Accent3 107" xfId="708" xr:uid="{00000000-0005-0000-0000-00007E050000}"/>
    <cellStyle name="Accent3 108" xfId="70" xr:uid="{00000000-0005-0000-0000-00007F050000}"/>
    <cellStyle name="Accent3 11" xfId="709" xr:uid="{00000000-0005-0000-0000-000080050000}"/>
    <cellStyle name="Accent3 11 2" xfId="1832" xr:uid="{00000000-0005-0000-0000-000081050000}"/>
    <cellStyle name="Accent3 12" xfId="710" xr:uid="{00000000-0005-0000-0000-000082050000}"/>
    <cellStyle name="Accent3 12 2" xfId="1831" xr:uid="{00000000-0005-0000-0000-000083050000}"/>
    <cellStyle name="Accent3 13" xfId="711" xr:uid="{00000000-0005-0000-0000-000084050000}"/>
    <cellStyle name="Accent3 13 2" xfId="1830" xr:uid="{00000000-0005-0000-0000-000085050000}"/>
    <cellStyle name="Accent3 14" xfId="712" xr:uid="{00000000-0005-0000-0000-000086050000}"/>
    <cellStyle name="Accent3 14 2" xfId="1829" xr:uid="{00000000-0005-0000-0000-000087050000}"/>
    <cellStyle name="Accent3 15" xfId="713" xr:uid="{00000000-0005-0000-0000-000088050000}"/>
    <cellStyle name="Accent3 15 2" xfId="1828" xr:uid="{00000000-0005-0000-0000-000089050000}"/>
    <cellStyle name="Accent3 16" xfId="714" xr:uid="{00000000-0005-0000-0000-00008A050000}"/>
    <cellStyle name="Accent3 17" xfId="715" xr:uid="{00000000-0005-0000-0000-00008B050000}"/>
    <cellStyle name="Accent3 18" xfId="716" xr:uid="{00000000-0005-0000-0000-00008C050000}"/>
    <cellStyle name="Accent3 19" xfId="717" xr:uid="{00000000-0005-0000-0000-00008D050000}"/>
    <cellStyle name="Accent3 2" xfId="71" xr:uid="{00000000-0005-0000-0000-00008E050000}"/>
    <cellStyle name="Accent3 2 10" xfId="1826" xr:uid="{00000000-0005-0000-0000-00008F050000}"/>
    <cellStyle name="Accent3 2 11" xfId="1825" xr:uid="{00000000-0005-0000-0000-000090050000}"/>
    <cellStyle name="Accent3 2 12" xfId="1827" xr:uid="{00000000-0005-0000-0000-000091050000}"/>
    <cellStyle name="Accent3 2 2" xfId="718" xr:uid="{00000000-0005-0000-0000-000092050000}"/>
    <cellStyle name="Accent3 2 2 2" xfId="1824" xr:uid="{00000000-0005-0000-0000-000093050000}"/>
    <cellStyle name="Accent3 2 3" xfId="1823" xr:uid="{00000000-0005-0000-0000-000094050000}"/>
    <cellStyle name="Accent3 2 4" xfId="1822" xr:uid="{00000000-0005-0000-0000-000095050000}"/>
    <cellStyle name="Accent3 2 5" xfId="1821" xr:uid="{00000000-0005-0000-0000-000096050000}"/>
    <cellStyle name="Accent3 2 6" xfId="1820" xr:uid="{00000000-0005-0000-0000-000097050000}"/>
    <cellStyle name="Accent3 2 7" xfId="1819" xr:uid="{00000000-0005-0000-0000-000098050000}"/>
    <cellStyle name="Accent3 2 8" xfId="1818" xr:uid="{00000000-0005-0000-0000-000099050000}"/>
    <cellStyle name="Accent3 2 9" xfId="1817" xr:uid="{00000000-0005-0000-0000-00009A050000}"/>
    <cellStyle name="Accent3 20" xfId="719" xr:uid="{00000000-0005-0000-0000-00009B050000}"/>
    <cellStyle name="Accent3 21" xfId="720" xr:uid="{00000000-0005-0000-0000-00009C050000}"/>
    <cellStyle name="Accent3 22" xfId="721" xr:uid="{00000000-0005-0000-0000-00009D050000}"/>
    <cellStyle name="Accent3 23" xfId="722" xr:uid="{00000000-0005-0000-0000-00009E050000}"/>
    <cellStyle name="Accent3 24" xfId="723" xr:uid="{00000000-0005-0000-0000-00009F050000}"/>
    <cellStyle name="Accent3 25" xfId="724" xr:uid="{00000000-0005-0000-0000-0000A0050000}"/>
    <cellStyle name="Accent3 26" xfId="725" xr:uid="{00000000-0005-0000-0000-0000A1050000}"/>
    <cellStyle name="Accent3 27" xfId="726" xr:uid="{00000000-0005-0000-0000-0000A2050000}"/>
    <cellStyle name="Accent3 28" xfId="727" xr:uid="{00000000-0005-0000-0000-0000A3050000}"/>
    <cellStyle name="Accent3 29" xfId="728" xr:uid="{00000000-0005-0000-0000-0000A4050000}"/>
    <cellStyle name="Accent3 3" xfId="72" xr:uid="{00000000-0005-0000-0000-0000A5050000}"/>
    <cellStyle name="Accent3 3 10" xfId="1815" xr:uid="{00000000-0005-0000-0000-0000A6050000}"/>
    <cellStyle name="Accent3 3 11" xfId="1814" xr:uid="{00000000-0005-0000-0000-0000A7050000}"/>
    <cellStyle name="Accent3 3 12" xfId="1816" xr:uid="{00000000-0005-0000-0000-0000A8050000}"/>
    <cellStyle name="Accent3 3 2" xfId="1813" xr:uid="{00000000-0005-0000-0000-0000A9050000}"/>
    <cellStyle name="Accent3 3 3" xfId="1812" xr:uid="{00000000-0005-0000-0000-0000AA050000}"/>
    <cellStyle name="Accent3 3 4" xfId="1811" xr:uid="{00000000-0005-0000-0000-0000AB050000}"/>
    <cellStyle name="Accent3 3 5" xfId="1810" xr:uid="{00000000-0005-0000-0000-0000AC050000}"/>
    <cellStyle name="Accent3 3 6" xfId="1809" xr:uid="{00000000-0005-0000-0000-0000AD050000}"/>
    <cellStyle name="Accent3 3 7" xfId="1808" xr:uid="{00000000-0005-0000-0000-0000AE050000}"/>
    <cellStyle name="Accent3 3 8" xfId="1807" xr:uid="{00000000-0005-0000-0000-0000AF050000}"/>
    <cellStyle name="Accent3 3 9" xfId="1806" xr:uid="{00000000-0005-0000-0000-0000B0050000}"/>
    <cellStyle name="Accent3 30" xfId="730" xr:uid="{00000000-0005-0000-0000-0000B1050000}"/>
    <cellStyle name="Accent3 31" xfId="731" xr:uid="{00000000-0005-0000-0000-0000B2050000}"/>
    <cellStyle name="Accent3 32" xfId="732" xr:uid="{00000000-0005-0000-0000-0000B3050000}"/>
    <cellStyle name="Accent3 33" xfId="733" xr:uid="{00000000-0005-0000-0000-0000B4050000}"/>
    <cellStyle name="Accent3 34" xfId="734" xr:uid="{00000000-0005-0000-0000-0000B5050000}"/>
    <cellStyle name="Accent3 35" xfId="735" xr:uid="{00000000-0005-0000-0000-0000B6050000}"/>
    <cellStyle name="Accent3 36" xfId="736" xr:uid="{00000000-0005-0000-0000-0000B7050000}"/>
    <cellStyle name="Accent3 37" xfId="737" xr:uid="{00000000-0005-0000-0000-0000B8050000}"/>
    <cellStyle name="Accent3 38" xfId="738" xr:uid="{00000000-0005-0000-0000-0000B9050000}"/>
    <cellStyle name="Accent3 39" xfId="739" xr:uid="{00000000-0005-0000-0000-0000BA050000}"/>
    <cellStyle name="Accent3 4" xfId="740" xr:uid="{00000000-0005-0000-0000-0000BB050000}"/>
    <cellStyle name="Accent3 4 10" xfId="1804" xr:uid="{00000000-0005-0000-0000-0000BC050000}"/>
    <cellStyle name="Accent3 4 11" xfId="1803" xr:uid="{00000000-0005-0000-0000-0000BD050000}"/>
    <cellStyle name="Accent3 4 12" xfId="1805" xr:uid="{00000000-0005-0000-0000-0000BE050000}"/>
    <cellStyle name="Accent3 4 2" xfId="1802" xr:uid="{00000000-0005-0000-0000-0000BF050000}"/>
    <cellStyle name="Accent3 4 3" xfId="1801" xr:uid="{00000000-0005-0000-0000-0000C0050000}"/>
    <cellStyle name="Accent3 4 4" xfId="1800" xr:uid="{00000000-0005-0000-0000-0000C1050000}"/>
    <cellStyle name="Accent3 4 5" xfId="1799" xr:uid="{00000000-0005-0000-0000-0000C2050000}"/>
    <cellStyle name="Accent3 4 6" xfId="1798" xr:uid="{00000000-0005-0000-0000-0000C3050000}"/>
    <cellStyle name="Accent3 4 7" xfId="1797" xr:uid="{00000000-0005-0000-0000-0000C4050000}"/>
    <cellStyle name="Accent3 4 8" xfId="1796" xr:uid="{00000000-0005-0000-0000-0000C5050000}"/>
    <cellStyle name="Accent3 4 9" xfId="1795" xr:uid="{00000000-0005-0000-0000-0000C6050000}"/>
    <cellStyle name="Accent3 40" xfId="741" xr:uid="{00000000-0005-0000-0000-0000C7050000}"/>
    <cellStyle name="Accent3 41" xfId="742" xr:uid="{00000000-0005-0000-0000-0000C8050000}"/>
    <cellStyle name="Accent3 42" xfId="743" xr:uid="{00000000-0005-0000-0000-0000C9050000}"/>
    <cellStyle name="Accent3 43" xfId="744" xr:uid="{00000000-0005-0000-0000-0000CA050000}"/>
    <cellStyle name="Accent3 44" xfId="745" xr:uid="{00000000-0005-0000-0000-0000CB050000}"/>
    <cellStyle name="Accent3 45" xfId="746" xr:uid="{00000000-0005-0000-0000-0000CC050000}"/>
    <cellStyle name="Accent3 46" xfId="747" xr:uid="{00000000-0005-0000-0000-0000CD050000}"/>
    <cellStyle name="Accent3 47" xfId="748" xr:uid="{00000000-0005-0000-0000-0000CE050000}"/>
    <cellStyle name="Accent3 48" xfId="749" xr:uid="{00000000-0005-0000-0000-0000CF050000}"/>
    <cellStyle name="Accent3 49" xfId="750" xr:uid="{00000000-0005-0000-0000-0000D0050000}"/>
    <cellStyle name="Accent3 5" xfId="751" xr:uid="{00000000-0005-0000-0000-0000D1050000}"/>
    <cellStyle name="Accent3 5 10" xfId="1793" xr:uid="{00000000-0005-0000-0000-0000D2050000}"/>
    <cellStyle name="Accent3 5 11" xfId="1792" xr:uid="{00000000-0005-0000-0000-0000D3050000}"/>
    <cellStyle name="Accent3 5 12" xfId="1794" xr:uid="{00000000-0005-0000-0000-0000D4050000}"/>
    <cellStyle name="Accent3 5 2" xfId="1791" xr:uid="{00000000-0005-0000-0000-0000D5050000}"/>
    <cellStyle name="Accent3 5 3" xfId="1790" xr:uid="{00000000-0005-0000-0000-0000D6050000}"/>
    <cellStyle name="Accent3 5 4" xfId="1789" xr:uid="{00000000-0005-0000-0000-0000D7050000}"/>
    <cellStyle name="Accent3 5 5" xfId="1788" xr:uid="{00000000-0005-0000-0000-0000D8050000}"/>
    <cellStyle name="Accent3 5 6" xfId="1787" xr:uid="{00000000-0005-0000-0000-0000D9050000}"/>
    <cellStyle name="Accent3 5 7" xfId="1786" xr:uid="{00000000-0005-0000-0000-0000DA050000}"/>
    <cellStyle name="Accent3 5 8" xfId="1785" xr:uid="{00000000-0005-0000-0000-0000DB050000}"/>
    <cellStyle name="Accent3 5 9" xfId="1784" xr:uid="{00000000-0005-0000-0000-0000DC050000}"/>
    <cellStyle name="Accent3 50" xfId="752" xr:uid="{00000000-0005-0000-0000-0000DD050000}"/>
    <cellStyle name="Accent3 51" xfId="753" xr:uid="{00000000-0005-0000-0000-0000DE050000}"/>
    <cellStyle name="Accent3 52" xfId="754" xr:uid="{00000000-0005-0000-0000-0000DF050000}"/>
    <cellStyle name="Accent3 53" xfId="755" xr:uid="{00000000-0005-0000-0000-0000E0050000}"/>
    <cellStyle name="Accent3 54" xfId="756" xr:uid="{00000000-0005-0000-0000-0000E1050000}"/>
    <cellStyle name="Accent3 55" xfId="757" xr:uid="{00000000-0005-0000-0000-0000E2050000}"/>
    <cellStyle name="Accent3 56" xfId="758" xr:uid="{00000000-0005-0000-0000-0000E3050000}"/>
    <cellStyle name="Accent3 57" xfId="759" xr:uid="{00000000-0005-0000-0000-0000E4050000}"/>
    <cellStyle name="Accent3 58" xfId="760" xr:uid="{00000000-0005-0000-0000-0000E5050000}"/>
    <cellStyle name="Accent3 59" xfId="761" xr:uid="{00000000-0005-0000-0000-0000E6050000}"/>
    <cellStyle name="Accent3 6" xfId="762" xr:uid="{00000000-0005-0000-0000-0000E7050000}"/>
    <cellStyle name="Accent3 6 2" xfId="1783" xr:uid="{00000000-0005-0000-0000-0000E8050000}"/>
    <cellStyle name="Accent3 60" xfId="763" xr:uid="{00000000-0005-0000-0000-0000E9050000}"/>
    <cellStyle name="Accent3 61" xfId="764" xr:uid="{00000000-0005-0000-0000-0000EA050000}"/>
    <cellStyle name="Accent3 62" xfId="765" xr:uid="{00000000-0005-0000-0000-0000EB050000}"/>
    <cellStyle name="Accent3 63" xfId="766" xr:uid="{00000000-0005-0000-0000-0000EC050000}"/>
    <cellStyle name="Accent3 64" xfId="767" xr:uid="{00000000-0005-0000-0000-0000ED050000}"/>
    <cellStyle name="Accent3 65" xfId="768" xr:uid="{00000000-0005-0000-0000-0000EE050000}"/>
    <cellStyle name="Accent3 66" xfId="769" xr:uid="{00000000-0005-0000-0000-0000EF050000}"/>
    <cellStyle name="Accent3 67" xfId="770" xr:uid="{00000000-0005-0000-0000-0000F0050000}"/>
    <cellStyle name="Accent3 68" xfId="771" xr:uid="{00000000-0005-0000-0000-0000F1050000}"/>
    <cellStyle name="Accent3 69" xfId="772" xr:uid="{00000000-0005-0000-0000-0000F2050000}"/>
    <cellStyle name="Accent3 7" xfId="773" xr:uid="{00000000-0005-0000-0000-0000F3050000}"/>
    <cellStyle name="Accent3 7 2" xfId="1782" xr:uid="{00000000-0005-0000-0000-0000F4050000}"/>
    <cellStyle name="Accent3 70" xfId="774" xr:uid="{00000000-0005-0000-0000-0000F5050000}"/>
    <cellStyle name="Accent3 71" xfId="775" xr:uid="{00000000-0005-0000-0000-0000F6050000}"/>
    <cellStyle name="Accent3 72" xfId="776" xr:uid="{00000000-0005-0000-0000-0000F7050000}"/>
    <cellStyle name="Accent3 73" xfId="777" xr:uid="{00000000-0005-0000-0000-0000F8050000}"/>
    <cellStyle name="Accent3 74" xfId="778" xr:uid="{00000000-0005-0000-0000-0000F9050000}"/>
    <cellStyle name="Accent3 75" xfId="779" xr:uid="{00000000-0005-0000-0000-0000FA050000}"/>
    <cellStyle name="Accent3 76" xfId="780" xr:uid="{00000000-0005-0000-0000-0000FB050000}"/>
    <cellStyle name="Accent3 77" xfId="781" xr:uid="{00000000-0005-0000-0000-0000FC050000}"/>
    <cellStyle name="Accent3 78" xfId="782" xr:uid="{00000000-0005-0000-0000-0000FD050000}"/>
    <cellStyle name="Accent3 79" xfId="783" xr:uid="{00000000-0005-0000-0000-0000FE050000}"/>
    <cellStyle name="Accent3 8" xfId="784" xr:uid="{00000000-0005-0000-0000-0000FF050000}"/>
    <cellStyle name="Accent3 8 2" xfId="1781" xr:uid="{00000000-0005-0000-0000-000000060000}"/>
    <cellStyle name="Accent3 80" xfId="785" xr:uid="{00000000-0005-0000-0000-000001060000}"/>
    <cellStyle name="Accent3 81" xfId="786" xr:uid="{00000000-0005-0000-0000-000002060000}"/>
    <cellStyle name="Accent3 82" xfId="787" xr:uid="{00000000-0005-0000-0000-000003060000}"/>
    <cellStyle name="Accent3 83" xfId="788" xr:uid="{00000000-0005-0000-0000-000004060000}"/>
    <cellStyle name="Accent3 84" xfId="789" xr:uid="{00000000-0005-0000-0000-000005060000}"/>
    <cellStyle name="Accent3 85" xfId="790" xr:uid="{00000000-0005-0000-0000-000006060000}"/>
    <cellStyle name="Accent3 86" xfId="791" xr:uid="{00000000-0005-0000-0000-000007060000}"/>
    <cellStyle name="Accent3 87" xfId="792" xr:uid="{00000000-0005-0000-0000-000008060000}"/>
    <cellStyle name="Accent3 88" xfId="793" xr:uid="{00000000-0005-0000-0000-000009060000}"/>
    <cellStyle name="Accent3 89" xfId="794" xr:uid="{00000000-0005-0000-0000-00000A060000}"/>
    <cellStyle name="Accent3 9" xfId="795" xr:uid="{00000000-0005-0000-0000-00000B060000}"/>
    <cellStyle name="Accent3 9 2" xfId="1780" xr:uid="{00000000-0005-0000-0000-00000C060000}"/>
    <cellStyle name="Accent3 90" xfId="796" xr:uid="{00000000-0005-0000-0000-00000D060000}"/>
    <cellStyle name="Accent3 91" xfId="797" xr:uid="{00000000-0005-0000-0000-00000E060000}"/>
    <cellStyle name="Accent3 92" xfId="798" xr:uid="{00000000-0005-0000-0000-00000F060000}"/>
    <cellStyle name="Accent3 93" xfId="799" xr:uid="{00000000-0005-0000-0000-000010060000}"/>
    <cellStyle name="Accent3 94" xfId="800" xr:uid="{00000000-0005-0000-0000-000011060000}"/>
    <cellStyle name="Accent3 95" xfId="801" xr:uid="{00000000-0005-0000-0000-000012060000}"/>
    <cellStyle name="Accent3 96" xfId="802" xr:uid="{00000000-0005-0000-0000-000013060000}"/>
    <cellStyle name="Accent3 97" xfId="803" xr:uid="{00000000-0005-0000-0000-000014060000}"/>
    <cellStyle name="Accent3 98" xfId="804" xr:uid="{00000000-0005-0000-0000-000015060000}"/>
    <cellStyle name="Accent3 99" xfId="805" xr:uid="{00000000-0005-0000-0000-000016060000}"/>
    <cellStyle name="Accent4 - 20%" xfId="806" xr:uid="{00000000-0005-0000-0000-000017060000}"/>
    <cellStyle name="Accent4 - 40%" xfId="807" xr:uid="{00000000-0005-0000-0000-000018060000}"/>
    <cellStyle name="Accent4 - 60%" xfId="808" xr:uid="{00000000-0005-0000-0000-000019060000}"/>
    <cellStyle name="Accent4 10" xfId="809" xr:uid="{00000000-0005-0000-0000-00001A060000}"/>
    <cellStyle name="Accent4 10 2" xfId="1779" xr:uid="{00000000-0005-0000-0000-00001B060000}"/>
    <cellStyle name="Accent4 100" xfId="810" xr:uid="{00000000-0005-0000-0000-00001C060000}"/>
    <cellStyle name="Accent4 101" xfId="811" xr:uid="{00000000-0005-0000-0000-00001D060000}"/>
    <cellStyle name="Accent4 102" xfId="812" xr:uid="{00000000-0005-0000-0000-00001E060000}"/>
    <cellStyle name="Accent4 103" xfId="813" xr:uid="{00000000-0005-0000-0000-00001F060000}"/>
    <cellStyle name="Accent4 104" xfId="814" xr:uid="{00000000-0005-0000-0000-000020060000}"/>
    <cellStyle name="Accent4 105" xfId="815" xr:uid="{00000000-0005-0000-0000-000021060000}"/>
    <cellStyle name="Accent4 106" xfId="816" xr:uid="{00000000-0005-0000-0000-000022060000}"/>
    <cellStyle name="Accent4 107" xfId="817" xr:uid="{00000000-0005-0000-0000-000023060000}"/>
    <cellStyle name="Accent4 108" xfId="73" xr:uid="{00000000-0005-0000-0000-000024060000}"/>
    <cellStyle name="Accent4 11" xfId="818" xr:uid="{00000000-0005-0000-0000-000025060000}"/>
    <cellStyle name="Accent4 11 2" xfId="1778" xr:uid="{00000000-0005-0000-0000-000026060000}"/>
    <cellStyle name="Accent4 12" xfId="819" xr:uid="{00000000-0005-0000-0000-000027060000}"/>
    <cellStyle name="Accent4 12 2" xfId="442" xr:uid="{00000000-0005-0000-0000-000028060000}"/>
    <cellStyle name="Accent4 13" xfId="820" xr:uid="{00000000-0005-0000-0000-000029060000}"/>
    <cellStyle name="Accent4 13 2" xfId="444" xr:uid="{00000000-0005-0000-0000-00002A060000}"/>
    <cellStyle name="Accent4 14" xfId="821" xr:uid="{00000000-0005-0000-0000-00002B060000}"/>
    <cellStyle name="Accent4 14 2" xfId="446" xr:uid="{00000000-0005-0000-0000-00002C060000}"/>
    <cellStyle name="Accent4 15" xfId="822" xr:uid="{00000000-0005-0000-0000-00002D060000}"/>
    <cellStyle name="Accent4 15 2" xfId="448" xr:uid="{00000000-0005-0000-0000-00002E060000}"/>
    <cellStyle name="Accent4 16" xfId="823" xr:uid="{00000000-0005-0000-0000-00002F060000}"/>
    <cellStyle name="Accent4 17" xfId="824" xr:uid="{00000000-0005-0000-0000-000030060000}"/>
    <cellStyle name="Accent4 18" xfId="825" xr:uid="{00000000-0005-0000-0000-000031060000}"/>
    <cellStyle name="Accent4 19" xfId="826" xr:uid="{00000000-0005-0000-0000-000032060000}"/>
    <cellStyle name="Accent4 2" xfId="74" xr:uid="{00000000-0005-0000-0000-000033060000}"/>
    <cellStyle name="Accent4 2 10" xfId="452" xr:uid="{00000000-0005-0000-0000-000034060000}"/>
    <cellStyle name="Accent4 2 11" xfId="454" xr:uid="{00000000-0005-0000-0000-000035060000}"/>
    <cellStyle name="Accent4 2 12" xfId="450" xr:uid="{00000000-0005-0000-0000-000036060000}"/>
    <cellStyle name="Accent4 2 2" xfId="827" xr:uid="{00000000-0005-0000-0000-000037060000}"/>
    <cellStyle name="Accent4 2 2 2" xfId="456" xr:uid="{00000000-0005-0000-0000-000038060000}"/>
    <cellStyle name="Accent4 2 3" xfId="458" xr:uid="{00000000-0005-0000-0000-000039060000}"/>
    <cellStyle name="Accent4 2 4" xfId="460" xr:uid="{00000000-0005-0000-0000-00003A060000}"/>
    <cellStyle name="Accent4 2 5" xfId="462" xr:uid="{00000000-0005-0000-0000-00003B060000}"/>
    <cellStyle name="Accent4 2 6" xfId="464" xr:uid="{00000000-0005-0000-0000-00003C060000}"/>
    <cellStyle name="Accent4 2 7" xfId="466" xr:uid="{00000000-0005-0000-0000-00003D060000}"/>
    <cellStyle name="Accent4 2 8" xfId="468" xr:uid="{00000000-0005-0000-0000-00003E060000}"/>
    <cellStyle name="Accent4 2 9" xfId="470" xr:uid="{00000000-0005-0000-0000-00003F060000}"/>
    <cellStyle name="Accent4 20" xfId="828" xr:uid="{00000000-0005-0000-0000-000040060000}"/>
    <cellStyle name="Accent4 21" xfId="829" xr:uid="{00000000-0005-0000-0000-000041060000}"/>
    <cellStyle name="Accent4 22" xfId="830" xr:uid="{00000000-0005-0000-0000-000042060000}"/>
    <cellStyle name="Accent4 23" xfId="831" xr:uid="{00000000-0005-0000-0000-000043060000}"/>
    <cellStyle name="Accent4 24" xfId="832" xr:uid="{00000000-0005-0000-0000-000044060000}"/>
    <cellStyle name="Accent4 25" xfId="833" xr:uid="{00000000-0005-0000-0000-000045060000}"/>
    <cellStyle name="Accent4 26" xfId="834" xr:uid="{00000000-0005-0000-0000-000046060000}"/>
    <cellStyle name="Accent4 27" xfId="835" xr:uid="{00000000-0005-0000-0000-000047060000}"/>
    <cellStyle name="Accent4 28" xfId="836" xr:uid="{00000000-0005-0000-0000-000048060000}"/>
    <cellStyle name="Accent4 29" xfId="837" xr:uid="{00000000-0005-0000-0000-000049060000}"/>
    <cellStyle name="Accent4 3" xfId="75" xr:uid="{00000000-0005-0000-0000-00004A060000}"/>
    <cellStyle name="Accent4 3 10" xfId="474" xr:uid="{00000000-0005-0000-0000-00004B060000}"/>
    <cellStyle name="Accent4 3 11" xfId="476" xr:uid="{00000000-0005-0000-0000-00004C060000}"/>
    <cellStyle name="Accent4 3 12" xfId="472" xr:uid="{00000000-0005-0000-0000-00004D060000}"/>
    <cellStyle name="Accent4 3 2" xfId="477" xr:uid="{00000000-0005-0000-0000-00004E060000}"/>
    <cellStyle name="Accent4 3 3" xfId="478" xr:uid="{00000000-0005-0000-0000-00004F060000}"/>
    <cellStyle name="Accent4 3 4" xfId="511" xr:uid="{00000000-0005-0000-0000-000050060000}"/>
    <cellStyle name="Accent4 3 5" xfId="620" xr:uid="{00000000-0005-0000-0000-000051060000}"/>
    <cellStyle name="Accent4 3 6" xfId="729" xr:uid="{00000000-0005-0000-0000-000052060000}"/>
    <cellStyle name="Accent4 3 7" xfId="838" xr:uid="{00000000-0005-0000-0000-000053060000}"/>
    <cellStyle name="Accent4 3 8" xfId="947" xr:uid="{00000000-0005-0000-0000-000054060000}"/>
    <cellStyle name="Accent4 3 9" xfId="1056" xr:uid="{00000000-0005-0000-0000-000055060000}"/>
    <cellStyle name="Accent4 30" xfId="839" xr:uid="{00000000-0005-0000-0000-000056060000}"/>
    <cellStyle name="Accent4 31" xfId="840" xr:uid="{00000000-0005-0000-0000-000057060000}"/>
    <cellStyle name="Accent4 32" xfId="841" xr:uid="{00000000-0005-0000-0000-000058060000}"/>
    <cellStyle name="Accent4 33" xfId="842" xr:uid="{00000000-0005-0000-0000-000059060000}"/>
    <cellStyle name="Accent4 34" xfId="843" xr:uid="{00000000-0005-0000-0000-00005A060000}"/>
    <cellStyle name="Accent4 35" xfId="844" xr:uid="{00000000-0005-0000-0000-00005B060000}"/>
    <cellStyle name="Accent4 36" xfId="845" xr:uid="{00000000-0005-0000-0000-00005C060000}"/>
    <cellStyle name="Accent4 37" xfId="846" xr:uid="{00000000-0005-0000-0000-00005D060000}"/>
    <cellStyle name="Accent4 38" xfId="847" xr:uid="{00000000-0005-0000-0000-00005E060000}"/>
    <cellStyle name="Accent4 39" xfId="848" xr:uid="{00000000-0005-0000-0000-00005F060000}"/>
    <cellStyle name="Accent4 4" xfId="849" xr:uid="{00000000-0005-0000-0000-000060060000}"/>
    <cellStyle name="Accent4 4 10" xfId="1137" xr:uid="{00000000-0005-0000-0000-000061060000}"/>
    <cellStyle name="Accent4 4 11" xfId="1140" xr:uid="{00000000-0005-0000-0000-000062060000}"/>
    <cellStyle name="Accent4 4 12" xfId="1134" xr:uid="{00000000-0005-0000-0000-000063060000}"/>
    <cellStyle name="Accent4 4 2" xfId="1142" xr:uid="{00000000-0005-0000-0000-000064060000}"/>
    <cellStyle name="Accent4 4 3" xfId="1143" xr:uid="{00000000-0005-0000-0000-000065060000}"/>
    <cellStyle name="Accent4 4 4" xfId="1148" xr:uid="{00000000-0005-0000-0000-000066060000}"/>
    <cellStyle name="Accent4 4 5" xfId="1149" xr:uid="{00000000-0005-0000-0000-000067060000}"/>
    <cellStyle name="Accent4 4 6" xfId="1150" xr:uid="{00000000-0005-0000-0000-000068060000}"/>
    <cellStyle name="Accent4 4 7" xfId="1167" xr:uid="{00000000-0005-0000-0000-000069060000}"/>
    <cellStyle name="Accent4 4 8" xfId="1206" xr:uid="{00000000-0005-0000-0000-00006A060000}"/>
    <cellStyle name="Accent4 4 9" xfId="1219" xr:uid="{00000000-0005-0000-0000-00006B060000}"/>
    <cellStyle name="Accent4 40" xfId="850" xr:uid="{00000000-0005-0000-0000-00006C060000}"/>
    <cellStyle name="Accent4 41" xfId="851" xr:uid="{00000000-0005-0000-0000-00006D060000}"/>
    <cellStyle name="Accent4 42" xfId="852" xr:uid="{00000000-0005-0000-0000-00006E060000}"/>
    <cellStyle name="Accent4 43" xfId="853" xr:uid="{00000000-0005-0000-0000-00006F060000}"/>
    <cellStyle name="Accent4 44" xfId="854" xr:uid="{00000000-0005-0000-0000-000070060000}"/>
    <cellStyle name="Accent4 45" xfId="855" xr:uid="{00000000-0005-0000-0000-000071060000}"/>
    <cellStyle name="Accent4 46" xfId="856" xr:uid="{00000000-0005-0000-0000-000072060000}"/>
    <cellStyle name="Accent4 47" xfId="857" xr:uid="{00000000-0005-0000-0000-000073060000}"/>
    <cellStyle name="Accent4 48" xfId="858" xr:uid="{00000000-0005-0000-0000-000074060000}"/>
    <cellStyle name="Accent4 49" xfId="859" xr:uid="{00000000-0005-0000-0000-000075060000}"/>
    <cellStyle name="Accent4 5" xfId="860" xr:uid="{00000000-0005-0000-0000-000076060000}"/>
    <cellStyle name="Accent4 5 10" xfId="1221" xr:uid="{00000000-0005-0000-0000-000077060000}"/>
    <cellStyle name="Accent4 5 11" xfId="1223" xr:uid="{00000000-0005-0000-0000-000078060000}"/>
    <cellStyle name="Accent4 5 12" xfId="1220" xr:uid="{00000000-0005-0000-0000-000079060000}"/>
    <cellStyle name="Accent4 5 2" xfId="1224" xr:uid="{00000000-0005-0000-0000-00007A060000}"/>
    <cellStyle name="Accent4 5 3" xfId="1229" xr:uid="{00000000-0005-0000-0000-00007B060000}"/>
    <cellStyle name="Accent4 5 4" xfId="1231" xr:uid="{00000000-0005-0000-0000-00007C060000}"/>
    <cellStyle name="Accent4 5 5" xfId="1233" xr:uid="{00000000-0005-0000-0000-00007D060000}"/>
    <cellStyle name="Accent4 5 6" xfId="1234" xr:uid="{00000000-0005-0000-0000-00007E060000}"/>
    <cellStyle name="Accent4 5 7" xfId="1235" xr:uid="{00000000-0005-0000-0000-00007F060000}"/>
    <cellStyle name="Accent4 5 8" xfId="1237" xr:uid="{00000000-0005-0000-0000-000080060000}"/>
    <cellStyle name="Accent4 5 9" xfId="1240" xr:uid="{00000000-0005-0000-0000-000081060000}"/>
    <cellStyle name="Accent4 50" xfId="861" xr:uid="{00000000-0005-0000-0000-000082060000}"/>
    <cellStyle name="Accent4 51" xfId="862" xr:uid="{00000000-0005-0000-0000-000083060000}"/>
    <cellStyle name="Accent4 52" xfId="863" xr:uid="{00000000-0005-0000-0000-000084060000}"/>
    <cellStyle name="Accent4 53" xfId="864" xr:uid="{00000000-0005-0000-0000-000085060000}"/>
    <cellStyle name="Accent4 54" xfId="865" xr:uid="{00000000-0005-0000-0000-000086060000}"/>
    <cellStyle name="Accent4 55" xfId="866" xr:uid="{00000000-0005-0000-0000-000087060000}"/>
    <cellStyle name="Accent4 56" xfId="867" xr:uid="{00000000-0005-0000-0000-000088060000}"/>
    <cellStyle name="Accent4 57" xfId="868" xr:uid="{00000000-0005-0000-0000-000089060000}"/>
    <cellStyle name="Accent4 58" xfId="869" xr:uid="{00000000-0005-0000-0000-00008A060000}"/>
    <cellStyle name="Accent4 59" xfId="870" xr:uid="{00000000-0005-0000-0000-00008B060000}"/>
    <cellStyle name="Accent4 6" xfId="871" xr:uid="{00000000-0005-0000-0000-00008C060000}"/>
    <cellStyle name="Accent4 6 2" xfId="1243" xr:uid="{00000000-0005-0000-0000-00008D060000}"/>
    <cellStyle name="Accent4 60" xfId="872" xr:uid="{00000000-0005-0000-0000-00008E060000}"/>
    <cellStyle name="Accent4 61" xfId="873" xr:uid="{00000000-0005-0000-0000-00008F060000}"/>
    <cellStyle name="Accent4 62" xfId="874" xr:uid="{00000000-0005-0000-0000-000090060000}"/>
    <cellStyle name="Accent4 63" xfId="875" xr:uid="{00000000-0005-0000-0000-000091060000}"/>
    <cellStyle name="Accent4 64" xfId="876" xr:uid="{00000000-0005-0000-0000-000092060000}"/>
    <cellStyle name="Accent4 65" xfId="877" xr:uid="{00000000-0005-0000-0000-000093060000}"/>
    <cellStyle name="Accent4 66" xfId="878" xr:uid="{00000000-0005-0000-0000-000094060000}"/>
    <cellStyle name="Accent4 67" xfId="879" xr:uid="{00000000-0005-0000-0000-000095060000}"/>
    <cellStyle name="Accent4 68" xfId="880" xr:uid="{00000000-0005-0000-0000-000096060000}"/>
    <cellStyle name="Accent4 69" xfId="881" xr:uid="{00000000-0005-0000-0000-000097060000}"/>
    <cellStyle name="Accent4 7" xfId="882" xr:uid="{00000000-0005-0000-0000-000098060000}"/>
    <cellStyle name="Accent4 7 2" xfId="1246" xr:uid="{00000000-0005-0000-0000-000099060000}"/>
    <cellStyle name="Accent4 70" xfId="883" xr:uid="{00000000-0005-0000-0000-00009A060000}"/>
    <cellStyle name="Accent4 71" xfId="884" xr:uid="{00000000-0005-0000-0000-00009B060000}"/>
    <cellStyle name="Accent4 72" xfId="885" xr:uid="{00000000-0005-0000-0000-00009C060000}"/>
    <cellStyle name="Accent4 73" xfId="886" xr:uid="{00000000-0005-0000-0000-00009D060000}"/>
    <cellStyle name="Accent4 74" xfId="887" xr:uid="{00000000-0005-0000-0000-00009E060000}"/>
    <cellStyle name="Accent4 75" xfId="888" xr:uid="{00000000-0005-0000-0000-00009F060000}"/>
    <cellStyle name="Accent4 76" xfId="889" xr:uid="{00000000-0005-0000-0000-0000A0060000}"/>
    <cellStyle name="Accent4 77" xfId="890" xr:uid="{00000000-0005-0000-0000-0000A1060000}"/>
    <cellStyle name="Accent4 78" xfId="891" xr:uid="{00000000-0005-0000-0000-0000A2060000}"/>
    <cellStyle name="Accent4 79" xfId="892" xr:uid="{00000000-0005-0000-0000-0000A3060000}"/>
    <cellStyle name="Accent4 8" xfId="893" xr:uid="{00000000-0005-0000-0000-0000A4060000}"/>
    <cellStyle name="Accent4 8 2" xfId="1248" xr:uid="{00000000-0005-0000-0000-0000A5060000}"/>
    <cellStyle name="Accent4 80" xfId="894" xr:uid="{00000000-0005-0000-0000-0000A6060000}"/>
    <cellStyle name="Accent4 81" xfId="895" xr:uid="{00000000-0005-0000-0000-0000A7060000}"/>
    <cellStyle name="Accent4 82" xfId="896" xr:uid="{00000000-0005-0000-0000-0000A8060000}"/>
    <cellStyle name="Accent4 83" xfId="897" xr:uid="{00000000-0005-0000-0000-0000A9060000}"/>
    <cellStyle name="Accent4 84" xfId="898" xr:uid="{00000000-0005-0000-0000-0000AA060000}"/>
    <cellStyle name="Accent4 85" xfId="899" xr:uid="{00000000-0005-0000-0000-0000AB060000}"/>
    <cellStyle name="Accent4 86" xfId="900" xr:uid="{00000000-0005-0000-0000-0000AC060000}"/>
    <cellStyle name="Accent4 87" xfId="901" xr:uid="{00000000-0005-0000-0000-0000AD060000}"/>
    <cellStyle name="Accent4 88" xfId="902" xr:uid="{00000000-0005-0000-0000-0000AE060000}"/>
    <cellStyle name="Accent4 89" xfId="903" xr:uid="{00000000-0005-0000-0000-0000AF060000}"/>
    <cellStyle name="Accent4 9" xfId="904" xr:uid="{00000000-0005-0000-0000-0000B0060000}"/>
    <cellStyle name="Accent4 9 2" xfId="1249" xr:uid="{00000000-0005-0000-0000-0000B1060000}"/>
    <cellStyle name="Accent4 90" xfId="905" xr:uid="{00000000-0005-0000-0000-0000B2060000}"/>
    <cellStyle name="Accent4 91" xfId="906" xr:uid="{00000000-0005-0000-0000-0000B3060000}"/>
    <cellStyle name="Accent4 92" xfId="907" xr:uid="{00000000-0005-0000-0000-0000B4060000}"/>
    <cellStyle name="Accent4 93" xfId="908" xr:uid="{00000000-0005-0000-0000-0000B5060000}"/>
    <cellStyle name="Accent4 94" xfId="909" xr:uid="{00000000-0005-0000-0000-0000B6060000}"/>
    <cellStyle name="Accent4 95" xfId="910" xr:uid="{00000000-0005-0000-0000-0000B7060000}"/>
    <cellStyle name="Accent4 96" xfId="911" xr:uid="{00000000-0005-0000-0000-0000B8060000}"/>
    <cellStyle name="Accent4 97" xfId="912" xr:uid="{00000000-0005-0000-0000-0000B9060000}"/>
    <cellStyle name="Accent4 98" xfId="913" xr:uid="{00000000-0005-0000-0000-0000BA060000}"/>
    <cellStyle name="Accent4 99" xfId="914" xr:uid="{00000000-0005-0000-0000-0000BB060000}"/>
    <cellStyle name="Accent5 - 20%" xfId="915" xr:uid="{00000000-0005-0000-0000-0000BC060000}"/>
    <cellStyle name="Accent5 - 40%" xfId="916" xr:uid="{00000000-0005-0000-0000-0000BD060000}"/>
    <cellStyle name="Accent5 - 60%" xfId="917" xr:uid="{00000000-0005-0000-0000-0000BE060000}"/>
    <cellStyle name="Accent5 10" xfId="918" xr:uid="{00000000-0005-0000-0000-0000BF060000}"/>
    <cellStyle name="Accent5 10 2" xfId="1250" xr:uid="{00000000-0005-0000-0000-0000C0060000}"/>
    <cellStyle name="Accent5 100" xfId="919" xr:uid="{00000000-0005-0000-0000-0000C1060000}"/>
    <cellStyle name="Accent5 101" xfId="920" xr:uid="{00000000-0005-0000-0000-0000C2060000}"/>
    <cellStyle name="Accent5 102" xfId="921" xr:uid="{00000000-0005-0000-0000-0000C3060000}"/>
    <cellStyle name="Accent5 103" xfId="922" xr:uid="{00000000-0005-0000-0000-0000C4060000}"/>
    <cellStyle name="Accent5 104" xfId="923" xr:uid="{00000000-0005-0000-0000-0000C5060000}"/>
    <cellStyle name="Accent5 105" xfId="924" xr:uid="{00000000-0005-0000-0000-0000C6060000}"/>
    <cellStyle name="Accent5 106" xfId="925" xr:uid="{00000000-0005-0000-0000-0000C7060000}"/>
    <cellStyle name="Accent5 107" xfId="926" xr:uid="{00000000-0005-0000-0000-0000C8060000}"/>
    <cellStyle name="Accent5 108" xfId="76" xr:uid="{00000000-0005-0000-0000-0000C9060000}"/>
    <cellStyle name="Accent5 11" xfId="927" xr:uid="{00000000-0005-0000-0000-0000CA060000}"/>
    <cellStyle name="Accent5 11 2" xfId="1251" xr:uid="{00000000-0005-0000-0000-0000CB060000}"/>
    <cellStyle name="Accent5 12" xfId="928" xr:uid="{00000000-0005-0000-0000-0000CC060000}"/>
    <cellStyle name="Accent5 12 2" xfId="1252" xr:uid="{00000000-0005-0000-0000-0000CD060000}"/>
    <cellStyle name="Accent5 13" xfId="929" xr:uid="{00000000-0005-0000-0000-0000CE060000}"/>
    <cellStyle name="Accent5 13 2" xfId="1256" xr:uid="{00000000-0005-0000-0000-0000CF060000}"/>
    <cellStyle name="Accent5 14" xfId="930" xr:uid="{00000000-0005-0000-0000-0000D0060000}"/>
    <cellStyle name="Accent5 14 2" xfId="1257" xr:uid="{00000000-0005-0000-0000-0000D1060000}"/>
    <cellStyle name="Accent5 15" xfId="931" xr:uid="{00000000-0005-0000-0000-0000D2060000}"/>
    <cellStyle name="Accent5 15 2" xfId="1258" xr:uid="{00000000-0005-0000-0000-0000D3060000}"/>
    <cellStyle name="Accent5 16" xfId="932" xr:uid="{00000000-0005-0000-0000-0000D4060000}"/>
    <cellStyle name="Accent5 17" xfId="933" xr:uid="{00000000-0005-0000-0000-0000D5060000}"/>
    <cellStyle name="Accent5 18" xfId="934" xr:uid="{00000000-0005-0000-0000-0000D6060000}"/>
    <cellStyle name="Accent5 19" xfId="935" xr:uid="{00000000-0005-0000-0000-0000D7060000}"/>
    <cellStyle name="Accent5 2" xfId="77" xr:uid="{00000000-0005-0000-0000-0000D8060000}"/>
    <cellStyle name="Accent5 2 10" xfId="1260" xr:uid="{00000000-0005-0000-0000-0000D9060000}"/>
    <cellStyle name="Accent5 2 11" xfId="1261" xr:uid="{00000000-0005-0000-0000-0000DA060000}"/>
    <cellStyle name="Accent5 2 12" xfId="1259" xr:uid="{00000000-0005-0000-0000-0000DB060000}"/>
    <cellStyle name="Accent5 2 2" xfId="936" xr:uid="{00000000-0005-0000-0000-0000DC060000}"/>
    <cellStyle name="Accent5 2 2 2" xfId="1262" xr:uid="{00000000-0005-0000-0000-0000DD060000}"/>
    <cellStyle name="Accent5 2 3" xfId="1263" xr:uid="{00000000-0005-0000-0000-0000DE060000}"/>
    <cellStyle name="Accent5 2 4" xfId="1264" xr:uid="{00000000-0005-0000-0000-0000DF060000}"/>
    <cellStyle name="Accent5 2 5" xfId="1372" xr:uid="{00000000-0005-0000-0000-0000E0060000}"/>
    <cellStyle name="Accent5 2 6" xfId="1374" xr:uid="{00000000-0005-0000-0000-0000E1060000}"/>
    <cellStyle name="Accent5 2 7" xfId="1375" xr:uid="{00000000-0005-0000-0000-0000E2060000}"/>
    <cellStyle name="Accent5 2 8" xfId="1376" xr:uid="{00000000-0005-0000-0000-0000E3060000}"/>
    <cellStyle name="Accent5 2 9" xfId="1377" xr:uid="{00000000-0005-0000-0000-0000E4060000}"/>
    <cellStyle name="Accent5 20" xfId="937" xr:uid="{00000000-0005-0000-0000-0000E5060000}"/>
    <cellStyle name="Accent5 21" xfId="938" xr:uid="{00000000-0005-0000-0000-0000E6060000}"/>
    <cellStyle name="Accent5 22" xfId="939" xr:uid="{00000000-0005-0000-0000-0000E7060000}"/>
    <cellStyle name="Accent5 23" xfId="940" xr:uid="{00000000-0005-0000-0000-0000E8060000}"/>
    <cellStyle name="Accent5 24" xfId="941" xr:uid="{00000000-0005-0000-0000-0000E9060000}"/>
    <cellStyle name="Accent5 25" xfId="942" xr:uid="{00000000-0005-0000-0000-0000EA060000}"/>
    <cellStyle name="Accent5 26" xfId="943" xr:uid="{00000000-0005-0000-0000-0000EB060000}"/>
    <cellStyle name="Accent5 27" xfId="944" xr:uid="{00000000-0005-0000-0000-0000EC060000}"/>
    <cellStyle name="Accent5 28" xfId="945" xr:uid="{00000000-0005-0000-0000-0000ED060000}"/>
    <cellStyle name="Accent5 29" xfId="946" xr:uid="{00000000-0005-0000-0000-0000EE060000}"/>
    <cellStyle name="Accent5 3" xfId="78" xr:uid="{00000000-0005-0000-0000-0000EF060000}"/>
    <cellStyle name="Accent5 3 10" xfId="1381" xr:uid="{00000000-0005-0000-0000-0000F0060000}"/>
    <cellStyle name="Accent5 3 11" xfId="1382" xr:uid="{00000000-0005-0000-0000-0000F1060000}"/>
    <cellStyle name="Accent5 3 12" xfId="1379" xr:uid="{00000000-0005-0000-0000-0000F2060000}"/>
    <cellStyle name="Accent5 3 2" xfId="1383" xr:uid="{00000000-0005-0000-0000-0000F3060000}"/>
    <cellStyle name="Accent5 3 3" xfId="1384" xr:uid="{00000000-0005-0000-0000-0000F4060000}"/>
    <cellStyle name="Accent5 3 4" xfId="1395" xr:uid="{00000000-0005-0000-0000-0000F5060000}"/>
    <cellStyle name="Accent5 3 5" xfId="1406" xr:uid="{00000000-0005-0000-0000-0000F6060000}"/>
    <cellStyle name="Accent5 3 6" xfId="1418" xr:uid="{00000000-0005-0000-0000-0000F7060000}"/>
    <cellStyle name="Accent5 3 7" xfId="1429" xr:uid="{00000000-0005-0000-0000-0000F8060000}"/>
    <cellStyle name="Accent5 3 8" xfId="1440" xr:uid="{00000000-0005-0000-0000-0000F9060000}"/>
    <cellStyle name="Accent5 3 9" xfId="1451" xr:uid="{00000000-0005-0000-0000-0000FA060000}"/>
    <cellStyle name="Accent5 30" xfId="948" xr:uid="{00000000-0005-0000-0000-0000FB060000}"/>
    <cellStyle name="Accent5 31" xfId="949" xr:uid="{00000000-0005-0000-0000-0000FC060000}"/>
    <cellStyle name="Accent5 32" xfId="950" xr:uid="{00000000-0005-0000-0000-0000FD060000}"/>
    <cellStyle name="Accent5 33" xfId="951" xr:uid="{00000000-0005-0000-0000-0000FE060000}"/>
    <cellStyle name="Accent5 34" xfId="952" xr:uid="{00000000-0005-0000-0000-0000FF060000}"/>
    <cellStyle name="Accent5 35" xfId="953" xr:uid="{00000000-0005-0000-0000-000000070000}"/>
    <cellStyle name="Accent5 36" xfId="954" xr:uid="{00000000-0005-0000-0000-000001070000}"/>
    <cellStyle name="Accent5 37" xfId="955" xr:uid="{00000000-0005-0000-0000-000002070000}"/>
    <cellStyle name="Accent5 38" xfId="956" xr:uid="{00000000-0005-0000-0000-000003070000}"/>
    <cellStyle name="Accent5 39" xfId="957" xr:uid="{00000000-0005-0000-0000-000004070000}"/>
    <cellStyle name="Accent5 4" xfId="958" xr:uid="{00000000-0005-0000-0000-000005070000}"/>
    <cellStyle name="Accent5 4 10" xfId="1473" xr:uid="{00000000-0005-0000-0000-000006070000}"/>
    <cellStyle name="Accent5 4 11" xfId="1484" xr:uid="{00000000-0005-0000-0000-000007070000}"/>
    <cellStyle name="Accent5 4 12" xfId="1462" xr:uid="{00000000-0005-0000-0000-000008070000}"/>
    <cellStyle name="Accent5 4 2" xfId="1495" xr:uid="{00000000-0005-0000-0000-000009070000}"/>
    <cellStyle name="Accent5 4 3" xfId="1496" xr:uid="{00000000-0005-0000-0000-00000A070000}"/>
    <cellStyle name="Accent5 4 4" xfId="1503" xr:uid="{00000000-0005-0000-0000-00000B070000}"/>
    <cellStyle name="Accent5 4 5" xfId="1514" xr:uid="{00000000-0005-0000-0000-00000C070000}"/>
    <cellStyle name="Accent5 4 6" xfId="1525" xr:uid="{00000000-0005-0000-0000-00000D070000}"/>
    <cellStyle name="Accent5 4 7" xfId="1536" xr:uid="{00000000-0005-0000-0000-00000E070000}"/>
    <cellStyle name="Accent5 4 8" xfId="1546" xr:uid="{00000000-0005-0000-0000-00000F070000}"/>
    <cellStyle name="Accent5 4 9" xfId="1549" xr:uid="{00000000-0005-0000-0000-000010070000}"/>
    <cellStyle name="Accent5 40" xfId="959" xr:uid="{00000000-0005-0000-0000-000011070000}"/>
    <cellStyle name="Accent5 41" xfId="960" xr:uid="{00000000-0005-0000-0000-000012070000}"/>
    <cellStyle name="Accent5 42" xfId="961" xr:uid="{00000000-0005-0000-0000-000013070000}"/>
    <cellStyle name="Accent5 43" xfId="962" xr:uid="{00000000-0005-0000-0000-000014070000}"/>
    <cellStyle name="Accent5 44" xfId="963" xr:uid="{00000000-0005-0000-0000-000015070000}"/>
    <cellStyle name="Accent5 45" xfId="964" xr:uid="{00000000-0005-0000-0000-000016070000}"/>
    <cellStyle name="Accent5 46" xfId="965" xr:uid="{00000000-0005-0000-0000-000017070000}"/>
    <cellStyle name="Accent5 47" xfId="966" xr:uid="{00000000-0005-0000-0000-000018070000}"/>
    <cellStyle name="Accent5 48" xfId="967" xr:uid="{00000000-0005-0000-0000-000019070000}"/>
    <cellStyle name="Accent5 49" xfId="968" xr:uid="{00000000-0005-0000-0000-00001A070000}"/>
    <cellStyle name="Accent5 5" xfId="969" xr:uid="{00000000-0005-0000-0000-00001B070000}"/>
    <cellStyle name="Accent5 5 10" xfId="1551" xr:uid="{00000000-0005-0000-0000-00001C070000}"/>
    <cellStyle name="Accent5 5 11" xfId="1553" xr:uid="{00000000-0005-0000-0000-00001D070000}"/>
    <cellStyle name="Accent5 5 12" xfId="1550" xr:uid="{00000000-0005-0000-0000-00001E070000}"/>
    <cellStyle name="Accent5 5 2" xfId="1554" xr:uid="{00000000-0005-0000-0000-00001F070000}"/>
    <cellStyle name="Accent5 5 3" xfId="1555" xr:uid="{00000000-0005-0000-0000-000020070000}"/>
    <cellStyle name="Accent5 5 4" xfId="1556" xr:uid="{00000000-0005-0000-0000-000021070000}"/>
    <cellStyle name="Accent5 5 5" xfId="1557" xr:uid="{00000000-0005-0000-0000-000022070000}"/>
    <cellStyle name="Accent5 5 6" xfId="1558" xr:uid="{00000000-0005-0000-0000-000023070000}"/>
    <cellStyle name="Accent5 5 7" xfId="1559" xr:uid="{00000000-0005-0000-0000-000024070000}"/>
    <cellStyle name="Accent5 5 8" xfId="1560" xr:uid="{00000000-0005-0000-0000-000025070000}"/>
    <cellStyle name="Accent5 5 9" xfId="1561" xr:uid="{00000000-0005-0000-0000-000026070000}"/>
    <cellStyle name="Accent5 50" xfId="970" xr:uid="{00000000-0005-0000-0000-000027070000}"/>
    <cellStyle name="Accent5 51" xfId="971" xr:uid="{00000000-0005-0000-0000-000028070000}"/>
    <cellStyle name="Accent5 52" xfId="972" xr:uid="{00000000-0005-0000-0000-000029070000}"/>
    <cellStyle name="Accent5 53" xfId="973" xr:uid="{00000000-0005-0000-0000-00002A070000}"/>
    <cellStyle name="Accent5 54" xfId="974" xr:uid="{00000000-0005-0000-0000-00002B070000}"/>
    <cellStyle name="Accent5 55" xfId="975" xr:uid="{00000000-0005-0000-0000-00002C070000}"/>
    <cellStyle name="Accent5 56" xfId="976" xr:uid="{00000000-0005-0000-0000-00002D070000}"/>
    <cellStyle name="Accent5 57" xfId="977" xr:uid="{00000000-0005-0000-0000-00002E070000}"/>
    <cellStyle name="Accent5 58" xfId="978" xr:uid="{00000000-0005-0000-0000-00002F070000}"/>
    <cellStyle name="Accent5 59" xfId="979" xr:uid="{00000000-0005-0000-0000-000030070000}"/>
    <cellStyle name="Accent5 6" xfId="980" xr:uid="{00000000-0005-0000-0000-000031070000}"/>
    <cellStyle name="Accent5 6 2" xfId="1562" xr:uid="{00000000-0005-0000-0000-000032070000}"/>
    <cellStyle name="Accent5 60" xfId="981" xr:uid="{00000000-0005-0000-0000-000033070000}"/>
    <cellStyle name="Accent5 61" xfId="982" xr:uid="{00000000-0005-0000-0000-000034070000}"/>
    <cellStyle name="Accent5 62" xfId="983" xr:uid="{00000000-0005-0000-0000-000035070000}"/>
    <cellStyle name="Accent5 63" xfId="984" xr:uid="{00000000-0005-0000-0000-000036070000}"/>
    <cellStyle name="Accent5 64" xfId="985" xr:uid="{00000000-0005-0000-0000-000037070000}"/>
    <cellStyle name="Accent5 65" xfId="986" xr:uid="{00000000-0005-0000-0000-000038070000}"/>
    <cellStyle name="Accent5 66" xfId="987" xr:uid="{00000000-0005-0000-0000-000039070000}"/>
    <cellStyle name="Accent5 67" xfId="988" xr:uid="{00000000-0005-0000-0000-00003A070000}"/>
    <cellStyle name="Accent5 68" xfId="989" xr:uid="{00000000-0005-0000-0000-00003B070000}"/>
    <cellStyle name="Accent5 69" xfId="990" xr:uid="{00000000-0005-0000-0000-00003C070000}"/>
    <cellStyle name="Accent5 7" xfId="991" xr:uid="{00000000-0005-0000-0000-00003D070000}"/>
    <cellStyle name="Accent5 7 2" xfId="1563" xr:uid="{00000000-0005-0000-0000-00003E070000}"/>
    <cellStyle name="Accent5 70" xfId="992" xr:uid="{00000000-0005-0000-0000-00003F070000}"/>
    <cellStyle name="Accent5 71" xfId="993" xr:uid="{00000000-0005-0000-0000-000040070000}"/>
    <cellStyle name="Accent5 72" xfId="994" xr:uid="{00000000-0005-0000-0000-000041070000}"/>
    <cellStyle name="Accent5 73" xfId="995" xr:uid="{00000000-0005-0000-0000-000042070000}"/>
    <cellStyle name="Accent5 74" xfId="996" xr:uid="{00000000-0005-0000-0000-000043070000}"/>
    <cellStyle name="Accent5 75" xfId="997" xr:uid="{00000000-0005-0000-0000-000044070000}"/>
    <cellStyle name="Accent5 76" xfId="998" xr:uid="{00000000-0005-0000-0000-000045070000}"/>
    <cellStyle name="Accent5 77" xfId="999" xr:uid="{00000000-0005-0000-0000-000046070000}"/>
    <cellStyle name="Accent5 78" xfId="1000" xr:uid="{00000000-0005-0000-0000-000047070000}"/>
    <cellStyle name="Accent5 79" xfId="1001" xr:uid="{00000000-0005-0000-0000-000048070000}"/>
    <cellStyle name="Accent5 8" xfId="1002" xr:uid="{00000000-0005-0000-0000-000049070000}"/>
    <cellStyle name="Accent5 8 2" xfId="1564" xr:uid="{00000000-0005-0000-0000-00004A070000}"/>
    <cellStyle name="Accent5 80" xfId="1003" xr:uid="{00000000-0005-0000-0000-00004B070000}"/>
    <cellStyle name="Accent5 81" xfId="1004" xr:uid="{00000000-0005-0000-0000-00004C070000}"/>
    <cellStyle name="Accent5 82" xfId="1005" xr:uid="{00000000-0005-0000-0000-00004D070000}"/>
    <cellStyle name="Accent5 83" xfId="1006" xr:uid="{00000000-0005-0000-0000-00004E070000}"/>
    <cellStyle name="Accent5 84" xfId="1007" xr:uid="{00000000-0005-0000-0000-00004F070000}"/>
    <cellStyle name="Accent5 85" xfId="1008" xr:uid="{00000000-0005-0000-0000-000050070000}"/>
    <cellStyle name="Accent5 86" xfId="1009" xr:uid="{00000000-0005-0000-0000-000051070000}"/>
    <cellStyle name="Accent5 87" xfId="1010" xr:uid="{00000000-0005-0000-0000-000052070000}"/>
    <cellStyle name="Accent5 88" xfId="1011" xr:uid="{00000000-0005-0000-0000-000053070000}"/>
    <cellStyle name="Accent5 89" xfId="1012" xr:uid="{00000000-0005-0000-0000-000054070000}"/>
    <cellStyle name="Accent5 9" xfId="1013" xr:uid="{00000000-0005-0000-0000-000055070000}"/>
    <cellStyle name="Accent5 9 2" xfId="1565" xr:uid="{00000000-0005-0000-0000-000056070000}"/>
    <cellStyle name="Accent5 90" xfId="1014" xr:uid="{00000000-0005-0000-0000-000057070000}"/>
    <cellStyle name="Accent5 91" xfId="1015" xr:uid="{00000000-0005-0000-0000-000058070000}"/>
    <cellStyle name="Accent5 92" xfId="1016" xr:uid="{00000000-0005-0000-0000-000059070000}"/>
    <cellStyle name="Accent5 93" xfId="1017" xr:uid="{00000000-0005-0000-0000-00005A070000}"/>
    <cellStyle name="Accent5 94" xfId="1018" xr:uid="{00000000-0005-0000-0000-00005B070000}"/>
    <cellStyle name="Accent5 95" xfId="1019" xr:uid="{00000000-0005-0000-0000-00005C070000}"/>
    <cellStyle name="Accent5 96" xfId="1020" xr:uid="{00000000-0005-0000-0000-00005D070000}"/>
    <cellStyle name="Accent5 97" xfId="1021" xr:uid="{00000000-0005-0000-0000-00005E070000}"/>
    <cellStyle name="Accent5 98" xfId="1022" xr:uid="{00000000-0005-0000-0000-00005F070000}"/>
    <cellStyle name="Accent5 99" xfId="1023" xr:uid="{00000000-0005-0000-0000-000060070000}"/>
    <cellStyle name="Accent6 - 20%" xfId="1024" xr:uid="{00000000-0005-0000-0000-000061070000}"/>
    <cellStyle name="Accent6 - 40%" xfId="1025" xr:uid="{00000000-0005-0000-0000-000062070000}"/>
    <cellStyle name="Accent6 - 60%" xfId="1026" xr:uid="{00000000-0005-0000-0000-000063070000}"/>
    <cellStyle name="Accent6 10" xfId="1027" xr:uid="{00000000-0005-0000-0000-000064070000}"/>
    <cellStyle name="Accent6 10 2" xfId="1566" xr:uid="{00000000-0005-0000-0000-000065070000}"/>
    <cellStyle name="Accent6 100" xfId="1028" xr:uid="{00000000-0005-0000-0000-000066070000}"/>
    <cellStyle name="Accent6 101" xfId="1029" xr:uid="{00000000-0005-0000-0000-000067070000}"/>
    <cellStyle name="Accent6 102" xfId="1030" xr:uid="{00000000-0005-0000-0000-000068070000}"/>
    <cellStyle name="Accent6 103" xfId="1031" xr:uid="{00000000-0005-0000-0000-000069070000}"/>
    <cellStyle name="Accent6 104" xfId="1032" xr:uid="{00000000-0005-0000-0000-00006A070000}"/>
    <cellStyle name="Accent6 105" xfId="1033" xr:uid="{00000000-0005-0000-0000-00006B070000}"/>
    <cellStyle name="Accent6 106" xfId="1034" xr:uid="{00000000-0005-0000-0000-00006C070000}"/>
    <cellStyle name="Accent6 107" xfId="1035" xr:uid="{00000000-0005-0000-0000-00006D070000}"/>
    <cellStyle name="Accent6 108" xfId="79" xr:uid="{00000000-0005-0000-0000-00006E070000}"/>
    <cellStyle name="Accent6 11" xfId="1036" xr:uid="{00000000-0005-0000-0000-00006F070000}"/>
    <cellStyle name="Accent6 11 2" xfId="1567" xr:uid="{00000000-0005-0000-0000-000070070000}"/>
    <cellStyle name="Accent6 12" xfId="1037" xr:uid="{00000000-0005-0000-0000-000071070000}"/>
    <cellStyle name="Accent6 12 2" xfId="1568" xr:uid="{00000000-0005-0000-0000-000072070000}"/>
    <cellStyle name="Accent6 13" xfId="1038" xr:uid="{00000000-0005-0000-0000-000073070000}"/>
    <cellStyle name="Accent6 13 2" xfId="1569" xr:uid="{00000000-0005-0000-0000-000074070000}"/>
    <cellStyle name="Accent6 14" xfId="1039" xr:uid="{00000000-0005-0000-0000-000075070000}"/>
    <cellStyle name="Accent6 14 2" xfId="1570" xr:uid="{00000000-0005-0000-0000-000076070000}"/>
    <cellStyle name="Accent6 15" xfId="1040" xr:uid="{00000000-0005-0000-0000-000077070000}"/>
    <cellStyle name="Accent6 15 2" xfId="1571" xr:uid="{00000000-0005-0000-0000-000078070000}"/>
    <cellStyle name="Accent6 16" xfId="1041" xr:uid="{00000000-0005-0000-0000-000079070000}"/>
    <cellStyle name="Accent6 17" xfId="1042" xr:uid="{00000000-0005-0000-0000-00007A070000}"/>
    <cellStyle name="Accent6 18" xfId="1043" xr:uid="{00000000-0005-0000-0000-00007B070000}"/>
    <cellStyle name="Accent6 19" xfId="1044" xr:uid="{00000000-0005-0000-0000-00007C070000}"/>
    <cellStyle name="Accent6 2" xfId="80" xr:uid="{00000000-0005-0000-0000-00007D070000}"/>
    <cellStyle name="Accent6 2 10" xfId="1573" xr:uid="{00000000-0005-0000-0000-00007E070000}"/>
    <cellStyle name="Accent6 2 11" xfId="1574" xr:uid="{00000000-0005-0000-0000-00007F070000}"/>
    <cellStyle name="Accent6 2 12" xfId="1572" xr:uid="{00000000-0005-0000-0000-000080070000}"/>
    <cellStyle name="Accent6 2 2" xfId="1045" xr:uid="{00000000-0005-0000-0000-000081070000}"/>
    <cellStyle name="Accent6 2 2 2" xfId="1575" xr:uid="{00000000-0005-0000-0000-000082070000}"/>
    <cellStyle name="Accent6 2 3" xfId="1577" xr:uid="{00000000-0005-0000-0000-000083070000}"/>
    <cellStyle name="Accent6 2 4" xfId="1578" xr:uid="{00000000-0005-0000-0000-000084070000}"/>
    <cellStyle name="Accent6 2 5" xfId="1579" xr:uid="{00000000-0005-0000-0000-000085070000}"/>
    <cellStyle name="Accent6 2 6" xfId="1580" xr:uid="{00000000-0005-0000-0000-000086070000}"/>
    <cellStyle name="Accent6 2 7" xfId="1581" xr:uid="{00000000-0005-0000-0000-000087070000}"/>
    <cellStyle name="Accent6 2 8" xfId="1582" xr:uid="{00000000-0005-0000-0000-000088070000}"/>
    <cellStyle name="Accent6 2 9" xfId="1583" xr:uid="{00000000-0005-0000-0000-000089070000}"/>
    <cellStyle name="Accent6 20" xfId="1046" xr:uid="{00000000-0005-0000-0000-00008A070000}"/>
    <cellStyle name="Accent6 21" xfId="1047" xr:uid="{00000000-0005-0000-0000-00008B070000}"/>
    <cellStyle name="Accent6 22" xfId="1048" xr:uid="{00000000-0005-0000-0000-00008C070000}"/>
    <cellStyle name="Accent6 23" xfId="1049" xr:uid="{00000000-0005-0000-0000-00008D070000}"/>
    <cellStyle name="Accent6 24" xfId="1050" xr:uid="{00000000-0005-0000-0000-00008E070000}"/>
    <cellStyle name="Accent6 25" xfId="1051" xr:uid="{00000000-0005-0000-0000-00008F070000}"/>
    <cellStyle name="Accent6 26" xfId="1052" xr:uid="{00000000-0005-0000-0000-000090070000}"/>
    <cellStyle name="Accent6 27" xfId="1053" xr:uid="{00000000-0005-0000-0000-000091070000}"/>
    <cellStyle name="Accent6 28" xfId="1054" xr:uid="{00000000-0005-0000-0000-000092070000}"/>
    <cellStyle name="Accent6 29" xfId="1055" xr:uid="{00000000-0005-0000-0000-000093070000}"/>
    <cellStyle name="Accent6 3" xfId="81" xr:uid="{00000000-0005-0000-0000-000094070000}"/>
    <cellStyle name="Accent6 3 10" xfId="1585" xr:uid="{00000000-0005-0000-0000-000095070000}"/>
    <cellStyle name="Accent6 3 11" xfId="1586" xr:uid="{00000000-0005-0000-0000-000096070000}"/>
    <cellStyle name="Accent6 3 12" xfId="1584" xr:uid="{00000000-0005-0000-0000-000097070000}"/>
    <cellStyle name="Accent6 3 2" xfId="1587" xr:uid="{00000000-0005-0000-0000-000098070000}"/>
    <cellStyle name="Accent6 3 3" xfId="1588" xr:uid="{00000000-0005-0000-0000-000099070000}"/>
    <cellStyle name="Accent6 3 4" xfId="1591" xr:uid="{00000000-0005-0000-0000-00009A070000}"/>
    <cellStyle name="Accent6 3 5" xfId="1592" xr:uid="{00000000-0005-0000-0000-00009B070000}"/>
    <cellStyle name="Accent6 3 6" xfId="1593" xr:uid="{00000000-0005-0000-0000-00009C070000}"/>
    <cellStyle name="Accent6 3 7" xfId="1594" xr:uid="{00000000-0005-0000-0000-00009D070000}"/>
    <cellStyle name="Accent6 3 8" xfId="1595" xr:uid="{00000000-0005-0000-0000-00009E070000}"/>
    <cellStyle name="Accent6 3 9" xfId="1596" xr:uid="{00000000-0005-0000-0000-00009F070000}"/>
    <cellStyle name="Accent6 30" xfId="1057" xr:uid="{00000000-0005-0000-0000-0000A0070000}"/>
    <cellStyle name="Accent6 31" xfId="1058" xr:uid="{00000000-0005-0000-0000-0000A1070000}"/>
    <cellStyle name="Accent6 32" xfId="1059" xr:uid="{00000000-0005-0000-0000-0000A2070000}"/>
    <cellStyle name="Accent6 33" xfId="1060" xr:uid="{00000000-0005-0000-0000-0000A3070000}"/>
    <cellStyle name="Accent6 34" xfId="1061" xr:uid="{00000000-0005-0000-0000-0000A4070000}"/>
    <cellStyle name="Accent6 35" xfId="1062" xr:uid="{00000000-0005-0000-0000-0000A5070000}"/>
    <cellStyle name="Accent6 36" xfId="1063" xr:uid="{00000000-0005-0000-0000-0000A6070000}"/>
    <cellStyle name="Accent6 37" xfId="1064" xr:uid="{00000000-0005-0000-0000-0000A7070000}"/>
    <cellStyle name="Accent6 38" xfId="1065" xr:uid="{00000000-0005-0000-0000-0000A8070000}"/>
    <cellStyle name="Accent6 39" xfId="1066" xr:uid="{00000000-0005-0000-0000-0000A9070000}"/>
    <cellStyle name="Accent6 4" xfId="1067" xr:uid="{00000000-0005-0000-0000-0000AA070000}"/>
    <cellStyle name="Accent6 4 10" xfId="1598" xr:uid="{00000000-0005-0000-0000-0000AB070000}"/>
    <cellStyle name="Accent6 4 11" xfId="1599" xr:uid="{00000000-0005-0000-0000-0000AC070000}"/>
    <cellStyle name="Accent6 4 12" xfId="1597" xr:uid="{00000000-0005-0000-0000-0000AD070000}"/>
    <cellStyle name="Accent6 4 2" xfId="1600" xr:uid="{00000000-0005-0000-0000-0000AE070000}"/>
    <cellStyle name="Accent6 4 3" xfId="1601" xr:uid="{00000000-0005-0000-0000-0000AF070000}"/>
    <cellStyle name="Accent6 4 4" xfId="1603" xr:uid="{00000000-0005-0000-0000-0000B0070000}"/>
    <cellStyle name="Accent6 4 5" xfId="1604" xr:uid="{00000000-0005-0000-0000-0000B1070000}"/>
    <cellStyle name="Accent6 4 6" xfId="1605" xr:uid="{00000000-0005-0000-0000-0000B2070000}"/>
    <cellStyle name="Accent6 4 7" xfId="1606" xr:uid="{00000000-0005-0000-0000-0000B3070000}"/>
    <cellStyle name="Accent6 4 8" xfId="1607" xr:uid="{00000000-0005-0000-0000-0000B4070000}"/>
    <cellStyle name="Accent6 4 9" xfId="1608" xr:uid="{00000000-0005-0000-0000-0000B5070000}"/>
    <cellStyle name="Accent6 40" xfId="1068" xr:uid="{00000000-0005-0000-0000-0000B6070000}"/>
    <cellStyle name="Accent6 41" xfId="1069" xr:uid="{00000000-0005-0000-0000-0000B7070000}"/>
    <cellStyle name="Accent6 42" xfId="1070" xr:uid="{00000000-0005-0000-0000-0000B8070000}"/>
    <cellStyle name="Accent6 43" xfId="1071" xr:uid="{00000000-0005-0000-0000-0000B9070000}"/>
    <cellStyle name="Accent6 44" xfId="1072" xr:uid="{00000000-0005-0000-0000-0000BA070000}"/>
    <cellStyle name="Accent6 45" xfId="1073" xr:uid="{00000000-0005-0000-0000-0000BB070000}"/>
    <cellStyle name="Accent6 46" xfId="1074" xr:uid="{00000000-0005-0000-0000-0000BC070000}"/>
    <cellStyle name="Accent6 47" xfId="1075" xr:uid="{00000000-0005-0000-0000-0000BD070000}"/>
    <cellStyle name="Accent6 48" xfId="1076" xr:uid="{00000000-0005-0000-0000-0000BE070000}"/>
    <cellStyle name="Accent6 49" xfId="1077" xr:uid="{00000000-0005-0000-0000-0000BF070000}"/>
    <cellStyle name="Accent6 5" xfId="1078" xr:uid="{00000000-0005-0000-0000-0000C0070000}"/>
    <cellStyle name="Accent6 5 10" xfId="1610" xr:uid="{00000000-0005-0000-0000-0000C1070000}"/>
    <cellStyle name="Accent6 5 11" xfId="1611" xr:uid="{00000000-0005-0000-0000-0000C2070000}"/>
    <cellStyle name="Accent6 5 12" xfId="1609" xr:uid="{00000000-0005-0000-0000-0000C3070000}"/>
    <cellStyle name="Accent6 5 2" xfId="1612" xr:uid="{00000000-0005-0000-0000-0000C4070000}"/>
    <cellStyle name="Accent6 5 3" xfId="1613" xr:uid="{00000000-0005-0000-0000-0000C5070000}"/>
    <cellStyle name="Accent6 5 4" xfId="1637" xr:uid="{00000000-0005-0000-0000-0000C6070000}"/>
    <cellStyle name="Accent6 5 5" xfId="1638" xr:uid="{00000000-0005-0000-0000-0000C7070000}"/>
    <cellStyle name="Accent6 5 6" xfId="1639" xr:uid="{00000000-0005-0000-0000-0000C8070000}"/>
    <cellStyle name="Accent6 5 7" xfId="1640" xr:uid="{00000000-0005-0000-0000-0000C9070000}"/>
    <cellStyle name="Accent6 5 8" xfId="1641" xr:uid="{00000000-0005-0000-0000-0000CA070000}"/>
    <cellStyle name="Accent6 5 9" xfId="1643" xr:uid="{00000000-0005-0000-0000-0000CB070000}"/>
    <cellStyle name="Accent6 50" xfId="1079" xr:uid="{00000000-0005-0000-0000-0000CC070000}"/>
    <cellStyle name="Accent6 51" xfId="1080" xr:uid="{00000000-0005-0000-0000-0000CD070000}"/>
    <cellStyle name="Accent6 52" xfId="1081" xr:uid="{00000000-0005-0000-0000-0000CE070000}"/>
    <cellStyle name="Accent6 53" xfId="1082" xr:uid="{00000000-0005-0000-0000-0000CF070000}"/>
    <cellStyle name="Accent6 54" xfId="1083" xr:uid="{00000000-0005-0000-0000-0000D0070000}"/>
    <cellStyle name="Accent6 55" xfId="1084" xr:uid="{00000000-0005-0000-0000-0000D1070000}"/>
    <cellStyle name="Accent6 56" xfId="1085" xr:uid="{00000000-0005-0000-0000-0000D2070000}"/>
    <cellStyle name="Accent6 57" xfId="1086" xr:uid="{00000000-0005-0000-0000-0000D3070000}"/>
    <cellStyle name="Accent6 58" xfId="1087" xr:uid="{00000000-0005-0000-0000-0000D4070000}"/>
    <cellStyle name="Accent6 59" xfId="1088" xr:uid="{00000000-0005-0000-0000-0000D5070000}"/>
    <cellStyle name="Accent6 6" xfId="1089" xr:uid="{00000000-0005-0000-0000-0000D6070000}"/>
    <cellStyle name="Accent6 6 2" xfId="1644" xr:uid="{00000000-0005-0000-0000-0000D7070000}"/>
    <cellStyle name="Accent6 60" xfId="1090" xr:uid="{00000000-0005-0000-0000-0000D8070000}"/>
    <cellStyle name="Accent6 61" xfId="1091" xr:uid="{00000000-0005-0000-0000-0000D9070000}"/>
    <cellStyle name="Accent6 62" xfId="1092" xr:uid="{00000000-0005-0000-0000-0000DA070000}"/>
    <cellStyle name="Accent6 63" xfId="1093" xr:uid="{00000000-0005-0000-0000-0000DB070000}"/>
    <cellStyle name="Accent6 64" xfId="1094" xr:uid="{00000000-0005-0000-0000-0000DC070000}"/>
    <cellStyle name="Accent6 65" xfId="1095" xr:uid="{00000000-0005-0000-0000-0000DD070000}"/>
    <cellStyle name="Accent6 66" xfId="1096" xr:uid="{00000000-0005-0000-0000-0000DE070000}"/>
    <cellStyle name="Accent6 67" xfId="1097" xr:uid="{00000000-0005-0000-0000-0000DF070000}"/>
    <cellStyle name="Accent6 68" xfId="1098" xr:uid="{00000000-0005-0000-0000-0000E0070000}"/>
    <cellStyle name="Accent6 69" xfId="1099" xr:uid="{00000000-0005-0000-0000-0000E1070000}"/>
    <cellStyle name="Accent6 7" xfId="1100" xr:uid="{00000000-0005-0000-0000-0000E2070000}"/>
    <cellStyle name="Accent6 7 2" xfId="1645" xr:uid="{00000000-0005-0000-0000-0000E3070000}"/>
    <cellStyle name="Accent6 70" xfId="1101" xr:uid="{00000000-0005-0000-0000-0000E4070000}"/>
    <cellStyle name="Accent6 71" xfId="1102" xr:uid="{00000000-0005-0000-0000-0000E5070000}"/>
    <cellStyle name="Accent6 72" xfId="1103" xr:uid="{00000000-0005-0000-0000-0000E6070000}"/>
    <cellStyle name="Accent6 73" xfId="1104" xr:uid="{00000000-0005-0000-0000-0000E7070000}"/>
    <cellStyle name="Accent6 74" xfId="1105" xr:uid="{00000000-0005-0000-0000-0000E8070000}"/>
    <cellStyle name="Accent6 75" xfId="1106" xr:uid="{00000000-0005-0000-0000-0000E9070000}"/>
    <cellStyle name="Accent6 76" xfId="1107" xr:uid="{00000000-0005-0000-0000-0000EA070000}"/>
    <cellStyle name="Accent6 77" xfId="1108" xr:uid="{00000000-0005-0000-0000-0000EB070000}"/>
    <cellStyle name="Accent6 78" xfId="1109" xr:uid="{00000000-0005-0000-0000-0000EC070000}"/>
    <cellStyle name="Accent6 79" xfId="1110" xr:uid="{00000000-0005-0000-0000-0000ED070000}"/>
    <cellStyle name="Accent6 8" xfId="1111" xr:uid="{00000000-0005-0000-0000-0000EE070000}"/>
    <cellStyle name="Accent6 8 2" xfId="1646" xr:uid="{00000000-0005-0000-0000-0000EF070000}"/>
    <cellStyle name="Accent6 80" xfId="1112" xr:uid="{00000000-0005-0000-0000-0000F0070000}"/>
    <cellStyle name="Accent6 81" xfId="1113" xr:uid="{00000000-0005-0000-0000-0000F1070000}"/>
    <cellStyle name="Accent6 82" xfId="1114" xr:uid="{00000000-0005-0000-0000-0000F2070000}"/>
    <cellStyle name="Accent6 83" xfId="1115" xr:uid="{00000000-0005-0000-0000-0000F3070000}"/>
    <cellStyle name="Accent6 84" xfId="1116" xr:uid="{00000000-0005-0000-0000-0000F4070000}"/>
    <cellStyle name="Accent6 85" xfId="1117" xr:uid="{00000000-0005-0000-0000-0000F5070000}"/>
    <cellStyle name="Accent6 86" xfId="1118" xr:uid="{00000000-0005-0000-0000-0000F6070000}"/>
    <cellStyle name="Accent6 87" xfId="1119" xr:uid="{00000000-0005-0000-0000-0000F7070000}"/>
    <cellStyle name="Accent6 88" xfId="1120" xr:uid="{00000000-0005-0000-0000-0000F8070000}"/>
    <cellStyle name="Accent6 89" xfId="1121" xr:uid="{00000000-0005-0000-0000-0000F9070000}"/>
    <cellStyle name="Accent6 9" xfId="1122" xr:uid="{00000000-0005-0000-0000-0000FA070000}"/>
    <cellStyle name="Accent6 9 2" xfId="1648" xr:uid="{00000000-0005-0000-0000-0000FB070000}"/>
    <cellStyle name="Accent6 90" xfId="1123" xr:uid="{00000000-0005-0000-0000-0000FC070000}"/>
    <cellStyle name="Accent6 91" xfId="1124" xr:uid="{00000000-0005-0000-0000-0000FD070000}"/>
    <cellStyle name="Accent6 92" xfId="1125" xr:uid="{00000000-0005-0000-0000-0000FE070000}"/>
    <cellStyle name="Accent6 93" xfId="1126" xr:uid="{00000000-0005-0000-0000-0000FF070000}"/>
    <cellStyle name="Accent6 94" xfId="1127" xr:uid="{00000000-0005-0000-0000-000000080000}"/>
    <cellStyle name="Accent6 95" xfId="1128" xr:uid="{00000000-0005-0000-0000-000001080000}"/>
    <cellStyle name="Accent6 96" xfId="1129" xr:uid="{00000000-0005-0000-0000-000002080000}"/>
    <cellStyle name="Accent6 97" xfId="1130" xr:uid="{00000000-0005-0000-0000-000003080000}"/>
    <cellStyle name="Accent6 98" xfId="1131" xr:uid="{00000000-0005-0000-0000-000004080000}"/>
    <cellStyle name="Accent6 99" xfId="1132" xr:uid="{00000000-0005-0000-0000-000005080000}"/>
    <cellStyle name="Bad 10" xfId="1660" xr:uid="{00000000-0005-0000-0000-000006080000}"/>
    <cellStyle name="Bad 11" xfId="1661" xr:uid="{00000000-0005-0000-0000-000007080000}"/>
    <cellStyle name="Bad 12" xfId="1663" xr:uid="{00000000-0005-0000-0000-000008080000}"/>
    <cellStyle name="Bad 13" xfId="1666" xr:uid="{00000000-0005-0000-0000-000009080000}"/>
    <cellStyle name="Bad 14" xfId="1669" xr:uid="{00000000-0005-0000-0000-00000A080000}"/>
    <cellStyle name="Bad 15" xfId="1670" xr:uid="{00000000-0005-0000-0000-00000B080000}"/>
    <cellStyle name="Bad 16" xfId="82" xr:uid="{00000000-0005-0000-0000-00000C080000}"/>
    <cellStyle name="Bad 2" xfId="83" xr:uid="{00000000-0005-0000-0000-00000D080000}"/>
    <cellStyle name="Bad 2 10" xfId="1673" xr:uid="{00000000-0005-0000-0000-00000E080000}"/>
    <cellStyle name="Bad 2 11" xfId="1678" xr:uid="{00000000-0005-0000-0000-00000F080000}"/>
    <cellStyle name="Bad 2 12" xfId="1672" xr:uid="{00000000-0005-0000-0000-000010080000}"/>
    <cellStyle name="Bad 2 2" xfId="1133" xr:uid="{00000000-0005-0000-0000-000011080000}"/>
    <cellStyle name="Bad 2 2 2" xfId="1679" xr:uid="{00000000-0005-0000-0000-000012080000}"/>
    <cellStyle name="Bad 2 3" xfId="1680" xr:uid="{00000000-0005-0000-0000-000013080000}"/>
    <cellStyle name="Bad 2 4" xfId="1684" xr:uid="{00000000-0005-0000-0000-000014080000}"/>
    <cellStyle name="Bad 2 5" xfId="1685" xr:uid="{00000000-0005-0000-0000-000015080000}"/>
    <cellStyle name="Bad 2 6" xfId="1689" xr:uid="{00000000-0005-0000-0000-000016080000}"/>
    <cellStyle name="Bad 2 7" xfId="1690" xr:uid="{00000000-0005-0000-0000-000017080000}"/>
    <cellStyle name="Bad 2 8" xfId="1714" xr:uid="{00000000-0005-0000-0000-000018080000}"/>
    <cellStyle name="Bad 2 9" xfId="1716" xr:uid="{00000000-0005-0000-0000-000019080000}"/>
    <cellStyle name="Bad 3" xfId="84" xr:uid="{00000000-0005-0000-0000-00001A080000}"/>
    <cellStyle name="Bad 3 10" xfId="1749" xr:uid="{00000000-0005-0000-0000-00001B080000}"/>
    <cellStyle name="Bad 3 11" xfId="1753" xr:uid="{00000000-0005-0000-0000-00001C080000}"/>
    <cellStyle name="Bad 3 12" xfId="1748" xr:uid="{00000000-0005-0000-0000-00001D080000}"/>
    <cellStyle name="Bad 3 2" xfId="1754" xr:uid="{00000000-0005-0000-0000-00001E080000}"/>
    <cellStyle name="Bad 3 3" xfId="1756" xr:uid="{00000000-0005-0000-0000-00001F080000}"/>
    <cellStyle name="Bad 3 4" xfId="1759" xr:uid="{00000000-0005-0000-0000-000020080000}"/>
    <cellStyle name="Bad 3 5" xfId="1767" xr:uid="{00000000-0005-0000-0000-000021080000}"/>
    <cellStyle name="Bad 3 6" xfId="1774" xr:uid="{00000000-0005-0000-0000-000022080000}"/>
    <cellStyle name="Bad 3 7" xfId="1775" xr:uid="{00000000-0005-0000-0000-000023080000}"/>
    <cellStyle name="Bad 3 8" xfId="1776" xr:uid="{00000000-0005-0000-0000-000024080000}"/>
    <cellStyle name="Bad 3 9" xfId="2934" xr:uid="{00000000-0005-0000-0000-000025080000}"/>
    <cellStyle name="Bad 4" xfId="1135" xr:uid="{00000000-0005-0000-0000-000026080000}"/>
    <cellStyle name="Bad 4 10" xfId="2936" xr:uid="{00000000-0005-0000-0000-000027080000}"/>
    <cellStyle name="Bad 4 11" xfId="2937" xr:uid="{00000000-0005-0000-0000-000028080000}"/>
    <cellStyle name="Bad 4 12" xfId="2935" xr:uid="{00000000-0005-0000-0000-000029080000}"/>
    <cellStyle name="Bad 4 2" xfId="2938" xr:uid="{00000000-0005-0000-0000-00002A080000}"/>
    <cellStyle name="Bad 4 3" xfId="2939" xr:uid="{00000000-0005-0000-0000-00002B080000}"/>
    <cellStyle name="Bad 4 4" xfId="2940" xr:uid="{00000000-0005-0000-0000-00002C080000}"/>
    <cellStyle name="Bad 4 5" xfId="2941" xr:uid="{00000000-0005-0000-0000-00002D080000}"/>
    <cellStyle name="Bad 4 6" xfId="2942" xr:uid="{00000000-0005-0000-0000-00002E080000}"/>
    <cellStyle name="Bad 4 7" xfId="2943" xr:uid="{00000000-0005-0000-0000-00002F080000}"/>
    <cellStyle name="Bad 4 8" xfId="2944" xr:uid="{00000000-0005-0000-0000-000030080000}"/>
    <cellStyle name="Bad 4 9" xfId="2945" xr:uid="{00000000-0005-0000-0000-000031080000}"/>
    <cellStyle name="Bad 5" xfId="2946" xr:uid="{00000000-0005-0000-0000-000032080000}"/>
    <cellStyle name="Bad 5 10" xfId="2947" xr:uid="{00000000-0005-0000-0000-000033080000}"/>
    <cellStyle name="Bad 5 11" xfId="2948" xr:uid="{00000000-0005-0000-0000-000034080000}"/>
    <cellStyle name="Bad 5 2" xfId="2949" xr:uid="{00000000-0005-0000-0000-000035080000}"/>
    <cellStyle name="Bad 5 3" xfId="2950" xr:uid="{00000000-0005-0000-0000-000036080000}"/>
    <cellStyle name="Bad 5 4" xfId="2951" xr:uid="{00000000-0005-0000-0000-000037080000}"/>
    <cellStyle name="Bad 5 5" xfId="2952" xr:uid="{00000000-0005-0000-0000-000038080000}"/>
    <cellStyle name="Bad 5 6" xfId="2953" xr:uid="{00000000-0005-0000-0000-000039080000}"/>
    <cellStyle name="Bad 5 7" xfId="2954" xr:uid="{00000000-0005-0000-0000-00003A080000}"/>
    <cellStyle name="Bad 5 8" xfId="2955" xr:uid="{00000000-0005-0000-0000-00003B080000}"/>
    <cellStyle name="Bad 5 9" xfId="2956" xr:uid="{00000000-0005-0000-0000-00003C080000}"/>
    <cellStyle name="Bad 6" xfId="2957" xr:uid="{00000000-0005-0000-0000-00003D080000}"/>
    <cellStyle name="Bad 7" xfId="2958" xr:uid="{00000000-0005-0000-0000-00003E080000}"/>
    <cellStyle name="Bad 8" xfId="2959" xr:uid="{00000000-0005-0000-0000-00003F080000}"/>
    <cellStyle name="Bad 9" xfId="2960" xr:uid="{00000000-0005-0000-0000-000040080000}"/>
    <cellStyle name="Calculation 10" xfId="2961" xr:uid="{00000000-0005-0000-0000-000041080000}"/>
    <cellStyle name="Calculation 11" xfId="2962" xr:uid="{00000000-0005-0000-0000-000042080000}"/>
    <cellStyle name="Calculation 12" xfId="2963" xr:uid="{00000000-0005-0000-0000-000043080000}"/>
    <cellStyle name="Calculation 13" xfId="2964" xr:uid="{00000000-0005-0000-0000-000044080000}"/>
    <cellStyle name="Calculation 14" xfId="2965" xr:uid="{00000000-0005-0000-0000-000045080000}"/>
    <cellStyle name="Calculation 15" xfId="2966" xr:uid="{00000000-0005-0000-0000-000046080000}"/>
    <cellStyle name="Calculation 16" xfId="85" xr:uid="{00000000-0005-0000-0000-000047080000}"/>
    <cellStyle name="Calculation 2" xfId="86" xr:uid="{00000000-0005-0000-0000-000048080000}"/>
    <cellStyle name="Calculation 2 10" xfId="2968" xr:uid="{00000000-0005-0000-0000-000049080000}"/>
    <cellStyle name="Calculation 2 11" xfId="2969" xr:uid="{00000000-0005-0000-0000-00004A080000}"/>
    <cellStyle name="Calculation 2 12" xfId="2967" xr:uid="{00000000-0005-0000-0000-00004B080000}"/>
    <cellStyle name="Calculation 2 2" xfId="1136" xr:uid="{00000000-0005-0000-0000-00004C080000}"/>
    <cellStyle name="Calculation 2 2 2" xfId="2970" xr:uid="{00000000-0005-0000-0000-00004D080000}"/>
    <cellStyle name="Calculation 2 3" xfId="2971" xr:uid="{00000000-0005-0000-0000-00004E080000}"/>
    <cellStyle name="Calculation 2 4" xfId="2972" xr:uid="{00000000-0005-0000-0000-00004F080000}"/>
    <cellStyle name="Calculation 2 5" xfId="2973" xr:uid="{00000000-0005-0000-0000-000050080000}"/>
    <cellStyle name="Calculation 2 6" xfId="2974" xr:uid="{00000000-0005-0000-0000-000051080000}"/>
    <cellStyle name="Calculation 2 7" xfId="2975" xr:uid="{00000000-0005-0000-0000-000052080000}"/>
    <cellStyle name="Calculation 2 8" xfId="2976" xr:uid="{00000000-0005-0000-0000-000053080000}"/>
    <cellStyle name="Calculation 2 9" xfId="2977" xr:uid="{00000000-0005-0000-0000-000054080000}"/>
    <cellStyle name="Calculation 3" xfId="87" xr:uid="{00000000-0005-0000-0000-000055080000}"/>
    <cellStyle name="Calculation 3 10" xfId="2979" xr:uid="{00000000-0005-0000-0000-000056080000}"/>
    <cellStyle name="Calculation 3 11" xfId="2980" xr:uid="{00000000-0005-0000-0000-000057080000}"/>
    <cellStyle name="Calculation 3 12" xfId="2978" xr:uid="{00000000-0005-0000-0000-000058080000}"/>
    <cellStyle name="Calculation 3 2" xfId="2981" xr:uid="{00000000-0005-0000-0000-000059080000}"/>
    <cellStyle name="Calculation 3 3" xfId="2982" xr:uid="{00000000-0005-0000-0000-00005A080000}"/>
    <cellStyle name="Calculation 3 4" xfId="2983" xr:uid="{00000000-0005-0000-0000-00005B080000}"/>
    <cellStyle name="Calculation 3 5" xfId="2984" xr:uid="{00000000-0005-0000-0000-00005C080000}"/>
    <cellStyle name="Calculation 3 6" xfId="2985" xr:uid="{00000000-0005-0000-0000-00005D080000}"/>
    <cellStyle name="Calculation 3 7" xfId="2986" xr:uid="{00000000-0005-0000-0000-00005E080000}"/>
    <cellStyle name="Calculation 3 8" xfId="2987" xr:uid="{00000000-0005-0000-0000-00005F080000}"/>
    <cellStyle name="Calculation 3 9" xfId="2988" xr:uid="{00000000-0005-0000-0000-000060080000}"/>
    <cellStyle name="Calculation 4" xfId="1138" xr:uid="{00000000-0005-0000-0000-000061080000}"/>
    <cellStyle name="Calculation 4 10" xfId="2990" xr:uid="{00000000-0005-0000-0000-000062080000}"/>
    <cellStyle name="Calculation 4 11" xfId="2991" xr:uid="{00000000-0005-0000-0000-000063080000}"/>
    <cellStyle name="Calculation 4 12" xfId="2989" xr:uid="{00000000-0005-0000-0000-000064080000}"/>
    <cellStyle name="Calculation 4 2" xfId="2992" xr:uid="{00000000-0005-0000-0000-000065080000}"/>
    <cellStyle name="Calculation 4 3" xfId="2993" xr:uid="{00000000-0005-0000-0000-000066080000}"/>
    <cellStyle name="Calculation 4 4" xfId="2994" xr:uid="{00000000-0005-0000-0000-000067080000}"/>
    <cellStyle name="Calculation 4 5" xfId="2995" xr:uid="{00000000-0005-0000-0000-000068080000}"/>
    <cellStyle name="Calculation 4 6" xfId="2996" xr:uid="{00000000-0005-0000-0000-000069080000}"/>
    <cellStyle name="Calculation 4 7" xfId="2997" xr:uid="{00000000-0005-0000-0000-00006A080000}"/>
    <cellStyle name="Calculation 4 8" xfId="2998" xr:uid="{00000000-0005-0000-0000-00006B080000}"/>
    <cellStyle name="Calculation 4 9" xfId="2999" xr:uid="{00000000-0005-0000-0000-00006C080000}"/>
    <cellStyle name="Calculation 5" xfId="3000" xr:uid="{00000000-0005-0000-0000-00006D080000}"/>
    <cellStyle name="Calculation 5 10" xfId="3001" xr:uid="{00000000-0005-0000-0000-00006E080000}"/>
    <cellStyle name="Calculation 5 11" xfId="3002" xr:uid="{00000000-0005-0000-0000-00006F080000}"/>
    <cellStyle name="Calculation 5 2" xfId="3003" xr:uid="{00000000-0005-0000-0000-000070080000}"/>
    <cellStyle name="Calculation 5 3" xfId="3004" xr:uid="{00000000-0005-0000-0000-000071080000}"/>
    <cellStyle name="Calculation 5 4" xfId="3005" xr:uid="{00000000-0005-0000-0000-000072080000}"/>
    <cellStyle name="Calculation 5 5" xfId="3006" xr:uid="{00000000-0005-0000-0000-000073080000}"/>
    <cellStyle name="Calculation 5 6" xfId="3007" xr:uid="{00000000-0005-0000-0000-000074080000}"/>
    <cellStyle name="Calculation 5 7" xfId="3008" xr:uid="{00000000-0005-0000-0000-000075080000}"/>
    <cellStyle name="Calculation 5 8" xfId="3009" xr:uid="{00000000-0005-0000-0000-000076080000}"/>
    <cellStyle name="Calculation 5 9" xfId="3010" xr:uid="{00000000-0005-0000-0000-000077080000}"/>
    <cellStyle name="Calculation 6" xfId="3011" xr:uid="{00000000-0005-0000-0000-000078080000}"/>
    <cellStyle name="Calculation 7" xfId="3012" xr:uid="{00000000-0005-0000-0000-000079080000}"/>
    <cellStyle name="Calculation 8" xfId="3013" xr:uid="{00000000-0005-0000-0000-00007A080000}"/>
    <cellStyle name="Calculation 9" xfId="3014" xr:uid="{00000000-0005-0000-0000-00007B080000}"/>
    <cellStyle name="Check Cell 10" xfId="3015" xr:uid="{00000000-0005-0000-0000-00007C080000}"/>
    <cellStyle name="Check Cell 11" xfId="3016" xr:uid="{00000000-0005-0000-0000-00007D080000}"/>
    <cellStyle name="Check Cell 12" xfId="3017" xr:uid="{00000000-0005-0000-0000-00007E080000}"/>
    <cellStyle name="Check Cell 13" xfId="3018" xr:uid="{00000000-0005-0000-0000-00007F080000}"/>
    <cellStyle name="Check Cell 14" xfId="3019" xr:uid="{00000000-0005-0000-0000-000080080000}"/>
    <cellStyle name="Check Cell 15" xfId="3020" xr:uid="{00000000-0005-0000-0000-000081080000}"/>
    <cellStyle name="Check Cell 16" xfId="88" xr:uid="{00000000-0005-0000-0000-000082080000}"/>
    <cellStyle name="Check Cell 2" xfId="89" xr:uid="{00000000-0005-0000-0000-000083080000}"/>
    <cellStyle name="Check Cell 2 10" xfId="3022" xr:uid="{00000000-0005-0000-0000-000084080000}"/>
    <cellStyle name="Check Cell 2 11" xfId="3023" xr:uid="{00000000-0005-0000-0000-000085080000}"/>
    <cellStyle name="Check Cell 2 12" xfId="3021" xr:uid="{00000000-0005-0000-0000-000086080000}"/>
    <cellStyle name="Check Cell 2 2" xfId="1139" xr:uid="{00000000-0005-0000-0000-000087080000}"/>
    <cellStyle name="Check Cell 2 2 2" xfId="3024" xr:uid="{00000000-0005-0000-0000-000088080000}"/>
    <cellStyle name="Check Cell 2 3" xfId="3025" xr:uid="{00000000-0005-0000-0000-000089080000}"/>
    <cellStyle name="Check Cell 2 4" xfId="3026" xr:uid="{00000000-0005-0000-0000-00008A080000}"/>
    <cellStyle name="Check Cell 2 5" xfId="3027" xr:uid="{00000000-0005-0000-0000-00008B080000}"/>
    <cellStyle name="Check Cell 2 6" xfId="3028" xr:uid="{00000000-0005-0000-0000-00008C080000}"/>
    <cellStyle name="Check Cell 2 7" xfId="3029" xr:uid="{00000000-0005-0000-0000-00008D080000}"/>
    <cellStyle name="Check Cell 2 8" xfId="3030" xr:uid="{00000000-0005-0000-0000-00008E080000}"/>
    <cellStyle name="Check Cell 2 9" xfId="3031" xr:uid="{00000000-0005-0000-0000-00008F080000}"/>
    <cellStyle name="Check Cell 3" xfId="90" xr:uid="{00000000-0005-0000-0000-000090080000}"/>
    <cellStyle name="Check Cell 3 10" xfId="3033" xr:uid="{00000000-0005-0000-0000-000091080000}"/>
    <cellStyle name="Check Cell 3 11" xfId="3034" xr:uid="{00000000-0005-0000-0000-000092080000}"/>
    <cellStyle name="Check Cell 3 12" xfId="3032" xr:uid="{00000000-0005-0000-0000-000093080000}"/>
    <cellStyle name="Check Cell 3 2" xfId="3035" xr:uid="{00000000-0005-0000-0000-000094080000}"/>
    <cellStyle name="Check Cell 3 3" xfId="3036" xr:uid="{00000000-0005-0000-0000-000095080000}"/>
    <cellStyle name="Check Cell 3 4" xfId="3037" xr:uid="{00000000-0005-0000-0000-000096080000}"/>
    <cellStyle name="Check Cell 3 5" xfId="3038" xr:uid="{00000000-0005-0000-0000-000097080000}"/>
    <cellStyle name="Check Cell 3 6" xfId="3039" xr:uid="{00000000-0005-0000-0000-000098080000}"/>
    <cellStyle name="Check Cell 3 7" xfId="3040" xr:uid="{00000000-0005-0000-0000-000099080000}"/>
    <cellStyle name="Check Cell 3 8" xfId="3041" xr:uid="{00000000-0005-0000-0000-00009A080000}"/>
    <cellStyle name="Check Cell 3 9" xfId="3042" xr:uid="{00000000-0005-0000-0000-00009B080000}"/>
    <cellStyle name="Check Cell 4" xfId="1141" xr:uid="{00000000-0005-0000-0000-00009C080000}"/>
    <cellStyle name="Check Cell 4 10" xfId="3044" xr:uid="{00000000-0005-0000-0000-00009D080000}"/>
    <cellStyle name="Check Cell 4 11" xfId="3045" xr:uid="{00000000-0005-0000-0000-00009E080000}"/>
    <cellStyle name="Check Cell 4 12" xfId="3043" xr:uid="{00000000-0005-0000-0000-00009F080000}"/>
    <cellStyle name="Check Cell 4 2" xfId="3046" xr:uid="{00000000-0005-0000-0000-0000A0080000}"/>
    <cellStyle name="Check Cell 4 3" xfId="3047" xr:uid="{00000000-0005-0000-0000-0000A1080000}"/>
    <cellStyle name="Check Cell 4 4" xfId="3048" xr:uid="{00000000-0005-0000-0000-0000A2080000}"/>
    <cellStyle name="Check Cell 4 5" xfId="3049" xr:uid="{00000000-0005-0000-0000-0000A3080000}"/>
    <cellStyle name="Check Cell 4 6" xfId="3050" xr:uid="{00000000-0005-0000-0000-0000A4080000}"/>
    <cellStyle name="Check Cell 4 7" xfId="3051" xr:uid="{00000000-0005-0000-0000-0000A5080000}"/>
    <cellStyle name="Check Cell 4 8" xfId="3052" xr:uid="{00000000-0005-0000-0000-0000A6080000}"/>
    <cellStyle name="Check Cell 4 9" xfId="3053" xr:uid="{00000000-0005-0000-0000-0000A7080000}"/>
    <cellStyle name="Check Cell 5" xfId="3054" xr:uid="{00000000-0005-0000-0000-0000A8080000}"/>
    <cellStyle name="Check Cell 5 10" xfId="3055" xr:uid="{00000000-0005-0000-0000-0000A9080000}"/>
    <cellStyle name="Check Cell 5 11" xfId="3056" xr:uid="{00000000-0005-0000-0000-0000AA080000}"/>
    <cellStyle name="Check Cell 5 2" xfId="3057" xr:uid="{00000000-0005-0000-0000-0000AB080000}"/>
    <cellStyle name="Check Cell 5 3" xfId="3058" xr:uid="{00000000-0005-0000-0000-0000AC080000}"/>
    <cellStyle name="Check Cell 5 4" xfId="3059" xr:uid="{00000000-0005-0000-0000-0000AD080000}"/>
    <cellStyle name="Check Cell 5 5" xfId="3060" xr:uid="{00000000-0005-0000-0000-0000AE080000}"/>
    <cellStyle name="Check Cell 5 6" xfId="3061" xr:uid="{00000000-0005-0000-0000-0000AF080000}"/>
    <cellStyle name="Check Cell 5 7" xfId="3062" xr:uid="{00000000-0005-0000-0000-0000B0080000}"/>
    <cellStyle name="Check Cell 5 8" xfId="3063" xr:uid="{00000000-0005-0000-0000-0000B1080000}"/>
    <cellStyle name="Check Cell 5 9" xfId="3064" xr:uid="{00000000-0005-0000-0000-0000B2080000}"/>
    <cellStyle name="Check Cell 6" xfId="3065" xr:uid="{00000000-0005-0000-0000-0000B3080000}"/>
    <cellStyle name="Check Cell 7" xfId="3066" xr:uid="{00000000-0005-0000-0000-0000B4080000}"/>
    <cellStyle name="Check Cell 8" xfId="3067" xr:uid="{00000000-0005-0000-0000-0000B5080000}"/>
    <cellStyle name="Check Cell 9" xfId="3068" xr:uid="{00000000-0005-0000-0000-0000B6080000}"/>
    <cellStyle name="Comma" xfId="1" builtinId="3"/>
    <cellStyle name="Comma  - Style1" xfId="262" xr:uid="{00000000-0005-0000-0000-0000B8080000}"/>
    <cellStyle name="Comma [0] 2" xfId="3069" xr:uid="{00000000-0005-0000-0000-0000B9080000}"/>
    <cellStyle name="Comma [0] 2 2" xfId="3070" xr:uid="{00000000-0005-0000-0000-0000BA080000}"/>
    <cellStyle name="Comma 10" xfId="263" xr:uid="{00000000-0005-0000-0000-0000BB080000}"/>
    <cellStyle name="Comma 11" xfId="264" xr:uid="{00000000-0005-0000-0000-0000BC080000}"/>
    <cellStyle name="Comma 11 2" xfId="1145" xr:uid="{00000000-0005-0000-0000-0000BD080000}"/>
    <cellStyle name="Comma 11 3" xfId="1144" xr:uid="{00000000-0005-0000-0000-0000BE080000}"/>
    <cellStyle name="Comma 12" xfId="265" xr:uid="{00000000-0005-0000-0000-0000BF080000}"/>
    <cellStyle name="Comma 12 2" xfId="266" xr:uid="{00000000-0005-0000-0000-0000C0080000}"/>
    <cellStyle name="Comma 12 2 2" xfId="1147" xr:uid="{00000000-0005-0000-0000-0000C1080000}"/>
    <cellStyle name="Comma 12 3" xfId="1146" xr:uid="{00000000-0005-0000-0000-0000C2080000}"/>
    <cellStyle name="Comma 13" xfId="267" xr:uid="{00000000-0005-0000-0000-0000C3080000}"/>
    <cellStyle name="Comma 14" xfId="268" xr:uid="{00000000-0005-0000-0000-0000C4080000}"/>
    <cellStyle name="Comma 15" xfId="269" xr:uid="{00000000-0005-0000-0000-0000C5080000}"/>
    <cellStyle name="Comma 16" xfId="270" xr:uid="{00000000-0005-0000-0000-0000C6080000}"/>
    <cellStyle name="Comma 16 2" xfId="1151" xr:uid="{00000000-0005-0000-0000-0000C7080000}"/>
    <cellStyle name="Comma 17" xfId="271" xr:uid="{00000000-0005-0000-0000-0000C8080000}"/>
    <cellStyle name="Comma 17 2" xfId="1152" xr:uid="{00000000-0005-0000-0000-0000C9080000}"/>
    <cellStyle name="Comma 18" xfId="272" xr:uid="{00000000-0005-0000-0000-0000CA080000}"/>
    <cellStyle name="Comma 18 2" xfId="1153" xr:uid="{00000000-0005-0000-0000-0000CB080000}"/>
    <cellStyle name="Comma 19" xfId="273" xr:uid="{00000000-0005-0000-0000-0000CC080000}"/>
    <cellStyle name="Comma 19 2" xfId="1154" xr:uid="{00000000-0005-0000-0000-0000CD080000}"/>
    <cellStyle name="Comma 191 2" xfId="4108" xr:uid="{00000000-0005-0000-0000-0000CE080000}"/>
    <cellStyle name="Comma 2" xfId="4" xr:uid="{00000000-0005-0000-0000-0000CF080000}"/>
    <cellStyle name="Comma 2 10" xfId="4073" xr:uid="{00000000-0005-0000-0000-0000D0080000}"/>
    <cellStyle name="Comma 2 11" xfId="92" xr:uid="{00000000-0005-0000-0000-0000D1080000}"/>
    <cellStyle name="Comma 2 2" xfId="93" xr:uid="{00000000-0005-0000-0000-0000D2080000}"/>
    <cellStyle name="Comma 2 2 2" xfId="218" xr:uid="{00000000-0005-0000-0000-0000D3080000}"/>
    <cellStyle name="Comma 2 2 3" xfId="1156" xr:uid="{00000000-0005-0000-0000-0000D4080000}"/>
    <cellStyle name="Comma 2 3" xfId="94" xr:uid="{00000000-0005-0000-0000-0000D5080000}"/>
    <cellStyle name="Comma 2 3 2" xfId="274" xr:uid="{00000000-0005-0000-0000-0000D6080000}"/>
    <cellStyle name="Comma 2 3 3" xfId="1157" xr:uid="{00000000-0005-0000-0000-0000D7080000}"/>
    <cellStyle name="Comma 2 3 4" xfId="3072" xr:uid="{00000000-0005-0000-0000-0000D8080000}"/>
    <cellStyle name="Comma 2 4" xfId="165" xr:uid="{00000000-0005-0000-0000-0000D9080000}"/>
    <cellStyle name="Comma 2 4 2" xfId="1158" xr:uid="{00000000-0005-0000-0000-0000DA080000}"/>
    <cellStyle name="Comma 2 5" xfId="217" xr:uid="{00000000-0005-0000-0000-0000DB080000}"/>
    <cellStyle name="Comma 2 6" xfId="235" xr:uid="{00000000-0005-0000-0000-0000DC080000}"/>
    <cellStyle name="Comma 2 7" xfId="261" xr:uid="{00000000-0005-0000-0000-0000DD080000}"/>
    <cellStyle name="Comma 2 8" xfId="1155" xr:uid="{00000000-0005-0000-0000-0000DE080000}"/>
    <cellStyle name="Comma 2 9" xfId="3071" xr:uid="{00000000-0005-0000-0000-0000DF080000}"/>
    <cellStyle name="Comma 20" xfId="275" xr:uid="{00000000-0005-0000-0000-0000E0080000}"/>
    <cellStyle name="Comma 20 2" xfId="1159" xr:uid="{00000000-0005-0000-0000-0000E1080000}"/>
    <cellStyle name="Comma 21" xfId="276" xr:uid="{00000000-0005-0000-0000-0000E2080000}"/>
    <cellStyle name="Comma 21 2" xfId="1160" xr:uid="{00000000-0005-0000-0000-0000E3080000}"/>
    <cellStyle name="Comma 22" xfId="277" xr:uid="{00000000-0005-0000-0000-0000E4080000}"/>
    <cellStyle name="Comma 22 2" xfId="1161" xr:uid="{00000000-0005-0000-0000-0000E5080000}"/>
    <cellStyle name="Comma 23" xfId="278" xr:uid="{00000000-0005-0000-0000-0000E6080000}"/>
    <cellStyle name="Comma 23 2" xfId="1162" xr:uid="{00000000-0005-0000-0000-0000E7080000}"/>
    <cellStyle name="Comma 24" xfId="279" xr:uid="{00000000-0005-0000-0000-0000E8080000}"/>
    <cellStyle name="Comma 24 2" xfId="1163" xr:uid="{00000000-0005-0000-0000-0000E9080000}"/>
    <cellStyle name="Comma 25" xfId="280" xr:uid="{00000000-0005-0000-0000-0000EA080000}"/>
    <cellStyle name="Comma 25 2" xfId="1164" xr:uid="{00000000-0005-0000-0000-0000EB080000}"/>
    <cellStyle name="Comma 26" xfId="281" xr:uid="{00000000-0005-0000-0000-0000EC080000}"/>
    <cellStyle name="Comma 26 2" xfId="1165" xr:uid="{00000000-0005-0000-0000-0000ED080000}"/>
    <cellStyle name="Comma 27" xfId="282" xr:uid="{00000000-0005-0000-0000-0000EE080000}"/>
    <cellStyle name="Comma 27 2" xfId="1166" xr:uid="{00000000-0005-0000-0000-0000EF080000}"/>
    <cellStyle name="Comma 28" xfId="283" xr:uid="{00000000-0005-0000-0000-0000F0080000}"/>
    <cellStyle name="Comma 29" xfId="284" xr:uid="{00000000-0005-0000-0000-0000F1080000}"/>
    <cellStyle name="Comma 29 2" xfId="1168" xr:uid="{00000000-0005-0000-0000-0000F2080000}"/>
    <cellStyle name="Comma 3" xfId="6" xr:uid="{00000000-0005-0000-0000-0000F3080000}"/>
    <cellStyle name="Comma 3 2" xfId="224" xr:uid="{00000000-0005-0000-0000-0000F4080000}"/>
    <cellStyle name="Comma 3 2 2" xfId="286" xr:uid="{00000000-0005-0000-0000-0000F5080000}"/>
    <cellStyle name="Comma 3 2 2 2" xfId="3074" xr:uid="{00000000-0005-0000-0000-0000F6080000}"/>
    <cellStyle name="Comma 3 2 3" xfId="1170" xr:uid="{00000000-0005-0000-0000-0000F7080000}"/>
    <cellStyle name="Comma 3 2 4" xfId="3073" xr:uid="{00000000-0005-0000-0000-0000F8080000}"/>
    <cellStyle name="Comma 3 3" xfId="225" xr:uid="{00000000-0005-0000-0000-0000F9080000}"/>
    <cellStyle name="Comma 3 3 2" xfId="3075" xr:uid="{00000000-0005-0000-0000-0000FA080000}"/>
    <cellStyle name="Comma 3 4" xfId="285" xr:uid="{00000000-0005-0000-0000-0000FB080000}"/>
    <cellStyle name="Comma 3 5" xfId="1169" xr:uid="{00000000-0005-0000-0000-0000FC080000}"/>
    <cellStyle name="Comma 3 6" xfId="213" xr:uid="{00000000-0005-0000-0000-0000FD080000}"/>
    <cellStyle name="Comma 30" xfId="287" xr:uid="{00000000-0005-0000-0000-0000FE080000}"/>
    <cellStyle name="Comma 30 2" xfId="1171" xr:uid="{00000000-0005-0000-0000-0000FF080000}"/>
    <cellStyle name="Comma 31" xfId="288" xr:uid="{00000000-0005-0000-0000-000000090000}"/>
    <cellStyle name="Comma 31 2" xfId="1172" xr:uid="{00000000-0005-0000-0000-000001090000}"/>
    <cellStyle name="Comma 32" xfId="289" xr:uid="{00000000-0005-0000-0000-000002090000}"/>
    <cellStyle name="Comma 32 2" xfId="1173" xr:uid="{00000000-0005-0000-0000-000003090000}"/>
    <cellStyle name="Comma 33" xfId="290" xr:uid="{00000000-0005-0000-0000-000004090000}"/>
    <cellStyle name="Comma 33 2" xfId="1174" xr:uid="{00000000-0005-0000-0000-000005090000}"/>
    <cellStyle name="Comma 34" xfId="291" xr:uid="{00000000-0005-0000-0000-000006090000}"/>
    <cellStyle name="Comma 34 2" xfId="1175" xr:uid="{00000000-0005-0000-0000-000007090000}"/>
    <cellStyle name="Comma 35" xfId="292" xr:uid="{00000000-0005-0000-0000-000008090000}"/>
    <cellStyle name="Comma 35 2" xfId="1176" xr:uid="{00000000-0005-0000-0000-000009090000}"/>
    <cellStyle name="Comma 36" xfId="293" xr:uid="{00000000-0005-0000-0000-00000A090000}"/>
    <cellStyle name="Comma 36 2" xfId="1177" xr:uid="{00000000-0005-0000-0000-00000B090000}"/>
    <cellStyle name="Comma 37" xfId="294" xr:uid="{00000000-0005-0000-0000-00000C090000}"/>
    <cellStyle name="Comma 37 2" xfId="1178" xr:uid="{00000000-0005-0000-0000-00000D090000}"/>
    <cellStyle name="Comma 38" xfId="295" xr:uid="{00000000-0005-0000-0000-00000E090000}"/>
    <cellStyle name="Comma 38 2" xfId="1179" xr:uid="{00000000-0005-0000-0000-00000F090000}"/>
    <cellStyle name="Comma 39" xfId="296" xr:uid="{00000000-0005-0000-0000-000010090000}"/>
    <cellStyle name="Comma 39 2" xfId="1180" xr:uid="{00000000-0005-0000-0000-000011090000}"/>
    <cellStyle name="Comma 4" xfId="231" xr:uid="{00000000-0005-0000-0000-000012090000}"/>
    <cellStyle name="Comma 4 2" xfId="297" xr:uid="{00000000-0005-0000-0000-000013090000}"/>
    <cellStyle name="Comma 4 2 2" xfId="3076" xr:uid="{00000000-0005-0000-0000-000014090000}"/>
    <cellStyle name="Comma 4 3" xfId="1181" xr:uid="{00000000-0005-0000-0000-000015090000}"/>
    <cellStyle name="Comma 4 3 2" xfId="3077" xr:uid="{00000000-0005-0000-0000-000016090000}"/>
    <cellStyle name="Comma 40" xfId="298" xr:uid="{00000000-0005-0000-0000-000017090000}"/>
    <cellStyle name="Comma 40 2" xfId="1182" xr:uid="{00000000-0005-0000-0000-000018090000}"/>
    <cellStyle name="Comma 41" xfId="299" xr:uid="{00000000-0005-0000-0000-000019090000}"/>
    <cellStyle name="Comma 41 2" xfId="1183" xr:uid="{00000000-0005-0000-0000-00001A090000}"/>
    <cellStyle name="Comma 42" xfId="300" xr:uid="{00000000-0005-0000-0000-00001B090000}"/>
    <cellStyle name="Comma 42 2" xfId="1184" xr:uid="{00000000-0005-0000-0000-00001C090000}"/>
    <cellStyle name="Comma 43" xfId="301" xr:uid="{00000000-0005-0000-0000-00001D090000}"/>
    <cellStyle name="Comma 43 2" xfId="1185" xr:uid="{00000000-0005-0000-0000-00001E090000}"/>
    <cellStyle name="Comma 44" xfId="302" xr:uid="{00000000-0005-0000-0000-00001F090000}"/>
    <cellStyle name="Comma 44 2" xfId="1186" xr:uid="{00000000-0005-0000-0000-000020090000}"/>
    <cellStyle name="Comma 45" xfId="303" xr:uid="{00000000-0005-0000-0000-000021090000}"/>
    <cellStyle name="Comma 45 2" xfId="1187" xr:uid="{00000000-0005-0000-0000-000022090000}"/>
    <cellStyle name="Comma 46" xfId="304" xr:uid="{00000000-0005-0000-0000-000023090000}"/>
    <cellStyle name="Comma 46 2" xfId="1188" xr:uid="{00000000-0005-0000-0000-000024090000}"/>
    <cellStyle name="Comma 47" xfId="305" xr:uid="{00000000-0005-0000-0000-000025090000}"/>
    <cellStyle name="Comma 47 2" xfId="1189" xr:uid="{00000000-0005-0000-0000-000026090000}"/>
    <cellStyle name="Comma 48" xfId="306" xr:uid="{00000000-0005-0000-0000-000027090000}"/>
    <cellStyle name="Comma 48 2" xfId="1190" xr:uid="{00000000-0005-0000-0000-000028090000}"/>
    <cellStyle name="Comma 49" xfId="1191" xr:uid="{00000000-0005-0000-0000-000029090000}"/>
    <cellStyle name="Comma 5" xfId="307" xr:uid="{00000000-0005-0000-0000-00002A090000}"/>
    <cellStyle name="Comma 5 2" xfId="308" xr:uid="{00000000-0005-0000-0000-00002B090000}"/>
    <cellStyle name="Comma 5 2 2" xfId="1193" xr:uid="{00000000-0005-0000-0000-00002C090000}"/>
    <cellStyle name="Comma 5 2 3" xfId="3079" xr:uid="{00000000-0005-0000-0000-00002D090000}"/>
    <cellStyle name="Comma 5 3" xfId="309" xr:uid="{00000000-0005-0000-0000-00002E090000}"/>
    <cellStyle name="Comma 5 3 2" xfId="1194" xr:uid="{00000000-0005-0000-0000-00002F090000}"/>
    <cellStyle name="Comma 5 4" xfId="1195" xr:uid="{00000000-0005-0000-0000-000030090000}"/>
    <cellStyle name="Comma 5 5" xfId="1192" xr:uid="{00000000-0005-0000-0000-000031090000}"/>
    <cellStyle name="Comma 5 6" xfId="3078" xr:uid="{00000000-0005-0000-0000-000032090000}"/>
    <cellStyle name="Comma 50" xfId="1196" xr:uid="{00000000-0005-0000-0000-000033090000}"/>
    <cellStyle name="Comma 51" xfId="1197" xr:uid="{00000000-0005-0000-0000-000034090000}"/>
    <cellStyle name="Comma 52" xfId="1198" xr:uid="{00000000-0005-0000-0000-000035090000}"/>
    <cellStyle name="Comma 53" xfId="1199" xr:uid="{00000000-0005-0000-0000-000036090000}"/>
    <cellStyle name="Comma 54" xfId="1200" xr:uid="{00000000-0005-0000-0000-000037090000}"/>
    <cellStyle name="Comma 55" xfId="1201" xr:uid="{00000000-0005-0000-0000-000038090000}"/>
    <cellStyle name="Comma 56" xfId="1202" xr:uid="{00000000-0005-0000-0000-000039090000}"/>
    <cellStyle name="Comma 57" xfId="1203" xr:uid="{00000000-0005-0000-0000-00003A090000}"/>
    <cellStyle name="Comma 58" xfId="1204" xr:uid="{00000000-0005-0000-0000-00003B090000}"/>
    <cellStyle name="Comma 59" xfId="1205" xr:uid="{00000000-0005-0000-0000-00003C090000}"/>
    <cellStyle name="Comma 6" xfId="310" xr:uid="{00000000-0005-0000-0000-00003D090000}"/>
    <cellStyle name="Comma 6 2" xfId="3080" xr:uid="{00000000-0005-0000-0000-00003E090000}"/>
    <cellStyle name="Comma 60" xfId="1207" xr:uid="{00000000-0005-0000-0000-00003F090000}"/>
    <cellStyle name="Comma 61" xfId="1208" xr:uid="{00000000-0005-0000-0000-000040090000}"/>
    <cellStyle name="Comma 62" xfId="1209" xr:uid="{00000000-0005-0000-0000-000041090000}"/>
    <cellStyle name="Comma 63" xfId="1210" xr:uid="{00000000-0005-0000-0000-000042090000}"/>
    <cellStyle name="Comma 64" xfId="1211" xr:uid="{00000000-0005-0000-0000-000043090000}"/>
    <cellStyle name="Comma 65" xfId="1212" xr:uid="{00000000-0005-0000-0000-000044090000}"/>
    <cellStyle name="Comma 66" xfId="1213" xr:uid="{00000000-0005-0000-0000-000045090000}"/>
    <cellStyle name="Comma 67" xfId="1214" xr:uid="{00000000-0005-0000-0000-000046090000}"/>
    <cellStyle name="Comma 67 2" xfId="1215" xr:uid="{00000000-0005-0000-0000-000047090000}"/>
    <cellStyle name="Comma 68" xfId="4075" xr:uid="{00000000-0005-0000-0000-000048090000}"/>
    <cellStyle name="Comma 69" xfId="4087" xr:uid="{00000000-0005-0000-0000-000049090000}"/>
    <cellStyle name="Comma 7" xfId="226" xr:uid="{00000000-0005-0000-0000-00004A090000}"/>
    <cellStyle name="Comma 7 2" xfId="311" xr:uid="{00000000-0005-0000-0000-00004B090000}"/>
    <cellStyle name="Comma 7 2 2" xfId="3081" xr:uid="{00000000-0005-0000-0000-00004C090000}"/>
    <cellStyle name="Comma 7 3" xfId="1216" xr:uid="{00000000-0005-0000-0000-00004D090000}"/>
    <cellStyle name="Comma 7 4" xfId="4077" xr:uid="{00000000-0005-0000-0000-00004E090000}"/>
    <cellStyle name="Comma 70" xfId="4093" xr:uid="{00000000-0005-0000-0000-00004F090000}"/>
    <cellStyle name="Comma 71" xfId="4100" xr:uid="{00000000-0005-0000-0000-000050090000}"/>
    <cellStyle name="Comma 72" xfId="4104" xr:uid="{00000000-0005-0000-0000-000051090000}"/>
    <cellStyle name="Comma 73" xfId="91" xr:uid="{00000000-0005-0000-0000-000052090000}"/>
    <cellStyle name="Comma 74" xfId="4110" xr:uid="{00000000-0005-0000-0000-000053090000}"/>
    <cellStyle name="Comma 75" xfId="4109" xr:uid="{00000000-0005-0000-0000-000054090000}"/>
    <cellStyle name="Comma 76" xfId="4112" xr:uid="{00000000-0005-0000-0000-000055090000}"/>
    <cellStyle name="Comma 8" xfId="237" xr:uid="{00000000-0005-0000-0000-000056090000}"/>
    <cellStyle name="Comma 8 2" xfId="312" xr:uid="{00000000-0005-0000-0000-000057090000}"/>
    <cellStyle name="Comma 8 2 2" xfId="3083" xr:uid="{00000000-0005-0000-0000-000058090000}"/>
    <cellStyle name="Comma 8 3" xfId="1217" xr:uid="{00000000-0005-0000-0000-000059090000}"/>
    <cellStyle name="Comma 8 4" xfId="3082" xr:uid="{00000000-0005-0000-0000-00005A090000}"/>
    <cellStyle name="Comma 8 5" xfId="4078" xr:uid="{00000000-0005-0000-0000-00005B090000}"/>
    <cellStyle name="Comma 8 6" xfId="4089" xr:uid="{00000000-0005-0000-0000-00005C090000}"/>
    <cellStyle name="Comma 8 7" xfId="4095" xr:uid="{00000000-0005-0000-0000-00005D090000}"/>
    <cellStyle name="Comma 8 8" xfId="4102" xr:uid="{00000000-0005-0000-0000-00005E090000}"/>
    <cellStyle name="Comma 9" xfId="227" xr:uid="{00000000-0005-0000-0000-00005F090000}"/>
    <cellStyle name="Comma 9 2" xfId="313" xr:uid="{00000000-0005-0000-0000-000060090000}"/>
    <cellStyle name="Comma 9 3" xfId="1218" xr:uid="{00000000-0005-0000-0000-000061090000}"/>
    <cellStyle name="comma zerodec" xfId="95" xr:uid="{00000000-0005-0000-0000-000062090000}"/>
    <cellStyle name="comma zerodec 2" xfId="166" xr:uid="{00000000-0005-0000-0000-000063090000}"/>
    <cellStyle name="comma zerodec 2 2" xfId="3084" xr:uid="{00000000-0005-0000-0000-000064090000}"/>
    <cellStyle name="comma zerodec 3" xfId="3085" xr:uid="{00000000-0005-0000-0000-000065090000}"/>
    <cellStyle name="comma zerodec 4" xfId="3086" xr:uid="{00000000-0005-0000-0000-000066090000}"/>
    <cellStyle name="Curren - Style3" xfId="314" xr:uid="{00000000-0005-0000-0000-000067090000}"/>
    <cellStyle name="Curren - Style4" xfId="315" xr:uid="{00000000-0005-0000-0000-000068090000}"/>
    <cellStyle name="Currency 2" xfId="1222" xr:uid="{00000000-0005-0000-0000-000069090000}"/>
    <cellStyle name="Currency1" xfId="96" xr:uid="{00000000-0005-0000-0000-00006A090000}"/>
    <cellStyle name="Currency1 2" xfId="167" xr:uid="{00000000-0005-0000-0000-00006B090000}"/>
    <cellStyle name="Days" xfId="3087" xr:uid="{00000000-0005-0000-0000-00006C090000}"/>
    <cellStyle name="Dollar (zero dec)" xfId="97" xr:uid="{00000000-0005-0000-0000-00006D090000}"/>
    <cellStyle name="Dollar (zero dec) 2" xfId="168" xr:uid="{00000000-0005-0000-0000-00006E090000}"/>
    <cellStyle name="Emphasis 1" xfId="1225" xr:uid="{00000000-0005-0000-0000-00006F090000}"/>
    <cellStyle name="Emphasis 2" xfId="1226" xr:uid="{00000000-0005-0000-0000-000070090000}"/>
    <cellStyle name="Emphasis 3" xfId="1227" xr:uid="{00000000-0005-0000-0000-000071090000}"/>
    <cellStyle name="Explanatory Text 10" xfId="3088" xr:uid="{00000000-0005-0000-0000-000072090000}"/>
    <cellStyle name="Explanatory Text 11" xfId="3089" xr:uid="{00000000-0005-0000-0000-000073090000}"/>
    <cellStyle name="Explanatory Text 12" xfId="3090" xr:uid="{00000000-0005-0000-0000-000074090000}"/>
    <cellStyle name="Explanatory Text 13" xfId="3091" xr:uid="{00000000-0005-0000-0000-000075090000}"/>
    <cellStyle name="Explanatory Text 14" xfId="3092" xr:uid="{00000000-0005-0000-0000-000076090000}"/>
    <cellStyle name="Explanatory Text 15" xfId="3093" xr:uid="{00000000-0005-0000-0000-000077090000}"/>
    <cellStyle name="Explanatory Text 16" xfId="98" xr:uid="{00000000-0005-0000-0000-000078090000}"/>
    <cellStyle name="Explanatory Text 2" xfId="99" xr:uid="{00000000-0005-0000-0000-000079090000}"/>
    <cellStyle name="Explanatory Text 2 10" xfId="3095" xr:uid="{00000000-0005-0000-0000-00007A090000}"/>
    <cellStyle name="Explanatory Text 2 11" xfId="3096" xr:uid="{00000000-0005-0000-0000-00007B090000}"/>
    <cellStyle name="Explanatory Text 2 12" xfId="3094" xr:uid="{00000000-0005-0000-0000-00007C090000}"/>
    <cellStyle name="Explanatory Text 2 2" xfId="1228" xr:uid="{00000000-0005-0000-0000-00007D090000}"/>
    <cellStyle name="Explanatory Text 2 2 2" xfId="3097" xr:uid="{00000000-0005-0000-0000-00007E090000}"/>
    <cellStyle name="Explanatory Text 2 3" xfId="3098" xr:uid="{00000000-0005-0000-0000-00007F090000}"/>
    <cellStyle name="Explanatory Text 2 4" xfId="3099" xr:uid="{00000000-0005-0000-0000-000080090000}"/>
    <cellStyle name="Explanatory Text 2 5" xfId="3100" xr:uid="{00000000-0005-0000-0000-000081090000}"/>
    <cellStyle name="Explanatory Text 2 6" xfId="3101" xr:uid="{00000000-0005-0000-0000-000082090000}"/>
    <cellStyle name="Explanatory Text 2 7" xfId="3102" xr:uid="{00000000-0005-0000-0000-000083090000}"/>
    <cellStyle name="Explanatory Text 2 8" xfId="3103" xr:uid="{00000000-0005-0000-0000-000084090000}"/>
    <cellStyle name="Explanatory Text 2 9" xfId="3104" xr:uid="{00000000-0005-0000-0000-000085090000}"/>
    <cellStyle name="Explanatory Text 3" xfId="100" xr:uid="{00000000-0005-0000-0000-000086090000}"/>
    <cellStyle name="Explanatory Text 3 10" xfId="3106" xr:uid="{00000000-0005-0000-0000-000087090000}"/>
    <cellStyle name="Explanatory Text 3 11" xfId="3107" xr:uid="{00000000-0005-0000-0000-000088090000}"/>
    <cellStyle name="Explanatory Text 3 12" xfId="3105" xr:uid="{00000000-0005-0000-0000-000089090000}"/>
    <cellStyle name="Explanatory Text 3 2" xfId="3108" xr:uid="{00000000-0005-0000-0000-00008A090000}"/>
    <cellStyle name="Explanatory Text 3 3" xfId="3109" xr:uid="{00000000-0005-0000-0000-00008B090000}"/>
    <cellStyle name="Explanatory Text 3 4" xfId="3110" xr:uid="{00000000-0005-0000-0000-00008C090000}"/>
    <cellStyle name="Explanatory Text 3 5" xfId="3111" xr:uid="{00000000-0005-0000-0000-00008D090000}"/>
    <cellStyle name="Explanatory Text 3 6" xfId="3112" xr:uid="{00000000-0005-0000-0000-00008E090000}"/>
    <cellStyle name="Explanatory Text 3 7" xfId="3113" xr:uid="{00000000-0005-0000-0000-00008F090000}"/>
    <cellStyle name="Explanatory Text 3 8" xfId="3114" xr:uid="{00000000-0005-0000-0000-000090090000}"/>
    <cellStyle name="Explanatory Text 3 9" xfId="3115" xr:uid="{00000000-0005-0000-0000-000091090000}"/>
    <cellStyle name="Explanatory Text 4" xfId="3116" xr:uid="{00000000-0005-0000-0000-000092090000}"/>
    <cellStyle name="Explanatory Text 4 10" xfId="3117" xr:uid="{00000000-0005-0000-0000-000093090000}"/>
    <cellStyle name="Explanatory Text 4 11" xfId="3118" xr:uid="{00000000-0005-0000-0000-000094090000}"/>
    <cellStyle name="Explanatory Text 4 2" xfId="3119" xr:uid="{00000000-0005-0000-0000-000095090000}"/>
    <cellStyle name="Explanatory Text 4 3" xfId="3120" xr:uid="{00000000-0005-0000-0000-000096090000}"/>
    <cellStyle name="Explanatory Text 4 4" xfId="3121" xr:uid="{00000000-0005-0000-0000-000097090000}"/>
    <cellStyle name="Explanatory Text 4 5" xfId="3122" xr:uid="{00000000-0005-0000-0000-000098090000}"/>
    <cellStyle name="Explanatory Text 4 6" xfId="3123" xr:uid="{00000000-0005-0000-0000-000099090000}"/>
    <cellStyle name="Explanatory Text 4 7" xfId="3124" xr:uid="{00000000-0005-0000-0000-00009A090000}"/>
    <cellStyle name="Explanatory Text 4 8" xfId="3125" xr:uid="{00000000-0005-0000-0000-00009B090000}"/>
    <cellStyle name="Explanatory Text 4 9" xfId="3126" xr:uid="{00000000-0005-0000-0000-00009C090000}"/>
    <cellStyle name="Explanatory Text 5" xfId="3127" xr:uid="{00000000-0005-0000-0000-00009D090000}"/>
    <cellStyle name="Explanatory Text 5 10" xfId="3128" xr:uid="{00000000-0005-0000-0000-00009E090000}"/>
    <cellStyle name="Explanatory Text 5 11" xfId="3129" xr:uid="{00000000-0005-0000-0000-00009F090000}"/>
    <cellStyle name="Explanatory Text 5 2" xfId="3130" xr:uid="{00000000-0005-0000-0000-0000A0090000}"/>
    <cellStyle name="Explanatory Text 5 3" xfId="3131" xr:uid="{00000000-0005-0000-0000-0000A1090000}"/>
    <cellStyle name="Explanatory Text 5 4" xfId="3132" xr:uid="{00000000-0005-0000-0000-0000A2090000}"/>
    <cellStyle name="Explanatory Text 5 5" xfId="3133" xr:uid="{00000000-0005-0000-0000-0000A3090000}"/>
    <cellStyle name="Explanatory Text 5 6" xfId="3134" xr:uid="{00000000-0005-0000-0000-0000A4090000}"/>
    <cellStyle name="Explanatory Text 5 7" xfId="3135" xr:uid="{00000000-0005-0000-0000-0000A5090000}"/>
    <cellStyle name="Explanatory Text 5 8" xfId="3136" xr:uid="{00000000-0005-0000-0000-0000A6090000}"/>
    <cellStyle name="Explanatory Text 5 9" xfId="3137" xr:uid="{00000000-0005-0000-0000-0000A7090000}"/>
    <cellStyle name="Explanatory Text 6" xfId="3138" xr:uid="{00000000-0005-0000-0000-0000A8090000}"/>
    <cellStyle name="Explanatory Text 7" xfId="3139" xr:uid="{00000000-0005-0000-0000-0000A9090000}"/>
    <cellStyle name="Explanatory Text 8" xfId="3140" xr:uid="{00000000-0005-0000-0000-0000AA090000}"/>
    <cellStyle name="Explanatory Text 9" xfId="3141" xr:uid="{00000000-0005-0000-0000-0000AB090000}"/>
    <cellStyle name="Good 10" xfId="3142" xr:uid="{00000000-0005-0000-0000-0000AC090000}"/>
    <cellStyle name="Good 11" xfId="3143" xr:uid="{00000000-0005-0000-0000-0000AD090000}"/>
    <cellStyle name="Good 12" xfId="3144" xr:uid="{00000000-0005-0000-0000-0000AE090000}"/>
    <cellStyle name="Good 13" xfId="3145" xr:uid="{00000000-0005-0000-0000-0000AF090000}"/>
    <cellStyle name="Good 14" xfId="3146" xr:uid="{00000000-0005-0000-0000-0000B0090000}"/>
    <cellStyle name="Good 15" xfId="3147" xr:uid="{00000000-0005-0000-0000-0000B1090000}"/>
    <cellStyle name="Good 16" xfId="101" xr:uid="{00000000-0005-0000-0000-0000B2090000}"/>
    <cellStyle name="Good 2" xfId="102" xr:uid="{00000000-0005-0000-0000-0000B3090000}"/>
    <cellStyle name="Good 2 10" xfId="3149" xr:uid="{00000000-0005-0000-0000-0000B4090000}"/>
    <cellStyle name="Good 2 11" xfId="3150" xr:uid="{00000000-0005-0000-0000-0000B5090000}"/>
    <cellStyle name="Good 2 12" xfId="3148" xr:uid="{00000000-0005-0000-0000-0000B6090000}"/>
    <cellStyle name="Good 2 2" xfId="1230" xr:uid="{00000000-0005-0000-0000-0000B7090000}"/>
    <cellStyle name="Good 2 2 2" xfId="3151" xr:uid="{00000000-0005-0000-0000-0000B8090000}"/>
    <cellStyle name="Good 2 3" xfId="3152" xr:uid="{00000000-0005-0000-0000-0000B9090000}"/>
    <cellStyle name="Good 2 4" xfId="3153" xr:uid="{00000000-0005-0000-0000-0000BA090000}"/>
    <cellStyle name="Good 2 5" xfId="3154" xr:uid="{00000000-0005-0000-0000-0000BB090000}"/>
    <cellStyle name="Good 2 6" xfId="3155" xr:uid="{00000000-0005-0000-0000-0000BC090000}"/>
    <cellStyle name="Good 2 7" xfId="3156" xr:uid="{00000000-0005-0000-0000-0000BD090000}"/>
    <cellStyle name="Good 2 8" xfId="3157" xr:uid="{00000000-0005-0000-0000-0000BE090000}"/>
    <cellStyle name="Good 2 9" xfId="3158" xr:uid="{00000000-0005-0000-0000-0000BF090000}"/>
    <cellStyle name="Good 3" xfId="103" xr:uid="{00000000-0005-0000-0000-0000C0090000}"/>
    <cellStyle name="Good 3 10" xfId="3160" xr:uid="{00000000-0005-0000-0000-0000C1090000}"/>
    <cellStyle name="Good 3 11" xfId="3161" xr:uid="{00000000-0005-0000-0000-0000C2090000}"/>
    <cellStyle name="Good 3 12" xfId="3159" xr:uid="{00000000-0005-0000-0000-0000C3090000}"/>
    <cellStyle name="Good 3 2" xfId="3162" xr:uid="{00000000-0005-0000-0000-0000C4090000}"/>
    <cellStyle name="Good 3 3" xfId="3163" xr:uid="{00000000-0005-0000-0000-0000C5090000}"/>
    <cellStyle name="Good 3 4" xfId="3164" xr:uid="{00000000-0005-0000-0000-0000C6090000}"/>
    <cellStyle name="Good 3 5" xfId="3165" xr:uid="{00000000-0005-0000-0000-0000C7090000}"/>
    <cellStyle name="Good 3 6" xfId="3166" xr:uid="{00000000-0005-0000-0000-0000C8090000}"/>
    <cellStyle name="Good 3 7" xfId="3167" xr:uid="{00000000-0005-0000-0000-0000C9090000}"/>
    <cellStyle name="Good 3 8" xfId="3168" xr:uid="{00000000-0005-0000-0000-0000CA090000}"/>
    <cellStyle name="Good 3 9" xfId="3169" xr:uid="{00000000-0005-0000-0000-0000CB090000}"/>
    <cellStyle name="Good 4" xfId="1232" xr:uid="{00000000-0005-0000-0000-0000CC090000}"/>
    <cellStyle name="Good 4 10" xfId="3171" xr:uid="{00000000-0005-0000-0000-0000CD090000}"/>
    <cellStyle name="Good 4 11" xfId="3172" xr:uid="{00000000-0005-0000-0000-0000CE090000}"/>
    <cellStyle name="Good 4 12" xfId="3170" xr:uid="{00000000-0005-0000-0000-0000CF090000}"/>
    <cellStyle name="Good 4 2" xfId="3173" xr:uid="{00000000-0005-0000-0000-0000D0090000}"/>
    <cellStyle name="Good 4 3" xfId="3174" xr:uid="{00000000-0005-0000-0000-0000D1090000}"/>
    <cellStyle name="Good 4 4" xfId="3175" xr:uid="{00000000-0005-0000-0000-0000D2090000}"/>
    <cellStyle name="Good 4 5" xfId="3176" xr:uid="{00000000-0005-0000-0000-0000D3090000}"/>
    <cellStyle name="Good 4 6" xfId="3177" xr:uid="{00000000-0005-0000-0000-0000D4090000}"/>
    <cellStyle name="Good 4 7" xfId="3178" xr:uid="{00000000-0005-0000-0000-0000D5090000}"/>
    <cellStyle name="Good 4 8" xfId="3179" xr:uid="{00000000-0005-0000-0000-0000D6090000}"/>
    <cellStyle name="Good 4 9" xfId="3180" xr:uid="{00000000-0005-0000-0000-0000D7090000}"/>
    <cellStyle name="Good 5" xfId="3181" xr:uid="{00000000-0005-0000-0000-0000D8090000}"/>
    <cellStyle name="Good 5 10" xfId="3182" xr:uid="{00000000-0005-0000-0000-0000D9090000}"/>
    <cellStyle name="Good 5 11" xfId="3183" xr:uid="{00000000-0005-0000-0000-0000DA090000}"/>
    <cellStyle name="Good 5 2" xfId="3184" xr:uid="{00000000-0005-0000-0000-0000DB090000}"/>
    <cellStyle name="Good 5 3" xfId="3185" xr:uid="{00000000-0005-0000-0000-0000DC090000}"/>
    <cellStyle name="Good 5 4" xfId="3186" xr:uid="{00000000-0005-0000-0000-0000DD090000}"/>
    <cellStyle name="Good 5 5" xfId="3187" xr:uid="{00000000-0005-0000-0000-0000DE090000}"/>
    <cellStyle name="Good 5 6" xfId="3188" xr:uid="{00000000-0005-0000-0000-0000DF090000}"/>
    <cellStyle name="Good 5 7" xfId="3189" xr:uid="{00000000-0005-0000-0000-0000E0090000}"/>
    <cellStyle name="Good 5 8" xfId="3190" xr:uid="{00000000-0005-0000-0000-0000E1090000}"/>
    <cellStyle name="Good 5 9" xfId="3191" xr:uid="{00000000-0005-0000-0000-0000E2090000}"/>
    <cellStyle name="Good 6" xfId="3192" xr:uid="{00000000-0005-0000-0000-0000E3090000}"/>
    <cellStyle name="Good 7" xfId="3193" xr:uid="{00000000-0005-0000-0000-0000E4090000}"/>
    <cellStyle name="Good 8" xfId="3194" xr:uid="{00000000-0005-0000-0000-0000E5090000}"/>
    <cellStyle name="Good 9" xfId="3195" xr:uid="{00000000-0005-0000-0000-0000E6090000}"/>
    <cellStyle name="Grey" xfId="316" xr:uid="{00000000-0005-0000-0000-0000E7090000}"/>
    <cellStyle name="Head1" xfId="3196" xr:uid="{00000000-0005-0000-0000-0000E8090000}"/>
    <cellStyle name="Head2" xfId="3197" xr:uid="{00000000-0005-0000-0000-0000E9090000}"/>
    <cellStyle name="Header1" xfId="104" xr:uid="{00000000-0005-0000-0000-0000EA090000}"/>
    <cellStyle name="Header2" xfId="105" xr:uid="{00000000-0005-0000-0000-0000EB090000}"/>
    <cellStyle name="Heading" xfId="3198" xr:uid="{00000000-0005-0000-0000-0000EC090000}"/>
    <cellStyle name="Heading 1 10" xfId="3199" xr:uid="{00000000-0005-0000-0000-0000ED090000}"/>
    <cellStyle name="Heading 1 11" xfId="3200" xr:uid="{00000000-0005-0000-0000-0000EE090000}"/>
    <cellStyle name="Heading 1 12" xfId="3201" xr:uid="{00000000-0005-0000-0000-0000EF090000}"/>
    <cellStyle name="Heading 1 13" xfId="3202" xr:uid="{00000000-0005-0000-0000-0000F0090000}"/>
    <cellStyle name="Heading 1 14" xfId="3203" xr:uid="{00000000-0005-0000-0000-0000F1090000}"/>
    <cellStyle name="Heading 1 15" xfId="3204" xr:uid="{00000000-0005-0000-0000-0000F2090000}"/>
    <cellStyle name="Heading 1 16" xfId="106" xr:uid="{00000000-0005-0000-0000-0000F3090000}"/>
    <cellStyle name="Heading 1 2" xfId="107" xr:uid="{00000000-0005-0000-0000-0000F4090000}"/>
    <cellStyle name="Heading 1 2 10" xfId="3206" xr:uid="{00000000-0005-0000-0000-0000F5090000}"/>
    <cellStyle name="Heading 1 2 11" xfId="3207" xr:uid="{00000000-0005-0000-0000-0000F6090000}"/>
    <cellStyle name="Heading 1 2 12" xfId="3205" xr:uid="{00000000-0005-0000-0000-0000F7090000}"/>
    <cellStyle name="Heading 1 2 2" xfId="1236" xr:uid="{00000000-0005-0000-0000-0000F8090000}"/>
    <cellStyle name="Heading 1 2 2 2" xfId="3208" xr:uid="{00000000-0005-0000-0000-0000F9090000}"/>
    <cellStyle name="Heading 1 2 3" xfId="3209" xr:uid="{00000000-0005-0000-0000-0000FA090000}"/>
    <cellStyle name="Heading 1 2 4" xfId="3210" xr:uid="{00000000-0005-0000-0000-0000FB090000}"/>
    <cellStyle name="Heading 1 2 5" xfId="3211" xr:uid="{00000000-0005-0000-0000-0000FC090000}"/>
    <cellStyle name="Heading 1 2 6" xfId="3212" xr:uid="{00000000-0005-0000-0000-0000FD090000}"/>
    <cellStyle name="Heading 1 2 7" xfId="3213" xr:uid="{00000000-0005-0000-0000-0000FE090000}"/>
    <cellStyle name="Heading 1 2 8" xfId="3214" xr:uid="{00000000-0005-0000-0000-0000FF090000}"/>
    <cellStyle name="Heading 1 2 9" xfId="3215" xr:uid="{00000000-0005-0000-0000-0000000A0000}"/>
    <cellStyle name="Heading 1 3" xfId="108" xr:uid="{00000000-0005-0000-0000-0000010A0000}"/>
    <cellStyle name="Heading 1 3 10" xfId="3217" xr:uid="{00000000-0005-0000-0000-0000020A0000}"/>
    <cellStyle name="Heading 1 3 11" xfId="3218" xr:uid="{00000000-0005-0000-0000-0000030A0000}"/>
    <cellStyle name="Heading 1 3 12" xfId="3216" xr:uid="{00000000-0005-0000-0000-0000040A0000}"/>
    <cellStyle name="Heading 1 3 2" xfId="3219" xr:uid="{00000000-0005-0000-0000-0000050A0000}"/>
    <cellStyle name="Heading 1 3 3" xfId="3220" xr:uid="{00000000-0005-0000-0000-0000060A0000}"/>
    <cellStyle name="Heading 1 3 4" xfId="3221" xr:uid="{00000000-0005-0000-0000-0000070A0000}"/>
    <cellStyle name="Heading 1 3 5" xfId="3222" xr:uid="{00000000-0005-0000-0000-0000080A0000}"/>
    <cellStyle name="Heading 1 3 6" xfId="3223" xr:uid="{00000000-0005-0000-0000-0000090A0000}"/>
    <cellStyle name="Heading 1 3 7" xfId="3224" xr:uid="{00000000-0005-0000-0000-00000A0A0000}"/>
    <cellStyle name="Heading 1 3 8" xfId="3225" xr:uid="{00000000-0005-0000-0000-00000B0A0000}"/>
    <cellStyle name="Heading 1 3 9" xfId="3226" xr:uid="{00000000-0005-0000-0000-00000C0A0000}"/>
    <cellStyle name="Heading 1 4" xfId="1238" xr:uid="{00000000-0005-0000-0000-00000D0A0000}"/>
    <cellStyle name="Heading 1 4 10" xfId="3228" xr:uid="{00000000-0005-0000-0000-00000E0A0000}"/>
    <cellStyle name="Heading 1 4 11" xfId="3229" xr:uid="{00000000-0005-0000-0000-00000F0A0000}"/>
    <cellStyle name="Heading 1 4 12" xfId="3227" xr:uid="{00000000-0005-0000-0000-0000100A0000}"/>
    <cellStyle name="Heading 1 4 2" xfId="3230" xr:uid="{00000000-0005-0000-0000-0000110A0000}"/>
    <cellStyle name="Heading 1 4 3" xfId="3231" xr:uid="{00000000-0005-0000-0000-0000120A0000}"/>
    <cellStyle name="Heading 1 4 4" xfId="3232" xr:uid="{00000000-0005-0000-0000-0000130A0000}"/>
    <cellStyle name="Heading 1 4 5" xfId="3233" xr:uid="{00000000-0005-0000-0000-0000140A0000}"/>
    <cellStyle name="Heading 1 4 6" xfId="3234" xr:uid="{00000000-0005-0000-0000-0000150A0000}"/>
    <cellStyle name="Heading 1 4 7" xfId="3235" xr:uid="{00000000-0005-0000-0000-0000160A0000}"/>
    <cellStyle name="Heading 1 4 8" xfId="3236" xr:uid="{00000000-0005-0000-0000-0000170A0000}"/>
    <cellStyle name="Heading 1 4 9" xfId="3237" xr:uid="{00000000-0005-0000-0000-0000180A0000}"/>
    <cellStyle name="Heading 1 5" xfId="3238" xr:uid="{00000000-0005-0000-0000-0000190A0000}"/>
    <cellStyle name="Heading 1 5 10" xfId="3239" xr:uid="{00000000-0005-0000-0000-00001A0A0000}"/>
    <cellStyle name="Heading 1 5 11" xfId="3240" xr:uid="{00000000-0005-0000-0000-00001B0A0000}"/>
    <cellStyle name="Heading 1 5 2" xfId="3241" xr:uid="{00000000-0005-0000-0000-00001C0A0000}"/>
    <cellStyle name="Heading 1 5 3" xfId="3242" xr:uid="{00000000-0005-0000-0000-00001D0A0000}"/>
    <cellStyle name="Heading 1 5 4" xfId="3243" xr:uid="{00000000-0005-0000-0000-00001E0A0000}"/>
    <cellStyle name="Heading 1 5 5" xfId="3244" xr:uid="{00000000-0005-0000-0000-00001F0A0000}"/>
    <cellStyle name="Heading 1 5 6" xfId="3245" xr:uid="{00000000-0005-0000-0000-0000200A0000}"/>
    <cellStyle name="Heading 1 5 7" xfId="3246" xr:uid="{00000000-0005-0000-0000-0000210A0000}"/>
    <cellStyle name="Heading 1 5 8" xfId="3247" xr:uid="{00000000-0005-0000-0000-0000220A0000}"/>
    <cellStyle name="Heading 1 5 9" xfId="3248" xr:uid="{00000000-0005-0000-0000-0000230A0000}"/>
    <cellStyle name="Heading 1 6" xfId="3249" xr:uid="{00000000-0005-0000-0000-0000240A0000}"/>
    <cellStyle name="Heading 1 7" xfId="3250" xr:uid="{00000000-0005-0000-0000-0000250A0000}"/>
    <cellStyle name="Heading 1 8" xfId="3251" xr:uid="{00000000-0005-0000-0000-0000260A0000}"/>
    <cellStyle name="Heading 1 9" xfId="3252" xr:uid="{00000000-0005-0000-0000-0000270A0000}"/>
    <cellStyle name="Heading 2 10" xfId="3253" xr:uid="{00000000-0005-0000-0000-0000280A0000}"/>
    <cellStyle name="Heading 2 11" xfId="3254" xr:uid="{00000000-0005-0000-0000-0000290A0000}"/>
    <cellStyle name="Heading 2 12" xfId="3255" xr:uid="{00000000-0005-0000-0000-00002A0A0000}"/>
    <cellStyle name="Heading 2 13" xfId="3256" xr:uid="{00000000-0005-0000-0000-00002B0A0000}"/>
    <cellStyle name="Heading 2 14" xfId="3257" xr:uid="{00000000-0005-0000-0000-00002C0A0000}"/>
    <cellStyle name="Heading 2 15" xfId="3258" xr:uid="{00000000-0005-0000-0000-00002D0A0000}"/>
    <cellStyle name="Heading 2 16" xfId="109" xr:uid="{00000000-0005-0000-0000-00002E0A0000}"/>
    <cellStyle name="Heading 2 2" xfId="110" xr:uid="{00000000-0005-0000-0000-00002F0A0000}"/>
    <cellStyle name="Heading 2 2 10" xfId="3260" xr:uid="{00000000-0005-0000-0000-0000300A0000}"/>
    <cellStyle name="Heading 2 2 11" xfId="3261" xr:uid="{00000000-0005-0000-0000-0000310A0000}"/>
    <cellStyle name="Heading 2 2 12" xfId="3259" xr:uid="{00000000-0005-0000-0000-0000320A0000}"/>
    <cellStyle name="Heading 2 2 2" xfId="1239" xr:uid="{00000000-0005-0000-0000-0000330A0000}"/>
    <cellStyle name="Heading 2 2 2 2" xfId="3262" xr:uid="{00000000-0005-0000-0000-0000340A0000}"/>
    <cellStyle name="Heading 2 2 3" xfId="3263" xr:uid="{00000000-0005-0000-0000-0000350A0000}"/>
    <cellStyle name="Heading 2 2 4" xfId="3264" xr:uid="{00000000-0005-0000-0000-0000360A0000}"/>
    <cellStyle name="Heading 2 2 5" xfId="3265" xr:uid="{00000000-0005-0000-0000-0000370A0000}"/>
    <cellStyle name="Heading 2 2 6" xfId="3266" xr:uid="{00000000-0005-0000-0000-0000380A0000}"/>
    <cellStyle name="Heading 2 2 7" xfId="3267" xr:uid="{00000000-0005-0000-0000-0000390A0000}"/>
    <cellStyle name="Heading 2 2 8" xfId="3268" xr:uid="{00000000-0005-0000-0000-00003A0A0000}"/>
    <cellStyle name="Heading 2 2 9" xfId="3269" xr:uid="{00000000-0005-0000-0000-00003B0A0000}"/>
    <cellStyle name="Heading 2 3" xfId="111" xr:uid="{00000000-0005-0000-0000-00003C0A0000}"/>
    <cellStyle name="Heading 2 3 10" xfId="3271" xr:uid="{00000000-0005-0000-0000-00003D0A0000}"/>
    <cellStyle name="Heading 2 3 11" xfId="3272" xr:uid="{00000000-0005-0000-0000-00003E0A0000}"/>
    <cellStyle name="Heading 2 3 12" xfId="3270" xr:uid="{00000000-0005-0000-0000-00003F0A0000}"/>
    <cellStyle name="Heading 2 3 2" xfId="3273" xr:uid="{00000000-0005-0000-0000-0000400A0000}"/>
    <cellStyle name="Heading 2 3 3" xfId="3274" xr:uid="{00000000-0005-0000-0000-0000410A0000}"/>
    <cellStyle name="Heading 2 3 4" xfId="3275" xr:uid="{00000000-0005-0000-0000-0000420A0000}"/>
    <cellStyle name="Heading 2 3 5" xfId="3276" xr:uid="{00000000-0005-0000-0000-0000430A0000}"/>
    <cellStyle name="Heading 2 3 6" xfId="3277" xr:uid="{00000000-0005-0000-0000-0000440A0000}"/>
    <cellStyle name="Heading 2 3 7" xfId="3278" xr:uid="{00000000-0005-0000-0000-0000450A0000}"/>
    <cellStyle name="Heading 2 3 8" xfId="3279" xr:uid="{00000000-0005-0000-0000-0000460A0000}"/>
    <cellStyle name="Heading 2 3 9" xfId="3280" xr:uid="{00000000-0005-0000-0000-0000470A0000}"/>
    <cellStyle name="Heading 2 4" xfId="1241" xr:uid="{00000000-0005-0000-0000-0000480A0000}"/>
    <cellStyle name="Heading 2 4 10" xfId="3282" xr:uid="{00000000-0005-0000-0000-0000490A0000}"/>
    <cellStyle name="Heading 2 4 11" xfId="3283" xr:uid="{00000000-0005-0000-0000-00004A0A0000}"/>
    <cellStyle name="Heading 2 4 12" xfId="3281" xr:uid="{00000000-0005-0000-0000-00004B0A0000}"/>
    <cellStyle name="Heading 2 4 2" xfId="3284" xr:uid="{00000000-0005-0000-0000-00004C0A0000}"/>
    <cellStyle name="Heading 2 4 3" xfId="3285" xr:uid="{00000000-0005-0000-0000-00004D0A0000}"/>
    <cellStyle name="Heading 2 4 4" xfId="3286" xr:uid="{00000000-0005-0000-0000-00004E0A0000}"/>
    <cellStyle name="Heading 2 4 5" xfId="3287" xr:uid="{00000000-0005-0000-0000-00004F0A0000}"/>
    <cellStyle name="Heading 2 4 6" xfId="3288" xr:uid="{00000000-0005-0000-0000-0000500A0000}"/>
    <cellStyle name="Heading 2 4 7" xfId="3289" xr:uid="{00000000-0005-0000-0000-0000510A0000}"/>
    <cellStyle name="Heading 2 4 8" xfId="3290" xr:uid="{00000000-0005-0000-0000-0000520A0000}"/>
    <cellStyle name="Heading 2 4 9" xfId="3291" xr:uid="{00000000-0005-0000-0000-0000530A0000}"/>
    <cellStyle name="Heading 2 5" xfId="3292" xr:uid="{00000000-0005-0000-0000-0000540A0000}"/>
    <cellStyle name="Heading 2 5 10" xfId="3293" xr:uid="{00000000-0005-0000-0000-0000550A0000}"/>
    <cellStyle name="Heading 2 5 11" xfId="3294" xr:uid="{00000000-0005-0000-0000-0000560A0000}"/>
    <cellStyle name="Heading 2 5 2" xfId="3295" xr:uid="{00000000-0005-0000-0000-0000570A0000}"/>
    <cellStyle name="Heading 2 5 3" xfId="3296" xr:uid="{00000000-0005-0000-0000-0000580A0000}"/>
    <cellStyle name="Heading 2 5 4" xfId="3297" xr:uid="{00000000-0005-0000-0000-0000590A0000}"/>
    <cellStyle name="Heading 2 5 5" xfId="3298" xr:uid="{00000000-0005-0000-0000-00005A0A0000}"/>
    <cellStyle name="Heading 2 5 6" xfId="3299" xr:uid="{00000000-0005-0000-0000-00005B0A0000}"/>
    <cellStyle name="Heading 2 5 7" xfId="3300" xr:uid="{00000000-0005-0000-0000-00005C0A0000}"/>
    <cellStyle name="Heading 2 5 8" xfId="3301" xr:uid="{00000000-0005-0000-0000-00005D0A0000}"/>
    <cellStyle name="Heading 2 5 9" xfId="3302" xr:uid="{00000000-0005-0000-0000-00005E0A0000}"/>
    <cellStyle name="Heading 2 6" xfId="3303" xr:uid="{00000000-0005-0000-0000-00005F0A0000}"/>
    <cellStyle name="Heading 2 7" xfId="3304" xr:uid="{00000000-0005-0000-0000-0000600A0000}"/>
    <cellStyle name="Heading 2 8" xfId="3305" xr:uid="{00000000-0005-0000-0000-0000610A0000}"/>
    <cellStyle name="Heading 2 9" xfId="3306" xr:uid="{00000000-0005-0000-0000-0000620A0000}"/>
    <cellStyle name="Heading 3 10" xfId="3307" xr:uid="{00000000-0005-0000-0000-0000630A0000}"/>
    <cellStyle name="Heading 3 11" xfId="3308" xr:uid="{00000000-0005-0000-0000-0000640A0000}"/>
    <cellStyle name="Heading 3 12" xfId="3309" xr:uid="{00000000-0005-0000-0000-0000650A0000}"/>
    <cellStyle name="Heading 3 13" xfId="3310" xr:uid="{00000000-0005-0000-0000-0000660A0000}"/>
    <cellStyle name="Heading 3 14" xfId="3311" xr:uid="{00000000-0005-0000-0000-0000670A0000}"/>
    <cellStyle name="Heading 3 15" xfId="3312" xr:uid="{00000000-0005-0000-0000-0000680A0000}"/>
    <cellStyle name="Heading 3 16" xfId="112" xr:uid="{00000000-0005-0000-0000-0000690A0000}"/>
    <cellStyle name="Heading 3 2" xfId="113" xr:uid="{00000000-0005-0000-0000-00006A0A0000}"/>
    <cellStyle name="Heading 3 2 10" xfId="3314" xr:uid="{00000000-0005-0000-0000-00006B0A0000}"/>
    <cellStyle name="Heading 3 2 11" xfId="3315" xr:uid="{00000000-0005-0000-0000-00006C0A0000}"/>
    <cellStyle name="Heading 3 2 12" xfId="3313" xr:uid="{00000000-0005-0000-0000-00006D0A0000}"/>
    <cellStyle name="Heading 3 2 2" xfId="1242" xr:uid="{00000000-0005-0000-0000-00006E0A0000}"/>
    <cellStyle name="Heading 3 2 2 2" xfId="3316" xr:uid="{00000000-0005-0000-0000-00006F0A0000}"/>
    <cellStyle name="Heading 3 2 3" xfId="3317" xr:uid="{00000000-0005-0000-0000-0000700A0000}"/>
    <cellStyle name="Heading 3 2 4" xfId="3318" xr:uid="{00000000-0005-0000-0000-0000710A0000}"/>
    <cellStyle name="Heading 3 2 5" xfId="3319" xr:uid="{00000000-0005-0000-0000-0000720A0000}"/>
    <cellStyle name="Heading 3 2 6" xfId="3320" xr:uid="{00000000-0005-0000-0000-0000730A0000}"/>
    <cellStyle name="Heading 3 2 7" xfId="3321" xr:uid="{00000000-0005-0000-0000-0000740A0000}"/>
    <cellStyle name="Heading 3 2 8" xfId="3322" xr:uid="{00000000-0005-0000-0000-0000750A0000}"/>
    <cellStyle name="Heading 3 2 9" xfId="3323" xr:uid="{00000000-0005-0000-0000-0000760A0000}"/>
    <cellStyle name="Heading 3 3" xfId="114" xr:uid="{00000000-0005-0000-0000-0000770A0000}"/>
    <cellStyle name="Heading 3 3 10" xfId="3325" xr:uid="{00000000-0005-0000-0000-0000780A0000}"/>
    <cellStyle name="Heading 3 3 11" xfId="3326" xr:uid="{00000000-0005-0000-0000-0000790A0000}"/>
    <cellStyle name="Heading 3 3 12" xfId="3324" xr:uid="{00000000-0005-0000-0000-00007A0A0000}"/>
    <cellStyle name="Heading 3 3 2" xfId="3327" xr:uid="{00000000-0005-0000-0000-00007B0A0000}"/>
    <cellStyle name="Heading 3 3 3" xfId="3328" xr:uid="{00000000-0005-0000-0000-00007C0A0000}"/>
    <cellStyle name="Heading 3 3 4" xfId="3329" xr:uid="{00000000-0005-0000-0000-00007D0A0000}"/>
    <cellStyle name="Heading 3 3 5" xfId="3330" xr:uid="{00000000-0005-0000-0000-00007E0A0000}"/>
    <cellStyle name="Heading 3 3 6" xfId="3331" xr:uid="{00000000-0005-0000-0000-00007F0A0000}"/>
    <cellStyle name="Heading 3 3 7" xfId="3332" xr:uid="{00000000-0005-0000-0000-0000800A0000}"/>
    <cellStyle name="Heading 3 3 8" xfId="3333" xr:uid="{00000000-0005-0000-0000-0000810A0000}"/>
    <cellStyle name="Heading 3 3 9" xfId="3334" xr:uid="{00000000-0005-0000-0000-0000820A0000}"/>
    <cellStyle name="Heading 3 4" xfId="1244" xr:uid="{00000000-0005-0000-0000-0000830A0000}"/>
    <cellStyle name="Heading 3 4 10" xfId="3336" xr:uid="{00000000-0005-0000-0000-0000840A0000}"/>
    <cellStyle name="Heading 3 4 11" xfId="3337" xr:uid="{00000000-0005-0000-0000-0000850A0000}"/>
    <cellStyle name="Heading 3 4 12" xfId="3335" xr:uid="{00000000-0005-0000-0000-0000860A0000}"/>
    <cellStyle name="Heading 3 4 2" xfId="3338" xr:uid="{00000000-0005-0000-0000-0000870A0000}"/>
    <cellStyle name="Heading 3 4 3" xfId="3339" xr:uid="{00000000-0005-0000-0000-0000880A0000}"/>
    <cellStyle name="Heading 3 4 4" xfId="3340" xr:uid="{00000000-0005-0000-0000-0000890A0000}"/>
    <cellStyle name="Heading 3 4 5" xfId="3341" xr:uid="{00000000-0005-0000-0000-00008A0A0000}"/>
    <cellStyle name="Heading 3 4 6" xfId="3342" xr:uid="{00000000-0005-0000-0000-00008B0A0000}"/>
    <cellStyle name="Heading 3 4 7" xfId="3343" xr:uid="{00000000-0005-0000-0000-00008C0A0000}"/>
    <cellStyle name="Heading 3 4 8" xfId="3344" xr:uid="{00000000-0005-0000-0000-00008D0A0000}"/>
    <cellStyle name="Heading 3 4 9" xfId="3345" xr:uid="{00000000-0005-0000-0000-00008E0A0000}"/>
    <cellStyle name="Heading 3 5" xfId="3346" xr:uid="{00000000-0005-0000-0000-00008F0A0000}"/>
    <cellStyle name="Heading 3 5 10" xfId="3347" xr:uid="{00000000-0005-0000-0000-0000900A0000}"/>
    <cellStyle name="Heading 3 5 11" xfId="3348" xr:uid="{00000000-0005-0000-0000-0000910A0000}"/>
    <cellStyle name="Heading 3 5 2" xfId="3349" xr:uid="{00000000-0005-0000-0000-0000920A0000}"/>
    <cellStyle name="Heading 3 5 3" xfId="3350" xr:uid="{00000000-0005-0000-0000-0000930A0000}"/>
    <cellStyle name="Heading 3 5 4" xfId="3351" xr:uid="{00000000-0005-0000-0000-0000940A0000}"/>
    <cellStyle name="Heading 3 5 5" xfId="3352" xr:uid="{00000000-0005-0000-0000-0000950A0000}"/>
    <cellStyle name="Heading 3 5 6" xfId="3353" xr:uid="{00000000-0005-0000-0000-0000960A0000}"/>
    <cellStyle name="Heading 3 5 7" xfId="3354" xr:uid="{00000000-0005-0000-0000-0000970A0000}"/>
    <cellStyle name="Heading 3 5 8" xfId="3355" xr:uid="{00000000-0005-0000-0000-0000980A0000}"/>
    <cellStyle name="Heading 3 5 9" xfId="3356" xr:uid="{00000000-0005-0000-0000-0000990A0000}"/>
    <cellStyle name="Heading 3 6" xfId="3357" xr:uid="{00000000-0005-0000-0000-00009A0A0000}"/>
    <cellStyle name="Heading 3 7" xfId="3358" xr:uid="{00000000-0005-0000-0000-00009B0A0000}"/>
    <cellStyle name="Heading 3 8" xfId="3359" xr:uid="{00000000-0005-0000-0000-00009C0A0000}"/>
    <cellStyle name="Heading 3 9" xfId="3360" xr:uid="{00000000-0005-0000-0000-00009D0A0000}"/>
    <cellStyle name="Heading 4 10" xfId="3361" xr:uid="{00000000-0005-0000-0000-00009E0A0000}"/>
    <cellStyle name="Heading 4 11" xfId="3362" xr:uid="{00000000-0005-0000-0000-00009F0A0000}"/>
    <cellStyle name="Heading 4 12" xfId="3363" xr:uid="{00000000-0005-0000-0000-0000A00A0000}"/>
    <cellStyle name="Heading 4 13" xfId="3364" xr:uid="{00000000-0005-0000-0000-0000A10A0000}"/>
    <cellStyle name="Heading 4 14" xfId="3365" xr:uid="{00000000-0005-0000-0000-0000A20A0000}"/>
    <cellStyle name="Heading 4 15" xfId="3366" xr:uid="{00000000-0005-0000-0000-0000A30A0000}"/>
    <cellStyle name="Heading 4 16" xfId="115" xr:uid="{00000000-0005-0000-0000-0000A40A0000}"/>
    <cellStyle name="Heading 4 2" xfId="116" xr:uid="{00000000-0005-0000-0000-0000A50A0000}"/>
    <cellStyle name="Heading 4 2 10" xfId="3368" xr:uid="{00000000-0005-0000-0000-0000A60A0000}"/>
    <cellStyle name="Heading 4 2 11" xfId="3369" xr:uid="{00000000-0005-0000-0000-0000A70A0000}"/>
    <cellStyle name="Heading 4 2 12" xfId="3367" xr:uid="{00000000-0005-0000-0000-0000A80A0000}"/>
    <cellStyle name="Heading 4 2 2" xfId="1245" xr:uid="{00000000-0005-0000-0000-0000A90A0000}"/>
    <cellStyle name="Heading 4 2 2 2" xfId="3370" xr:uid="{00000000-0005-0000-0000-0000AA0A0000}"/>
    <cellStyle name="Heading 4 2 3" xfId="3371" xr:uid="{00000000-0005-0000-0000-0000AB0A0000}"/>
    <cellStyle name="Heading 4 2 4" xfId="3372" xr:uid="{00000000-0005-0000-0000-0000AC0A0000}"/>
    <cellStyle name="Heading 4 2 5" xfId="3373" xr:uid="{00000000-0005-0000-0000-0000AD0A0000}"/>
    <cellStyle name="Heading 4 2 6" xfId="3374" xr:uid="{00000000-0005-0000-0000-0000AE0A0000}"/>
    <cellStyle name="Heading 4 2 7" xfId="3375" xr:uid="{00000000-0005-0000-0000-0000AF0A0000}"/>
    <cellStyle name="Heading 4 2 8" xfId="3376" xr:uid="{00000000-0005-0000-0000-0000B00A0000}"/>
    <cellStyle name="Heading 4 2 9" xfId="3377" xr:uid="{00000000-0005-0000-0000-0000B10A0000}"/>
    <cellStyle name="Heading 4 3" xfId="117" xr:uid="{00000000-0005-0000-0000-0000B20A0000}"/>
    <cellStyle name="Heading 4 3 10" xfId="3379" xr:uid="{00000000-0005-0000-0000-0000B30A0000}"/>
    <cellStyle name="Heading 4 3 11" xfId="3380" xr:uid="{00000000-0005-0000-0000-0000B40A0000}"/>
    <cellStyle name="Heading 4 3 12" xfId="3378" xr:uid="{00000000-0005-0000-0000-0000B50A0000}"/>
    <cellStyle name="Heading 4 3 2" xfId="3381" xr:uid="{00000000-0005-0000-0000-0000B60A0000}"/>
    <cellStyle name="Heading 4 3 3" xfId="3382" xr:uid="{00000000-0005-0000-0000-0000B70A0000}"/>
    <cellStyle name="Heading 4 3 4" xfId="3383" xr:uid="{00000000-0005-0000-0000-0000B80A0000}"/>
    <cellStyle name="Heading 4 3 5" xfId="3384" xr:uid="{00000000-0005-0000-0000-0000B90A0000}"/>
    <cellStyle name="Heading 4 3 6" xfId="3385" xr:uid="{00000000-0005-0000-0000-0000BA0A0000}"/>
    <cellStyle name="Heading 4 3 7" xfId="3386" xr:uid="{00000000-0005-0000-0000-0000BB0A0000}"/>
    <cellStyle name="Heading 4 3 8" xfId="3387" xr:uid="{00000000-0005-0000-0000-0000BC0A0000}"/>
    <cellStyle name="Heading 4 3 9" xfId="3388" xr:uid="{00000000-0005-0000-0000-0000BD0A0000}"/>
    <cellStyle name="Heading 4 4" xfId="1247" xr:uid="{00000000-0005-0000-0000-0000BE0A0000}"/>
    <cellStyle name="Heading 4 4 10" xfId="3390" xr:uid="{00000000-0005-0000-0000-0000BF0A0000}"/>
    <cellStyle name="Heading 4 4 11" xfId="3391" xr:uid="{00000000-0005-0000-0000-0000C00A0000}"/>
    <cellStyle name="Heading 4 4 12" xfId="3389" xr:uid="{00000000-0005-0000-0000-0000C10A0000}"/>
    <cellStyle name="Heading 4 4 2" xfId="3392" xr:uid="{00000000-0005-0000-0000-0000C20A0000}"/>
    <cellStyle name="Heading 4 4 3" xfId="3393" xr:uid="{00000000-0005-0000-0000-0000C30A0000}"/>
    <cellStyle name="Heading 4 4 4" xfId="3394" xr:uid="{00000000-0005-0000-0000-0000C40A0000}"/>
    <cellStyle name="Heading 4 4 5" xfId="3395" xr:uid="{00000000-0005-0000-0000-0000C50A0000}"/>
    <cellStyle name="Heading 4 4 6" xfId="3396" xr:uid="{00000000-0005-0000-0000-0000C60A0000}"/>
    <cellStyle name="Heading 4 4 7" xfId="3397" xr:uid="{00000000-0005-0000-0000-0000C70A0000}"/>
    <cellStyle name="Heading 4 4 8" xfId="3398" xr:uid="{00000000-0005-0000-0000-0000C80A0000}"/>
    <cellStyle name="Heading 4 4 9" xfId="3399" xr:uid="{00000000-0005-0000-0000-0000C90A0000}"/>
    <cellStyle name="Heading 4 5" xfId="3400" xr:uid="{00000000-0005-0000-0000-0000CA0A0000}"/>
    <cellStyle name="Heading 4 5 10" xfId="3401" xr:uid="{00000000-0005-0000-0000-0000CB0A0000}"/>
    <cellStyle name="Heading 4 5 11" xfId="3402" xr:uid="{00000000-0005-0000-0000-0000CC0A0000}"/>
    <cellStyle name="Heading 4 5 2" xfId="3403" xr:uid="{00000000-0005-0000-0000-0000CD0A0000}"/>
    <cellStyle name="Heading 4 5 3" xfId="3404" xr:uid="{00000000-0005-0000-0000-0000CE0A0000}"/>
    <cellStyle name="Heading 4 5 4" xfId="3405" xr:uid="{00000000-0005-0000-0000-0000CF0A0000}"/>
    <cellStyle name="Heading 4 5 5" xfId="3406" xr:uid="{00000000-0005-0000-0000-0000D00A0000}"/>
    <cellStyle name="Heading 4 5 6" xfId="3407" xr:uid="{00000000-0005-0000-0000-0000D10A0000}"/>
    <cellStyle name="Heading 4 5 7" xfId="3408" xr:uid="{00000000-0005-0000-0000-0000D20A0000}"/>
    <cellStyle name="Heading 4 5 8" xfId="3409" xr:uid="{00000000-0005-0000-0000-0000D30A0000}"/>
    <cellStyle name="Heading 4 5 9" xfId="3410" xr:uid="{00000000-0005-0000-0000-0000D40A0000}"/>
    <cellStyle name="Heading 4 6" xfId="3411" xr:uid="{00000000-0005-0000-0000-0000D50A0000}"/>
    <cellStyle name="Heading 4 7" xfId="3412" xr:uid="{00000000-0005-0000-0000-0000D60A0000}"/>
    <cellStyle name="Heading 4 8" xfId="3413" xr:uid="{00000000-0005-0000-0000-0000D70A0000}"/>
    <cellStyle name="Heading 4 9" xfId="3414" xr:uid="{00000000-0005-0000-0000-0000D80A0000}"/>
    <cellStyle name="Hyperlink 10" xfId="317" xr:uid="{00000000-0005-0000-0000-0000D90A0000}"/>
    <cellStyle name="Hyperlink 11" xfId="318" xr:uid="{00000000-0005-0000-0000-0000DA0A0000}"/>
    <cellStyle name="Hyperlink 12" xfId="319" xr:uid="{00000000-0005-0000-0000-0000DB0A0000}"/>
    <cellStyle name="Hyperlink 13" xfId="320" xr:uid="{00000000-0005-0000-0000-0000DC0A0000}"/>
    <cellStyle name="Hyperlink 14" xfId="321" xr:uid="{00000000-0005-0000-0000-0000DD0A0000}"/>
    <cellStyle name="Hyperlink 15" xfId="322" xr:uid="{00000000-0005-0000-0000-0000DE0A0000}"/>
    <cellStyle name="Hyperlink 15 2" xfId="1253" xr:uid="{00000000-0005-0000-0000-0000DF0A0000}"/>
    <cellStyle name="Hyperlink 16" xfId="1254" xr:uid="{00000000-0005-0000-0000-0000E00A0000}"/>
    <cellStyle name="Hyperlink 17" xfId="1255" xr:uid="{00000000-0005-0000-0000-0000E10A0000}"/>
    <cellStyle name="Hyperlink 2" xfId="323" xr:uid="{00000000-0005-0000-0000-0000E20A0000}"/>
    <cellStyle name="Hyperlink 2 2" xfId="3415" xr:uid="{00000000-0005-0000-0000-0000E30A0000}"/>
    <cellStyle name="Hyperlink 3" xfId="324" xr:uid="{00000000-0005-0000-0000-0000E40A0000}"/>
    <cellStyle name="Hyperlink 4" xfId="325" xr:uid="{00000000-0005-0000-0000-0000E50A0000}"/>
    <cellStyle name="Hyperlink 5" xfId="326" xr:uid="{00000000-0005-0000-0000-0000E60A0000}"/>
    <cellStyle name="Hyperlink 6" xfId="327" xr:uid="{00000000-0005-0000-0000-0000E70A0000}"/>
    <cellStyle name="Hyperlink 7" xfId="328" xr:uid="{00000000-0005-0000-0000-0000E80A0000}"/>
    <cellStyle name="Hyperlink 8" xfId="329" xr:uid="{00000000-0005-0000-0000-0000E90A0000}"/>
    <cellStyle name="Hyperlink 9" xfId="330" xr:uid="{00000000-0005-0000-0000-0000EA0A0000}"/>
    <cellStyle name="Input [yellow]" xfId="331" xr:uid="{00000000-0005-0000-0000-0000EB0A0000}"/>
    <cellStyle name="Input 10" xfId="1265" xr:uid="{00000000-0005-0000-0000-0000EC0A0000}"/>
    <cellStyle name="Input 10 2" xfId="3416" xr:uid="{00000000-0005-0000-0000-0000ED0A0000}"/>
    <cellStyle name="Input 100" xfId="1266" xr:uid="{00000000-0005-0000-0000-0000EE0A0000}"/>
    <cellStyle name="Input 101" xfId="1267" xr:uid="{00000000-0005-0000-0000-0000EF0A0000}"/>
    <cellStyle name="Input 102" xfId="1268" xr:uid="{00000000-0005-0000-0000-0000F00A0000}"/>
    <cellStyle name="Input 103" xfId="1269" xr:uid="{00000000-0005-0000-0000-0000F10A0000}"/>
    <cellStyle name="Input 104" xfId="1270" xr:uid="{00000000-0005-0000-0000-0000F20A0000}"/>
    <cellStyle name="Input 105" xfId="1271" xr:uid="{00000000-0005-0000-0000-0000F30A0000}"/>
    <cellStyle name="Input 106" xfId="1272" xr:uid="{00000000-0005-0000-0000-0000F40A0000}"/>
    <cellStyle name="Input 107" xfId="1273" xr:uid="{00000000-0005-0000-0000-0000F50A0000}"/>
    <cellStyle name="Input 108" xfId="118" xr:uid="{00000000-0005-0000-0000-0000F60A0000}"/>
    <cellStyle name="Input 11" xfId="1274" xr:uid="{00000000-0005-0000-0000-0000F70A0000}"/>
    <cellStyle name="Input 11 2" xfId="3417" xr:uid="{00000000-0005-0000-0000-0000F80A0000}"/>
    <cellStyle name="Input 12" xfId="1275" xr:uid="{00000000-0005-0000-0000-0000F90A0000}"/>
    <cellStyle name="Input 12 2" xfId="3418" xr:uid="{00000000-0005-0000-0000-0000FA0A0000}"/>
    <cellStyle name="Input 13" xfId="1276" xr:uid="{00000000-0005-0000-0000-0000FB0A0000}"/>
    <cellStyle name="Input 13 2" xfId="3419" xr:uid="{00000000-0005-0000-0000-0000FC0A0000}"/>
    <cellStyle name="Input 14" xfId="1277" xr:uid="{00000000-0005-0000-0000-0000FD0A0000}"/>
    <cellStyle name="Input 14 2" xfId="3420" xr:uid="{00000000-0005-0000-0000-0000FE0A0000}"/>
    <cellStyle name="Input 15" xfId="1278" xr:uid="{00000000-0005-0000-0000-0000FF0A0000}"/>
    <cellStyle name="Input 15 2" xfId="3421" xr:uid="{00000000-0005-0000-0000-0000000B0000}"/>
    <cellStyle name="Input 16" xfId="1279" xr:uid="{00000000-0005-0000-0000-0000010B0000}"/>
    <cellStyle name="Input 17" xfId="1280" xr:uid="{00000000-0005-0000-0000-0000020B0000}"/>
    <cellStyle name="Input 18" xfId="1281" xr:uid="{00000000-0005-0000-0000-0000030B0000}"/>
    <cellStyle name="Input 19" xfId="1282" xr:uid="{00000000-0005-0000-0000-0000040B0000}"/>
    <cellStyle name="Input 2" xfId="119" xr:uid="{00000000-0005-0000-0000-0000050B0000}"/>
    <cellStyle name="Input 2 10" xfId="3423" xr:uid="{00000000-0005-0000-0000-0000060B0000}"/>
    <cellStyle name="Input 2 11" xfId="3424" xr:uid="{00000000-0005-0000-0000-0000070B0000}"/>
    <cellStyle name="Input 2 12" xfId="3422" xr:uid="{00000000-0005-0000-0000-0000080B0000}"/>
    <cellStyle name="Input 2 2" xfId="1283" xr:uid="{00000000-0005-0000-0000-0000090B0000}"/>
    <cellStyle name="Input 2 2 2" xfId="3425" xr:uid="{00000000-0005-0000-0000-00000A0B0000}"/>
    <cellStyle name="Input 2 3" xfId="3426" xr:uid="{00000000-0005-0000-0000-00000B0B0000}"/>
    <cellStyle name="Input 2 4" xfId="3427" xr:uid="{00000000-0005-0000-0000-00000C0B0000}"/>
    <cellStyle name="Input 2 5" xfId="3428" xr:uid="{00000000-0005-0000-0000-00000D0B0000}"/>
    <cellStyle name="Input 2 6" xfId="3429" xr:uid="{00000000-0005-0000-0000-00000E0B0000}"/>
    <cellStyle name="Input 2 7" xfId="3430" xr:uid="{00000000-0005-0000-0000-00000F0B0000}"/>
    <cellStyle name="Input 2 8" xfId="3431" xr:uid="{00000000-0005-0000-0000-0000100B0000}"/>
    <cellStyle name="Input 2 9" xfId="3432" xr:uid="{00000000-0005-0000-0000-0000110B0000}"/>
    <cellStyle name="Input 20" xfId="1284" xr:uid="{00000000-0005-0000-0000-0000120B0000}"/>
    <cellStyle name="Input 21" xfId="1285" xr:uid="{00000000-0005-0000-0000-0000130B0000}"/>
    <cellStyle name="Input 22" xfId="1286" xr:uid="{00000000-0005-0000-0000-0000140B0000}"/>
    <cellStyle name="Input 23" xfId="1287" xr:uid="{00000000-0005-0000-0000-0000150B0000}"/>
    <cellStyle name="Input 24" xfId="1288" xr:uid="{00000000-0005-0000-0000-0000160B0000}"/>
    <cellStyle name="Input 25" xfId="1289" xr:uid="{00000000-0005-0000-0000-0000170B0000}"/>
    <cellStyle name="Input 26" xfId="1290" xr:uid="{00000000-0005-0000-0000-0000180B0000}"/>
    <cellStyle name="Input 27" xfId="1291" xr:uid="{00000000-0005-0000-0000-0000190B0000}"/>
    <cellStyle name="Input 28" xfId="1292" xr:uid="{00000000-0005-0000-0000-00001A0B0000}"/>
    <cellStyle name="Input 29" xfId="1293" xr:uid="{00000000-0005-0000-0000-00001B0B0000}"/>
    <cellStyle name="Input 3" xfId="120" xr:uid="{00000000-0005-0000-0000-00001C0B0000}"/>
    <cellStyle name="Input 3 10" xfId="3434" xr:uid="{00000000-0005-0000-0000-00001D0B0000}"/>
    <cellStyle name="Input 3 11" xfId="3435" xr:uid="{00000000-0005-0000-0000-00001E0B0000}"/>
    <cellStyle name="Input 3 12" xfId="3433" xr:uid="{00000000-0005-0000-0000-00001F0B0000}"/>
    <cellStyle name="Input 3 2" xfId="1294" xr:uid="{00000000-0005-0000-0000-0000200B0000}"/>
    <cellStyle name="Input 3 2 2" xfId="3436" xr:uid="{00000000-0005-0000-0000-0000210B0000}"/>
    <cellStyle name="Input 3 3" xfId="3437" xr:uid="{00000000-0005-0000-0000-0000220B0000}"/>
    <cellStyle name="Input 3 4" xfId="3438" xr:uid="{00000000-0005-0000-0000-0000230B0000}"/>
    <cellStyle name="Input 3 5" xfId="3439" xr:uid="{00000000-0005-0000-0000-0000240B0000}"/>
    <cellStyle name="Input 3 6" xfId="3440" xr:uid="{00000000-0005-0000-0000-0000250B0000}"/>
    <cellStyle name="Input 3 7" xfId="3441" xr:uid="{00000000-0005-0000-0000-0000260B0000}"/>
    <cellStyle name="Input 3 8" xfId="3442" xr:uid="{00000000-0005-0000-0000-0000270B0000}"/>
    <cellStyle name="Input 3 9" xfId="3443" xr:uid="{00000000-0005-0000-0000-0000280B0000}"/>
    <cellStyle name="Input 30" xfId="1295" xr:uid="{00000000-0005-0000-0000-0000290B0000}"/>
    <cellStyle name="Input 31" xfId="1296" xr:uid="{00000000-0005-0000-0000-00002A0B0000}"/>
    <cellStyle name="Input 32" xfId="1297" xr:uid="{00000000-0005-0000-0000-00002B0B0000}"/>
    <cellStyle name="Input 33" xfId="1298" xr:uid="{00000000-0005-0000-0000-00002C0B0000}"/>
    <cellStyle name="Input 34" xfId="1299" xr:uid="{00000000-0005-0000-0000-00002D0B0000}"/>
    <cellStyle name="Input 35" xfId="1300" xr:uid="{00000000-0005-0000-0000-00002E0B0000}"/>
    <cellStyle name="Input 36" xfId="1301" xr:uid="{00000000-0005-0000-0000-00002F0B0000}"/>
    <cellStyle name="Input 37" xfId="1302" xr:uid="{00000000-0005-0000-0000-0000300B0000}"/>
    <cellStyle name="Input 38" xfId="1303" xr:uid="{00000000-0005-0000-0000-0000310B0000}"/>
    <cellStyle name="Input 39" xfId="1304" xr:uid="{00000000-0005-0000-0000-0000320B0000}"/>
    <cellStyle name="Input 4" xfId="1305" xr:uid="{00000000-0005-0000-0000-0000330B0000}"/>
    <cellStyle name="Input 4 10" xfId="3445" xr:uid="{00000000-0005-0000-0000-0000340B0000}"/>
    <cellStyle name="Input 4 11" xfId="3446" xr:uid="{00000000-0005-0000-0000-0000350B0000}"/>
    <cellStyle name="Input 4 12" xfId="3444" xr:uid="{00000000-0005-0000-0000-0000360B0000}"/>
    <cellStyle name="Input 4 2" xfId="3447" xr:uid="{00000000-0005-0000-0000-0000370B0000}"/>
    <cellStyle name="Input 4 3" xfId="3448" xr:uid="{00000000-0005-0000-0000-0000380B0000}"/>
    <cellStyle name="Input 4 4" xfId="3449" xr:uid="{00000000-0005-0000-0000-0000390B0000}"/>
    <cellStyle name="Input 4 5" xfId="3450" xr:uid="{00000000-0005-0000-0000-00003A0B0000}"/>
    <cellStyle name="Input 4 6" xfId="3451" xr:uid="{00000000-0005-0000-0000-00003B0B0000}"/>
    <cellStyle name="Input 4 7" xfId="3452" xr:uid="{00000000-0005-0000-0000-00003C0B0000}"/>
    <cellStyle name="Input 4 8" xfId="3453" xr:uid="{00000000-0005-0000-0000-00003D0B0000}"/>
    <cellStyle name="Input 4 9" xfId="3454" xr:uid="{00000000-0005-0000-0000-00003E0B0000}"/>
    <cellStyle name="Input 40" xfId="1306" xr:uid="{00000000-0005-0000-0000-00003F0B0000}"/>
    <cellStyle name="Input 41" xfId="1307" xr:uid="{00000000-0005-0000-0000-0000400B0000}"/>
    <cellStyle name="Input 42" xfId="1308" xr:uid="{00000000-0005-0000-0000-0000410B0000}"/>
    <cellStyle name="Input 43" xfId="1309" xr:uid="{00000000-0005-0000-0000-0000420B0000}"/>
    <cellStyle name="Input 44" xfId="1310" xr:uid="{00000000-0005-0000-0000-0000430B0000}"/>
    <cellStyle name="Input 45" xfId="1311" xr:uid="{00000000-0005-0000-0000-0000440B0000}"/>
    <cellStyle name="Input 46" xfId="1312" xr:uid="{00000000-0005-0000-0000-0000450B0000}"/>
    <cellStyle name="Input 47" xfId="1313" xr:uid="{00000000-0005-0000-0000-0000460B0000}"/>
    <cellStyle name="Input 48" xfId="1314" xr:uid="{00000000-0005-0000-0000-0000470B0000}"/>
    <cellStyle name="Input 49" xfId="1315" xr:uid="{00000000-0005-0000-0000-0000480B0000}"/>
    <cellStyle name="Input 5" xfId="1316" xr:uid="{00000000-0005-0000-0000-0000490B0000}"/>
    <cellStyle name="Input 5 10" xfId="3456" xr:uid="{00000000-0005-0000-0000-00004A0B0000}"/>
    <cellStyle name="Input 5 11" xfId="3457" xr:uid="{00000000-0005-0000-0000-00004B0B0000}"/>
    <cellStyle name="Input 5 12" xfId="3455" xr:uid="{00000000-0005-0000-0000-00004C0B0000}"/>
    <cellStyle name="Input 5 2" xfId="3458" xr:uid="{00000000-0005-0000-0000-00004D0B0000}"/>
    <cellStyle name="Input 5 3" xfId="3459" xr:uid="{00000000-0005-0000-0000-00004E0B0000}"/>
    <cellStyle name="Input 5 4" xfId="3460" xr:uid="{00000000-0005-0000-0000-00004F0B0000}"/>
    <cellStyle name="Input 5 5" xfId="3461" xr:uid="{00000000-0005-0000-0000-0000500B0000}"/>
    <cellStyle name="Input 5 6" xfId="3462" xr:uid="{00000000-0005-0000-0000-0000510B0000}"/>
    <cellStyle name="Input 5 7" xfId="3463" xr:uid="{00000000-0005-0000-0000-0000520B0000}"/>
    <cellStyle name="Input 5 8" xfId="3464" xr:uid="{00000000-0005-0000-0000-0000530B0000}"/>
    <cellStyle name="Input 5 9" xfId="3465" xr:uid="{00000000-0005-0000-0000-0000540B0000}"/>
    <cellStyle name="Input 50" xfId="1317" xr:uid="{00000000-0005-0000-0000-0000550B0000}"/>
    <cellStyle name="Input 51" xfId="1318" xr:uid="{00000000-0005-0000-0000-0000560B0000}"/>
    <cellStyle name="Input 52" xfId="1319" xr:uid="{00000000-0005-0000-0000-0000570B0000}"/>
    <cellStyle name="Input 53" xfId="1320" xr:uid="{00000000-0005-0000-0000-0000580B0000}"/>
    <cellStyle name="Input 54" xfId="1321" xr:uid="{00000000-0005-0000-0000-0000590B0000}"/>
    <cellStyle name="Input 55" xfId="1322" xr:uid="{00000000-0005-0000-0000-00005A0B0000}"/>
    <cellStyle name="Input 56" xfId="1323" xr:uid="{00000000-0005-0000-0000-00005B0B0000}"/>
    <cellStyle name="Input 57" xfId="1324" xr:uid="{00000000-0005-0000-0000-00005C0B0000}"/>
    <cellStyle name="Input 58" xfId="1325" xr:uid="{00000000-0005-0000-0000-00005D0B0000}"/>
    <cellStyle name="Input 59" xfId="1326" xr:uid="{00000000-0005-0000-0000-00005E0B0000}"/>
    <cellStyle name="Input 6" xfId="1327" xr:uid="{00000000-0005-0000-0000-00005F0B0000}"/>
    <cellStyle name="Input 6 2" xfId="3466" xr:uid="{00000000-0005-0000-0000-0000600B0000}"/>
    <cellStyle name="Input 60" xfId="1328" xr:uid="{00000000-0005-0000-0000-0000610B0000}"/>
    <cellStyle name="Input 61" xfId="1329" xr:uid="{00000000-0005-0000-0000-0000620B0000}"/>
    <cellStyle name="Input 62" xfId="1330" xr:uid="{00000000-0005-0000-0000-0000630B0000}"/>
    <cellStyle name="Input 63" xfId="1331" xr:uid="{00000000-0005-0000-0000-0000640B0000}"/>
    <cellStyle name="Input 64" xfId="1332" xr:uid="{00000000-0005-0000-0000-0000650B0000}"/>
    <cellStyle name="Input 65" xfId="1333" xr:uid="{00000000-0005-0000-0000-0000660B0000}"/>
    <cellStyle name="Input 66" xfId="1334" xr:uid="{00000000-0005-0000-0000-0000670B0000}"/>
    <cellStyle name="Input 67" xfId="1335" xr:uid="{00000000-0005-0000-0000-0000680B0000}"/>
    <cellStyle name="Input 68" xfId="1336" xr:uid="{00000000-0005-0000-0000-0000690B0000}"/>
    <cellStyle name="Input 69" xfId="1337" xr:uid="{00000000-0005-0000-0000-00006A0B0000}"/>
    <cellStyle name="Input 7" xfId="1338" xr:uid="{00000000-0005-0000-0000-00006B0B0000}"/>
    <cellStyle name="Input 7 2" xfId="3467" xr:uid="{00000000-0005-0000-0000-00006C0B0000}"/>
    <cellStyle name="Input 70" xfId="1339" xr:uid="{00000000-0005-0000-0000-00006D0B0000}"/>
    <cellStyle name="Input 71" xfId="1340" xr:uid="{00000000-0005-0000-0000-00006E0B0000}"/>
    <cellStyle name="Input 72" xfId="1341" xr:uid="{00000000-0005-0000-0000-00006F0B0000}"/>
    <cellStyle name="Input 73" xfId="1342" xr:uid="{00000000-0005-0000-0000-0000700B0000}"/>
    <cellStyle name="Input 74" xfId="1343" xr:uid="{00000000-0005-0000-0000-0000710B0000}"/>
    <cellStyle name="Input 75" xfId="1344" xr:uid="{00000000-0005-0000-0000-0000720B0000}"/>
    <cellStyle name="Input 76" xfId="1345" xr:uid="{00000000-0005-0000-0000-0000730B0000}"/>
    <cellStyle name="Input 77" xfId="1346" xr:uid="{00000000-0005-0000-0000-0000740B0000}"/>
    <cellStyle name="Input 78" xfId="1347" xr:uid="{00000000-0005-0000-0000-0000750B0000}"/>
    <cellStyle name="Input 79" xfId="1348" xr:uid="{00000000-0005-0000-0000-0000760B0000}"/>
    <cellStyle name="Input 8" xfId="1349" xr:uid="{00000000-0005-0000-0000-0000770B0000}"/>
    <cellStyle name="Input 8 2" xfId="3468" xr:uid="{00000000-0005-0000-0000-0000780B0000}"/>
    <cellStyle name="Input 80" xfId="1350" xr:uid="{00000000-0005-0000-0000-0000790B0000}"/>
    <cellStyle name="Input 81" xfId="1351" xr:uid="{00000000-0005-0000-0000-00007A0B0000}"/>
    <cellStyle name="Input 82" xfId="1352" xr:uid="{00000000-0005-0000-0000-00007B0B0000}"/>
    <cellStyle name="Input 83" xfId="1353" xr:uid="{00000000-0005-0000-0000-00007C0B0000}"/>
    <cellStyle name="Input 84" xfId="1354" xr:uid="{00000000-0005-0000-0000-00007D0B0000}"/>
    <cellStyle name="Input 85" xfId="1355" xr:uid="{00000000-0005-0000-0000-00007E0B0000}"/>
    <cellStyle name="Input 86" xfId="1356" xr:uid="{00000000-0005-0000-0000-00007F0B0000}"/>
    <cellStyle name="Input 87" xfId="1357" xr:uid="{00000000-0005-0000-0000-0000800B0000}"/>
    <cellStyle name="Input 88" xfId="1358" xr:uid="{00000000-0005-0000-0000-0000810B0000}"/>
    <cellStyle name="Input 89" xfId="1359" xr:uid="{00000000-0005-0000-0000-0000820B0000}"/>
    <cellStyle name="Input 9" xfId="1360" xr:uid="{00000000-0005-0000-0000-0000830B0000}"/>
    <cellStyle name="Input 9 2" xfId="3469" xr:uid="{00000000-0005-0000-0000-0000840B0000}"/>
    <cellStyle name="Input 90" xfId="1361" xr:uid="{00000000-0005-0000-0000-0000850B0000}"/>
    <cellStyle name="Input 91" xfId="1362" xr:uid="{00000000-0005-0000-0000-0000860B0000}"/>
    <cellStyle name="Input 92" xfId="1363" xr:uid="{00000000-0005-0000-0000-0000870B0000}"/>
    <cellStyle name="Input 93" xfId="1364" xr:uid="{00000000-0005-0000-0000-0000880B0000}"/>
    <cellStyle name="Input 94" xfId="1365" xr:uid="{00000000-0005-0000-0000-0000890B0000}"/>
    <cellStyle name="Input 95" xfId="1366" xr:uid="{00000000-0005-0000-0000-00008A0B0000}"/>
    <cellStyle name="Input 96" xfId="1367" xr:uid="{00000000-0005-0000-0000-00008B0B0000}"/>
    <cellStyle name="Input 97" xfId="1368" xr:uid="{00000000-0005-0000-0000-00008C0B0000}"/>
    <cellStyle name="Input 98" xfId="1369" xr:uid="{00000000-0005-0000-0000-00008D0B0000}"/>
    <cellStyle name="Input 99" xfId="1370" xr:uid="{00000000-0005-0000-0000-00008E0B0000}"/>
    <cellStyle name="Komma [0]_Blad1" xfId="232" xr:uid="{00000000-0005-0000-0000-00008F0B0000}"/>
    <cellStyle name="Komma_Blad1" xfId="228" xr:uid="{00000000-0005-0000-0000-0000900B0000}"/>
    <cellStyle name="Linked Cell 10" xfId="3470" xr:uid="{00000000-0005-0000-0000-0000910B0000}"/>
    <cellStyle name="Linked Cell 11" xfId="3471" xr:uid="{00000000-0005-0000-0000-0000920B0000}"/>
    <cellStyle name="Linked Cell 12" xfId="3472" xr:uid="{00000000-0005-0000-0000-0000930B0000}"/>
    <cellStyle name="Linked Cell 13" xfId="3473" xr:uid="{00000000-0005-0000-0000-0000940B0000}"/>
    <cellStyle name="Linked Cell 14" xfId="3474" xr:uid="{00000000-0005-0000-0000-0000950B0000}"/>
    <cellStyle name="Linked Cell 15" xfId="3475" xr:uid="{00000000-0005-0000-0000-0000960B0000}"/>
    <cellStyle name="Linked Cell 16" xfId="121" xr:uid="{00000000-0005-0000-0000-0000970B0000}"/>
    <cellStyle name="Linked Cell 2" xfId="122" xr:uid="{00000000-0005-0000-0000-0000980B0000}"/>
    <cellStyle name="Linked Cell 2 10" xfId="3477" xr:uid="{00000000-0005-0000-0000-0000990B0000}"/>
    <cellStyle name="Linked Cell 2 11" xfId="3478" xr:uid="{00000000-0005-0000-0000-00009A0B0000}"/>
    <cellStyle name="Linked Cell 2 12" xfId="3476" xr:uid="{00000000-0005-0000-0000-00009B0B0000}"/>
    <cellStyle name="Linked Cell 2 2" xfId="1371" xr:uid="{00000000-0005-0000-0000-00009C0B0000}"/>
    <cellStyle name="Linked Cell 2 2 2" xfId="3479" xr:uid="{00000000-0005-0000-0000-00009D0B0000}"/>
    <cellStyle name="Linked Cell 2 3" xfId="3480" xr:uid="{00000000-0005-0000-0000-00009E0B0000}"/>
    <cellStyle name="Linked Cell 2 4" xfId="3481" xr:uid="{00000000-0005-0000-0000-00009F0B0000}"/>
    <cellStyle name="Linked Cell 2 5" xfId="3482" xr:uid="{00000000-0005-0000-0000-0000A00B0000}"/>
    <cellStyle name="Linked Cell 2 6" xfId="3483" xr:uid="{00000000-0005-0000-0000-0000A10B0000}"/>
    <cellStyle name="Linked Cell 2 7" xfId="3484" xr:uid="{00000000-0005-0000-0000-0000A20B0000}"/>
    <cellStyle name="Linked Cell 2 8" xfId="3485" xr:uid="{00000000-0005-0000-0000-0000A30B0000}"/>
    <cellStyle name="Linked Cell 2 9" xfId="3486" xr:uid="{00000000-0005-0000-0000-0000A40B0000}"/>
    <cellStyle name="Linked Cell 3" xfId="123" xr:uid="{00000000-0005-0000-0000-0000A50B0000}"/>
    <cellStyle name="Linked Cell 3 10" xfId="3488" xr:uid="{00000000-0005-0000-0000-0000A60B0000}"/>
    <cellStyle name="Linked Cell 3 11" xfId="3489" xr:uid="{00000000-0005-0000-0000-0000A70B0000}"/>
    <cellStyle name="Linked Cell 3 12" xfId="3487" xr:uid="{00000000-0005-0000-0000-0000A80B0000}"/>
    <cellStyle name="Linked Cell 3 2" xfId="3490" xr:uid="{00000000-0005-0000-0000-0000A90B0000}"/>
    <cellStyle name="Linked Cell 3 3" xfId="3491" xr:uid="{00000000-0005-0000-0000-0000AA0B0000}"/>
    <cellStyle name="Linked Cell 3 4" xfId="3492" xr:uid="{00000000-0005-0000-0000-0000AB0B0000}"/>
    <cellStyle name="Linked Cell 3 5" xfId="3493" xr:uid="{00000000-0005-0000-0000-0000AC0B0000}"/>
    <cellStyle name="Linked Cell 3 6" xfId="3494" xr:uid="{00000000-0005-0000-0000-0000AD0B0000}"/>
    <cellStyle name="Linked Cell 3 7" xfId="3495" xr:uid="{00000000-0005-0000-0000-0000AE0B0000}"/>
    <cellStyle name="Linked Cell 3 8" xfId="3496" xr:uid="{00000000-0005-0000-0000-0000AF0B0000}"/>
    <cellStyle name="Linked Cell 3 9" xfId="3497" xr:uid="{00000000-0005-0000-0000-0000B00B0000}"/>
    <cellStyle name="Linked Cell 4" xfId="1373" xr:uid="{00000000-0005-0000-0000-0000B10B0000}"/>
    <cellStyle name="Linked Cell 4 10" xfId="3499" xr:uid="{00000000-0005-0000-0000-0000B20B0000}"/>
    <cellStyle name="Linked Cell 4 11" xfId="3500" xr:uid="{00000000-0005-0000-0000-0000B30B0000}"/>
    <cellStyle name="Linked Cell 4 12" xfId="3498" xr:uid="{00000000-0005-0000-0000-0000B40B0000}"/>
    <cellStyle name="Linked Cell 4 2" xfId="3501" xr:uid="{00000000-0005-0000-0000-0000B50B0000}"/>
    <cellStyle name="Linked Cell 4 3" xfId="3502" xr:uid="{00000000-0005-0000-0000-0000B60B0000}"/>
    <cellStyle name="Linked Cell 4 4" xfId="3503" xr:uid="{00000000-0005-0000-0000-0000B70B0000}"/>
    <cellStyle name="Linked Cell 4 5" xfId="3504" xr:uid="{00000000-0005-0000-0000-0000B80B0000}"/>
    <cellStyle name="Linked Cell 4 6" xfId="3505" xr:uid="{00000000-0005-0000-0000-0000B90B0000}"/>
    <cellStyle name="Linked Cell 4 7" xfId="3506" xr:uid="{00000000-0005-0000-0000-0000BA0B0000}"/>
    <cellStyle name="Linked Cell 4 8" xfId="3507" xr:uid="{00000000-0005-0000-0000-0000BB0B0000}"/>
    <cellStyle name="Linked Cell 4 9" xfId="3508" xr:uid="{00000000-0005-0000-0000-0000BC0B0000}"/>
    <cellStyle name="Linked Cell 5" xfId="3509" xr:uid="{00000000-0005-0000-0000-0000BD0B0000}"/>
    <cellStyle name="Linked Cell 5 10" xfId="3510" xr:uid="{00000000-0005-0000-0000-0000BE0B0000}"/>
    <cellStyle name="Linked Cell 5 11" xfId="3511" xr:uid="{00000000-0005-0000-0000-0000BF0B0000}"/>
    <cellStyle name="Linked Cell 5 2" xfId="3512" xr:uid="{00000000-0005-0000-0000-0000C00B0000}"/>
    <cellStyle name="Linked Cell 5 3" xfId="3513" xr:uid="{00000000-0005-0000-0000-0000C10B0000}"/>
    <cellStyle name="Linked Cell 5 4" xfId="3514" xr:uid="{00000000-0005-0000-0000-0000C20B0000}"/>
    <cellStyle name="Linked Cell 5 5" xfId="3515" xr:uid="{00000000-0005-0000-0000-0000C30B0000}"/>
    <cellStyle name="Linked Cell 5 6" xfId="3516" xr:uid="{00000000-0005-0000-0000-0000C40B0000}"/>
    <cellStyle name="Linked Cell 5 7" xfId="3517" xr:uid="{00000000-0005-0000-0000-0000C50B0000}"/>
    <cellStyle name="Linked Cell 5 8" xfId="3518" xr:uid="{00000000-0005-0000-0000-0000C60B0000}"/>
    <cellStyle name="Linked Cell 5 9" xfId="3519" xr:uid="{00000000-0005-0000-0000-0000C70B0000}"/>
    <cellStyle name="Linked Cell 6" xfId="3520" xr:uid="{00000000-0005-0000-0000-0000C80B0000}"/>
    <cellStyle name="Linked Cell 7" xfId="3521" xr:uid="{00000000-0005-0000-0000-0000C90B0000}"/>
    <cellStyle name="Linked Cell 8" xfId="3522" xr:uid="{00000000-0005-0000-0000-0000CA0B0000}"/>
    <cellStyle name="Linked Cell 9" xfId="3523" xr:uid="{00000000-0005-0000-0000-0000CB0B0000}"/>
    <cellStyle name="ɱ" xfId="3524" xr:uid="{00000000-0005-0000-0000-0000CC0B0000}"/>
    <cellStyle name="Milliers [0]_AR1194" xfId="332" xr:uid="{00000000-0005-0000-0000-0000CD0B0000}"/>
    <cellStyle name="Milliers_AR1194" xfId="333" xr:uid="{00000000-0005-0000-0000-0000CE0B0000}"/>
    <cellStyle name="Monétaire [0]_AR1194" xfId="334" xr:uid="{00000000-0005-0000-0000-0000CF0B0000}"/>
    <cellStyle name="Monétaire_AR1194" xfId="335" xr:uid="{00000000-0005-0000-0000-0000D00B0000}"/>
    <cellStyle name="month" xfId="3525" xr:uid="{00000000-0005-0000-0000-0000D10B0000}"/>
    <cellStyle name="Neutral 10" xfId="3526" xr:uid="{00000000-0005-0000-0000-0000D20B0000}"/>
    <cellStyle name="Neutral 11" xfId="3527" xr:uid="{00000000-0005-0000-0000-0000D30B0000}"/>
    <cellStyle name="Neutral 12" xfId="3528" xr:uid="{00000000-0005-0000-0000-0000D40B0000}"/>
    <cellStyle name="Neutral 13" xfId="3529" xr:uid="{00000000-0005-0000-0000-0000D50B0000}"/>
    <cellStyle name="Neutral 14" xfId="3530" xr:uid="{00000000-0005-0000-0000-0000D60B0000}"/>
    <cellStyle name="Neutral 15" xfId="3531" xr:uid="{00000000-0005-0000-0000-0000D70B0000}"/>
    <cellStyle name="Neutral 16" xfId="124" xr:uid="{00000000-0005-0000-0000-0000D80B0000}"/>
    <cellStyle name="Neutral 2" xfId="125" xr:uid="{00000000-0005-0000-0000-0000D90B0000}"/>
    <cellStyle name="Neutral 2 10" xfId="3533" xr:uid="{00000000-0005-0000-0000-0000DA0B0000}"/>
    <cellStyle name="Neutral 2 11" xfId="3534" xr:uid="{00000000-0005-0000-0000-0000DB0B0000}"/>
    <cellStyle name="Neutral 2 12" xfId="3532" xr:uid="{00000000-0005-0000-0000-0000DC0B0000}"/>
    <cellStyle name="Neutral 2 2" xfId="1378" xr:uid="{00000000-0005-0000-0000-0000DD0B0000}"/>
    <cellStyle name="Neutral 2 2 2" xfId="3535" xr:uid="{00000000-0005-0000-0000-0000DE0B0000}"/>
    <cellStyle name="Neutral 2 3" xfId="3536" xr:uid="{00000000-0005-0000-0000-0000DF0B0000}"/>
    <cellStyle name="Neutral 2 4" xfId="3537" xr:uid="{00000000-0005-0000-0000-0000E00B0000}"/>
    <cellStyle name="Neutral 2 5" xfId="3538" xr:uid="{00000000-0005-0000-0000-0000E10B0000}"/>
    <cellStyle name="Neutral 2 6" xfId="3539" xr:uid="{00000000-0005-0000-0000-0000E20B0000}"/>
    <cellStyle name="Neutral 2 7" xfId="3540" xr:uid="{00000000-0005-0000-0000-0000E30B0000}"/>
    <cellStyle name="Neutral 2 8" xfId="3541" xr:uid="{00000000-0005-0000-0000-0000E40B0000}"/>
    <cellStyle name="Neutral 2 9" xfId="3542" xr:uid="{00000000-0005-0000-0000-0000E50B0000}"/>
    <cellStyle name="Neutral 3" xfId="126" xr:uid="{00000000-0005-0000-0000-0000E60B0000}"/>
    <cellStyle name="Neutral 3 10" xfId="3544" xr:uid="{00000000-0005-0000-0000-0000E70B0000}"/>
    <cellStyle name="Neutral 3 11" xfId="3545" xr:uid="{00000000-0005-0000-0000-0000E80B0000}"/>
    <cellStyle name="Neutral 3 12" xfId="3543" xr:uid="{00000000-0005-0000-0000-0000E90B0000}"/>
    <cellStyle name="Neutral 3 2" xfId="3546" xr:uid="{00000000-0005-0000-0000-0000EA0B0000}"/>
    <cellStyle name="Neutral 3 3" xfId="3547" xr:uid="{00000000-0005-0000-0000-0000EB0B0000}"/>
    <cellStyle name="Neutral 3 4" xfId="3548" xr:uid="{00000000-0005-0000-0000-0000EC0B0000}"/>
    <cellStyle name="Neutral 3 5" xfId="3549" xr:uid="{00000000-0005-0000-0000-0000ED0B0000}"/>
    <cellStyle name="Neutral 3 6" xfId="3550" xr:uid="{00000000-0005-0000-0000-0000EE0B0000}"/>
    <cellStyle name="Neutral 3 7" xfId="3551" xr:uid="{00000000-0005-0000-0000-0000EF0B0000}"/>
    <cellStyle name="Neutral 3 8" xfId="3552" xr:uid="{00000000-0005-0000-0000-0000F00B0000}"/>
    <cellStyle name="Neutral 3 9" xfId="3553" xr:uid="{00000000-0005-0000-0000-0000F10B0000}"/>
    <cellStyle name="Neutral 4" xfId="1380" xr:uid="{00000000-0005-0000-0000-0000F20B0000}"/>
    <cellStyle name="Neutral 4 10" xfId="3555" xr:uid="{00000000-0005-0000-0000-0000F30B0000}"/>
    <cellStyle name="Neutral 4 11" xfId="3556" xr:uid="{00000000-0005-0000-0000-0000F40B0000}"/>
    <cellStyle name="Neutral 4 12" xfId="3554" xr:uid="{00000000-0005-0000-0000-0000F50B0000}"/>
    <cellStyle name="Neutral 4 2" xfId="3557" xr:uid="{00000000-0005-0000-0000-0000F60B0000}"/>
    <cellStyle name="Neutral 4 3" xfId="3558" xr:uid="{00000000-0005-0000-0000-0000F70B0000}"/>
    <cellStyle name="Neutral 4 4" xfId="3559" xr:uid="{00000000-0005-0000-0000-0000F80B0000}"/>
    <cellStyle name="Neutral 4 5" xfId="3560" xr:uid="{00000000-0005-0000-0000-0000F90B0000}"/>
    <cellStyle name="Neutral 4 6" xfId="3561" xr:uid="{00000000-0005-0000-0000-0000FA0B0000}"/>
    <cellStyle name="Neutral 4 7" xfId="3562" xr:uid="{00000000-0005-0000-0000-0000FB0B0000}"/>
    <cellStyle name="Neutral 4 8" xfId="3563" xr:uid="{00000000-0005-0000-0000-0000FC0B0000}"/>
    <cellStyle name="Neutral 4 9" xfId="3564" xr:uid="{00000000-0005-0000-0000-0000FD0B0000}"/>
    <cellStyle name="Neutral 5" xfId="3565" xr:uid="{00000000-0005-0000-0000-0000FE0B0000}"/>
    <cellStyle name="Neutral 5 10" xfId="3566" xr:uid="{00000000-0005-0000-0000-0000FF0B0000}"/>
    <cellStyle name="Neutral 5 11" xfId="3567" xr:uid="{00000000-0005-0000-0000-0000000C0000}"/>
    <cellStyle name="Neutral 5 2" xfId="3568" xr:uid="{00000000-0005-0000-0000-0000010C0000}"/>
    <cellStyle name="Neutral 5 3" xfId="3569" xr:uid="{00000000-0005-0000-0000-0000020C0000}"/>
    <cellStyle name="Neutral 5 4" xfId="3570" xr:uid="{00000000-0005-0000-0000-0000030C0000}"/>
    <cellStyle name="Neutral 5 5" xfId="3571" xr:uid="{00000000-0005-0000-0000-0000040C0000}"/>
    <cellStyle name="Neutral 5 6" xfId="3572" xr:uid="{00000000-0005-0000-0000-0000050C0000}"/>
    <cellStyle name="Neutral 5 7" xfId="3573" xr:uid="{00000000-0005-0000-0000-0000060C0000}"/>
    <cellStyle name="Neutral 5 8" xfId="3574" xr:uid="{00000000-0005-0000-0000-0000070C0000}"/>
    <cellStyle name="Neutral 5 9" xfId="3575" xr:uid="{00000000-0005-0000-0000-0000080C0000}"/>
    <cellStyle name="Neutral 6" xfId="3576" xr:uid="{00000000-0005-0000-0000-0000090C0000}"/>
    <cellStyle name="Neutral 7" xfId="3577" xr:uid="{00000000-0005-0000-0000-00000A0C0000}"/>
    <cellStyle name="Neutral 8" xfId="3578" xr:uid="{00000000-0005-0000-0000-00000B0C0000}"/>
    <cellStyle name="Neutral 9" xfId="3579" xr:uid="{00000000-0005-0000-0000-00000C0C0000}"/>
    <cellStyle name="no dec" xfId="336" xr:uid="{00000000-0005-0000-0000-00000D0C0000}"/>
    <cellStyle name="Normal" xfId="0" builtinId="0"/>
    <cellStyle name="Normal - Style1" xfId="127" xr:uid="{00000000-0005-0000-0000-00000F0C0000}"/>
    <cellStyle name="Normal - Style5" xfId="337" xr:uid="{00000000-0005-0000-0000-0000100C0000}"/>
    <cellStyle name="Normal 10" xfId="169" xr:uid="{00000000-0005-0000-0000-0000110C0000}"/>
    <cellStyle name="Normal 10 2" xfId="338" xr:uid="{00000000-0005-0000-0000-0000120C0000}"/>
    <cellStyle name="Normal 100" xfId="1385" xr:uid="{00000000-0005-0000-0000-0000130C0000}"/>
    <cellStyle name="Normal 101" xfId="1386" xr:uid="{00000000-0005-0000-0000-0000140C0000}"/>
    <cellStyle name="Normal 102" xfId="1387" xr:uid="{00000000-0005-0000-0000-0000150C0000}"/>
    <cellStyle name="Normal 103" xfId="1388" xr:uid="{00000000-0005-0000-0000-0000160C0000}"/>
    <cellStyle name="Normal 104" xfId="1389" xr:uid="{00000000-0005-0000-0000-0000170C0000}"/>
    <cellStyle name="Normal 105" xfId="1390" xr:uid="{00000000-0005-0000-0000-0000180C0000}"/>
    <cellStyle name="Normal 106" xfId="1391" xr:uid="{00000000-0005-0000-0000-0000190C0000}"/>
    <cellStyle name="Normal 107" xfId="1392" xr:uid="{00000000-0005-0000-0000-00001A0C0000}"/>
    <cellStyle name="Normal 108" xfId="1393" xr:uid="{00000000-0005-0000-0000-00001B0C0000}"/>
    <cellStyle name="Normal 109" xfId="1394" xr:uid="{00000000-0005-0000-0000-00001C0C0000}"/>
    <cellStyle name="Normal 11" xfId="174" xr:uid="{00000000-0005-0000-0000-00001D0C0000}"/>
    <cellStyle name="Normal 11 2" xfId="223" xr:uid="{00000000-0005-0000-0000-00001E0C0000}"/>
    <cellStyle name="Normal 110" xfId="1396" xr:uid="{00000000-0005-0000-0000-00001F0C0000}"/>
    <cellStyle name="Normal 111" xfId="1397" xr:uid="{00000000-0005-0000-0000-0000200C0000}"/>
    <cellStyle name="Normal 112" xfId="1398" xr:uid="{00000000-0005-0000-0000-0000210C0000}"/>
    <cellStyle name="Normal 113" xfId="1399" xr:uid="{00000000-0005-0000-0000-0000220C0000}"/>
    <cellStyle name="Normal 114" xfId="1400" xr:uid="{00000000-0005-0000-0000-0000230C0000}"/>
    <cellStyle name="Normal 115" xfId="1401" xr:uid="{00000000-0005-0000-0000-0000240C0000}"/>
    <cellStyle name="Normal 116" xfId="1402" xr:uid="{00000000-0005-0000-0000-0000250C0000}"/>
    <cellStyle name="Normal 117" xfId="1403" xr:uid="{00000000-0005-0000-0000-0000260C0000}"/>
    <cellStyle name="Normal 118" xfId="1404" xr:uid="{00000000-0005-0000-0000-0000270C0000}"/>
    <cellStyle name="Normal 119" xfId="1405" xr:uid="{00000000-0005-0000-0000-0000280C0000}"/>
    <cellStyle name="Normal 12" xfId="214" xr:uid="{00000000-0005-0000-0000-0000290C0000}"/>
    <cellStyle name="Normal 12 2" xfId="229" xr:uid="{00000000-0005-0000-0000-00002A0C0000}"/>
    <cellStyle name="Normal 12 3" xfId="339" xr:uid="{00000000-0005-0000-0000-00002B0C0000}"/>
    <cellStyle name="Normal 120" xfId="1407" xr:uid="{00000000-0005-0000-0000-00002C0C0000}"/>
    <cellStyle name="Normal 120 2" xfId="1408" xr:uid="{00000000-0005-0000-0000-00002D0C0000}"/>
    <cellStyle name="Normal 121" xfId="1409" xr:uid="{00000000-0005-0000-0000-00002E0C0000}"/>
    <cellStyle name="Normal 122" xfId="1410" xr:uid="{00000000-0005-0000-0000-00002F0C0000}"/>
    <cellStyle name="Normal 123" xfId="1411" xr:uid="{00000000-0005-0000-0000-0000300C0000}"/>
    <cellStyle name="Normal 124" xfId="1412" xr:uid="{00000000-0005-0000-0000-0000310C0000}"/>
    <cellStyle name="Normal 125" xfId="1413" xr:uid="{00000000-0005-0000-0000-0000320C0000}"/>
    <cellStyle name="Normal 126" xfId="1414" xr:uid="{00000000-0005-0000-0000-0000330C0000}"/>
    <cellStyle name="Normal 127" xfId="1415" xr:uid="{00000000-0005-0000-0000-0000340C0000}"/>
    <cellStyle name="Normal 128" xfId="1416" xr:uid="{00000000-0005-0000-0000-0000350C0000}"/>
    <cellStyle name="Normal 129" xfId="1417" xr:uid="{00000000-0005-0000-0000-0000360C0000}"/>
    <cellStyle name="Normal 13" xfId="215" xr:uid="{00000000-0005-0000-0000-0000370C0000}"/>
    <cellStyle name="Normal 13 2" xfId="230" xr:uid="{00000000-0005-0000-0000-0000380C0000}"/>
    <cellStyle name="Normal 13 2 2" xfId="3580" xr:uid="{00000000-0005-0000-0000-0000390C0000}"/>
    <cellStyle name="Normal 13 3" xfId="340" xr:uid="{00000000-0005-0000-0000-00003A0C0000}"/>
    <cellStyle name="Normal 13 3 2" xfId="3581" xr:uid="{00000000-0005-0000-0000-00003B0C0000}"/>
    <cellStyle name="Normal 130" xfId="1419" xr:uid="{00000000-0005-0000-0000-00003C0C0000}"/>
    <cellStyle name="Normal 131" xfId="1420" xr:uid="{00000000-0005-0000-0000-00003D0C0000}"/>
    <cellStyle name="Normal 132" xfId="1421" xr:uid="{00000000-0005-0000-0000-00003E0C0000}"/>
    <cellStyle name="Normal 133" xfId="1422" xr:uid="{00000000-0005-0000-0000-00003F0C0000}"/>
    <cellStyle name="Normal 134" xfId="1423" xr:uid="{00000000-0005-0000-0000-0000400C0000}"/>
    <cellStyle name="Normal 135" xfId="1424" xr:uid="{00000000-0005-0000-0000-0000410C0000}"/>
    <cellStyle name="Normal 136" xfId="1425" xr:uid="{00000000-0005-0000-0000-0000420C0000}"/>
    <cellStyle name="Normal 137" xfId="1426" xr:uid="{00000000-0005-0000-0000-0000430C0000}"/>
    <cellStyle name="Normal 138" xfId="1427" xr:uid="{00000000-0005-0000-0000-0000440C0000}"/>
    <cellStyle name="Normal 139" xfId="1428" xr:uid="{00000000-0005-0000-0000-0000450C0000}"/>
    <cellStyle name="Normal 14" xfId="216" xr:uid="{00000000-0005-0000-0000-0000460C0000}"/>
    <cellStyle name="Normal 14 2" xfId="234" xr:uid="{00000000-0005-0000-0000-0000470C0000}"/>
    <cellStyle name="Normal 14 2 2" xfId="3583" xr:uid="{00000000-0005-0000-0000-0000480C0000}"/>
    <cellStyle name="Normal 14 3" xfId="341" xr:uid="{00000000-0005-0000-0000-0000490C0000}"/>
    <cellStyle name="Normal 14 3 2" xfId="3584" xr:uid="{00000000-0005-0000-0000-00004A0C0000}"/>
    <cellStyle name="Normal 14 4" xfId="3582" xr:uid="{00000000-0005-0000-0000-00004B0C0000}"/>
    <cellStyle name="Normal 14 5" xfId="4079" xr:uid="{00000000-0005-0000-0000-00004C0C0000}"/>
    <cellStyle name="Normal 14 6" xfId="4090" xr:uid="{00000000-0005-0000-0000-00004D0C0000}"/>
    <cellStyle name="Normal 14 7" xfId="4096" xr:uid="{00000000-0005-0000-0000-00004E0C0000}"/>
    <cellStyle name="Normal 14 8" xfId="4103" xr:uid="{00000000-0005-0000-0000-00004F0C0000}"/>
    <cellStyle name="Normal 140" xfId="1430" xr:uid="{00000000-0005-0000-0000-0000500C0000}"/>
    <cellStyle name="Normal 141" xfId="1431" xr:uid="{00000000-0005-0000-0000-0000510C0000}"/>
    <cellStyle name="Normal 142" xfId="1432" xr:uid="{00000000-0005-0000-0000-0000520C0000}"/>
    <cellStyle name="Normal 143" xfId="1433" xr:uid="{00000000-0005-0000-0000-0000530C0000}"/>
    <cellStyle name="Normal 144" xfId="1434" xr:uid="{00000000-0005-0000-0000-0000540C0000}"/>
    <cellStyle name="Normal 145" xfId="1435" xr:uid="{00000000-0005-0000-0000-0000550C0000}"/>
    <cellStyle name="Normal 146" xfId="1436" xr:uid="{00000000-0005-0000-0000-0000560C0000}"/>
    <cellStyle name="Normal 147" xfId="1437" xr:uid="{00000000-0005-0000-0000-0000570C0000}"/>
    <cellStyle name="Normal 148" xfId="1438" xr:uid="{00000000-0005-0000-0000-0000580C0000}"/>
    <cellStyle name="Normal 149" xfId="1439" xr:uid="{00000000-0005-0000-0000-0000590C0000}"/>
    <cellStyle name="Normal 15" xfId="220" xr:uid="{00000000-0005-0000-0000-00005A0C0000}"/>
    <cellStyle name="Normal 15 2" xfId="238" xr:uid="{00000000-0005-0000-0000-00005B0C0000}"/>
    <cellStyle name="Normal 15 2 2" xfId="3585" xr:uid="{00000000-0005-0000-0000-00005C0C0000}"/>
    <cellStyle name="Normal 150" xfId="1441" xr:uid="{00000000-0005-0000-0000-00005D0C0000}"/>
    <cellStyle name="Normal 151" xfId="1442" xr:uid="{00000000-0005-0000-0000-00005E0C0000}"/>
    <cellStyle name="Normal 152" xfId="1443" xr:uid="{00000000-0005-0000-0000-00005F0C0000}"/>
    <cellStyle name="Normal 153" xfId="1444" xr:uid="{00000000-0005-0000-0000-0000600C0000}"/>
    <cellStyle name="Normal 154" xfId="1445" xr:uid="{00000000-0005-0000-0000-0000610C0000}"/>
    <cellStyle name="Normal 155" xfId="1446" xr:uid="{00000000-0005-0000-0000-0000620C0000}"/>
    <cellStyle name="Normal 156" xfId="1447" xr:uid="{00000000-0005-0000-0000-0000630C0000}"/>
    <cellStyle name="Normal 157" xfId="1448" xr:uid="{00000000-0005-0000-0000-0000640C0000}"/>
    <cellStyle name="Normal 158" xfId="1449" xr:uid="{00000000-0005-0000-0000-0000650C0000}"/>
    <cellStyle name="Normal 159" xfId="1450" xr:uid="{00000000-0005-0000-0000-0000660C0000}"/>
    <cellStyle name="Normal 16" xfId="221" xr:uid="{00000000-0005-0000-0000-0000670C0000}"/>
    <cellStyle name="Normal 16 2" xfId="239" xr:uid="{00000000-0005-0000-0000-0000680C0000}"/>
    <cellStyle name="Normal 16 2 2" xfId="3586" xr:uid="{00000000-0005-0000-0000-0000690C0000}"/>
    <cellStyle name="Normal 16 3" xfId="342" xr:uid="{00000000-0005-0000-0000-00006A0C0000}"/>
    <cellStyle name="Normal 160" xfId="1452" xr:uid="{00000000-0005-0000-0000-00006B0C0000}"/>
    <cellStyle name="Normal 161" xfId="1453" xr:uid="{00000000-0005-0000-0000-00006C0C0000}"/>
    <cellStyle name="Normal 162" xfId="1454" xr:uid="{00000000-0005-0000-0000-00006D0C0000}"/>
    <cellStyle name="Normal 163" xfId="1455" xr:uid="{00000000-0005-0000-0000-00006E0C0000}"/>
    <cellStyle name="Normal 164" xfId="1456" xr:uid="{00000000-0005-0000-0000-00006F0C0000}"/>
    <cellStyle name="Normal 165" xfId="1457" xr:uid="{00000000-0005-0000-0000-0000700C0000}"/>
    <cellStyle name="Normal 166" xfId="1458" xr:uid="{00000000-0005-0000-0000-0000710C0000}"/>
    <cellStyle name="Normal 167" xfId="1459" xr:uid="{00000000-0005-0000-0000-0000720C0000}"/>
    <cellStyle name="Normal 168" xfId="1460" xr:uid="{00000000-0005-0000-0000-0000730C0000}"/>
    <cellStyle name="Normal 169" xfId="1461" xr:uid="{00000000-0005-0000-0000-0000740C0000}"/>
    <cellStyle name="Normal 17" xfId="222" xr:uid="{00000000-0005-0000-0000-0000750C0000}"/>
    <cellStyle name="Normal 17 2" xfId="343" xr:uid="{00000000-0005-0000-0000-0000760C0000}"/>
    <cellStyle name="Normal 17 2 2" xfId="3588" xr:uid="{00000000-0005-0000-0000-0000770C0000}"/>
    <cellStyle name="Normal 17 3" xfId="3587" xr:uid="{00000000-0005-0000-0000-0000780C0000}"/>
    <cellStyle name="Normal 17 4" xfId="4076" xr:uid="{00000000-0005-0000-0000-0000790C0000}"/>
    <cellStyle name="Normal 17 5" xfId="4088" xr:uid="{00000000-0005-0000-0000-00007A0C0000}"/>
    <cellStyle name="Normal 17 6" xfId="4094" xr:uid="{00000000-0005-0000-0000-00007B0C0000}"/>
    <cellStyle name="Normal 17 7" xfId="4101" xr:uid="{00000000-0005-0000-0000-00007C0C0000}"/>
    <cellStyle name="Normal 170" xfId="1463" xr:uid="{00000000-0005-0000-0000-00007D0C0000}"/>
    <cellStyle name="Normal 171" xfId="1464" xr:uid="{00000000-0005-0000-0000-00007E0C0000}"/>
    <cellStyle name="Normal 172" xfId="1465" xr:uid="{00000000-0005-0000-0000-00007F0C0000}"/>
    <cellStyle name="Normal 173" xfId="1466" xr:uid="{00000000-0005-0000-0000-0000800C0000}"/>
    <cellStyle name="Normal 174" xfId="1467" xr:uid="{00000000-0005-0000-0000-0000810C0000}"/>
    <cellStyle name="Normal 175" xfId="1468" xr:uid="{00000000-0005-0000-0000-0000820C0000}"/>
    <cellStyle name="Normal 176" xfId="1469" xr:uid="{00000000-0005-0000-0000-0000830C0000}"/>
    <cellStyle name="Normal 177" xfId="1470" xr:uid="{00000000-0005-0000-0000-0000840C0000}"/>
    <cellStyle name="Normal 178" xfId="1471" xr:uid="{00000000-0005-0000-0000-0000850C0000}"/>
    <cellStyle name="Normal 179" xfId="1472" xr:uid="{00000000-0005-0000-0000-0000860C0000}"/>
    <cellStyle name="Normal 18" xfId="233" xr:uid="{00000000-0005-0000-0000-0000870C0000}"/>
    <cellStyle name="Normal 18 2" xfId="344" xr:uid="{00000000-0005-0000-0000-0000880C0000}"/>
    <cellStyle name="Normal 18 2 2" xfId="3590" xr:uid="{00000000-0005-0000-0000-0000890C0000}"/>
    <cellStyle name="Normal 18 3" xfId="3589" xr:uid="{00000000-0005-0000-0000-00008A0C0000}"/>
    <cellStyle name="Normal 180" xfId="1474" xr:uid="{00000000-0005-0000-0000-00008B0C0000}"/>
    <cellStyle name="Normal 181" xfId="1475" xr:uid="{00000000-0005-0000-0000-00008C0C0000}"/>
    <cellStyle name="Normal 182" xfId="1476" xr:uid="{00000000-0005-0000-0000-00008D0C0000}"/>
    <cellStyle name="Normal 183" xfId="1477" xr:uid="{00000000-0005-0000-0000-00008E0C0000}"/>
    <cellStyle name="Normal 184" xfId="1478" xr:uid="{00000000-0005-0000-0000-00008F0C0000}"/>
    <cellStyle name="Normal 185" xfId="1479" xr:uid="{00000000-0005-0000-0000-0000900C0000}"/>
    <cellStyle name="Normal 186" xfId="1480" xr:uid="{00000000-0005-0000-0000-0000910C0000}"/>
    <cellStyle name="Normal 187" xfId="1481" xr:uid="{00000000-0005-0000-0000-0000920C0000}"/>
    <cellStyle name="Normal 188" xfId="1482" xr:uid="{00000000-0005-0000-0000-0000930C0000}"/>
    <cellStyle name="Normal 189" xfId="1483" xr:uid="{00000000-0005-0000-0000-0000940C0000}"/>
    <cellStyle name="Normal 19" xfId="236" xr:uid="{00000000-0005-0000-0000-0000950C0000}"/>
    <cellStyle name="Normal 19 2" xfId="345" xr:uid="{00000000-0005-0000-0000-0000960C0000}"/>
    <cellStyle name="Normal 19 2 2" xfId="3592" xr:uid="{00000000-0005-0000-0000-0000970C0000}"/>
    <cellStyle name="Normal 19 3" xfId="3591" xr:uid="{00000000-0005-0000-0000-0000980C0000}"/>
    <cellStyle name="Normal 190" xfId="1485" xr:uid="{00000000-0005-0000-0000-0000990C0000}"/>
    <cellStyle name="Normal 191" xfId="1486" xr:uid="{00000000-0005-0000-0000-00009A0C0000}"/>
    <cellStyle name="Normal 192" xfId="1487" xr:uid="{00000000-0005-0000-0000-00009B0C0000}"/>
    <cellStyle name="Normal 193" xfId="1488" xr:uid="{00000000-0005-0000-0000-00009C0C0000}"/>
    <cellStyle name="Normal 194" xfId="1489" xr:uid="{00000000-0005-0000-0000-00009D0C0000}"/>
    <cellStyle name="Normal 195" xfId="1490" xr:uid="{00000000-0005-0000-0000-00009E0C0000}"/>
    <cellStyle name="Normal 196" xfId="1491" xr:uid="{00000000-0005-0000-0000-00009F0C0000}"/>
    <cellStyle name="Normal 197" xfId="1492" xr:uid="{00000000-0005-0000-0000-0000A00C0000}"/>
    <cellStyle name="Normal 198" xfId="1493" xr:uid="{00000000-0005-0000-0000-0000A10C0000}"/>
    <cellStyle name="Normal 199" xfId="1494" xr:uid="{00000000-0005-0000-0000-0000A20C0000}"/>
    <cellStyle name="Normal 2" xfId="5" xr:uid="{00000000-0005-0000-0000-0000A30C0000}"/>
    <cellStyle name="Normal 2 2" xfId="129" xr:uid="{00000000-0005-0000-0000-0000A40C0000}"/>
    <cellStyle name="Normal 2 2 2" xfId="1497" xr:uid="{00000000-0005-0000-0000-0000A50C0000}"/>
    <cellStyle name="Normal 2 2 2 2" xfId="3594" xr:uid="{00000000-0005-0000-0000-0000A60C0000}"/>
    <cellStyle name="Normal 2 2 3" xfId="3593" xr:uid="{00000000-0005-0000-0000-0000A70C0000}"/>
    <cellStyle name="Normal 2 3" xfId="130" xr:uid="{00000000-0005-0000-0000-0000A80C0000}"/>
    <cellStyle name="Normal 2 3 2" xfId="1498" xr:uid="{00000000-0005-0000-0000-0000A90C0000}"/>
    <cellStyle name="Normal 2 3 2 2" xfId="3595" xr:uid="{00000000-0005-0000-0000-0000AA0C0000}"/>
    <cellStyle name="Normal 2 4" xfId="162" xr:uid="{00000000-0005-0000-0000-0000AB0C0000}"/>
    <cellStyle name="Normal 2 4 2" xfId="1499" xr:uid="{00000000-0005-0000-0000-0000AC0C0000}"/>
    <cellStyle name="Normal 2 4 3" xfId="3596" xr:uid="{00000000-0005-0000-0000-0000AD0C0000}"/>
    <cellStyle name="Normal 2 5" xfId="240" xr:uid="{00000000-0005-0000-0000-0000AE0C0000}"/>
    <cellStyle name="Normal 2 5 2" xfId="1500" xr:uid="{00000000-0005-0000-0000-0000AF0C0000}"/>
    <cellStyle name="Normal 2 5 3" xfId="3597" xr:uid="{00000000-0005-0000-0000-0000B00C0000}"/>
    <cellStyle name="Normal 2 6" xfId="1501" xr:uid="{00000000-0005-0000-0000-0000B10C0000}"/>
    <cellStyle name="Normal 2 6 2" xfId="3598" xr:uid="{00000000-0005-0000-0000-0000B20C0000}"/>
    <cellStyle name="Normal 2 7" xfId="1502" xr:uid="{00000000-0005-0000-0000-0000B30C0000}"/>
    <cellStyle name="Normal 2 7 2" xfId="3599" xr:uid="{00000000-0005-0000-0000-0000B40C0000}"/>
    <cellStyle name="Normal 2 8" xfId="3600" xr:uid="{00000000-0005-0000-0000-0000B50C0000}"/>
    <cellStyle name="Normal 2 9" xfId="128" xr:uid="{00000000-0005-0000-0000-0000B60C0000}"/>
    <cellStyle name="Normal 20" xfId="256" xr:uid="{00000000-0005-0000-0000-0000B70C0000}"/>
    <cellStyle name="Normal 20 2" xfId="346" xr:uid="{00000000-0005-0000-0000-0000B80C0000}"/>
    <cellStyle name="Normal 20 2 2" xfId="3602" xr:uid="{00000000-0005-0000-0000-0000B90C0000}"/>
    <cellStyle name="Normal 20 3" xfId="3601" xr:uid="{00000000-0005-0000-0000-0000BA0C0000}"/>
    <cellStyle name="Normal 200" xfId="1504" xr:uid="{00000000-0005-0000-0000-0000BB0C0000}"/>
    <cellStyle name="Normal 201" xfId="1505" xr:uid="{00000000-0005-0000-0000-0000BC0C0000}"/>
    <cellStyle name="Normal 202" xfId="1506" xr:uid="{00000000-0005-0000-0000-0000BD0C0000}"/>
    <cellStyle name="Normal 203" xfId="1507" xr:uid="{00000000-0005-0000-0000-0000BE0C0000}"/>
    <cellStyle name="Normal 204" xfId="1508" xr:uid="{00000000-0005-0000-0000-0000BF0C0000}"/>
    <cellStyle name="Normal 205" xfId="1509" xr:uid="{00000000-0005-0000-0000-0000C00C0000}"/>
    <cellStyle name="Normal 206" xfId="1510" xr:uid="{00000000-0005-0000-0000-0000C10C0000}"/>
    <cellStyle name="Normal 207" xfId="1511" xr:uid="{00000000-0005-0000-0000-0000C20C0000}"/>
    <cellStyle name="Normal 208" xfId="1512" xr:uid="{00000000-0005-0000-0000-0000C30C0000}"/>
    <cellStyle name="Normal 209" xfId="1513" xr:uid="{00000000-0005-0000-0000-0000C40C0000}"/>
    <cellStyle name="Normal 21" xfId="347" xr:uid="{00000000-0005-0000-0000-0000C50C0000}"/>
    <cellStyle name="Normal 21 2" xfId="3603" xr:uid="{00000000-0005-0000-0000-0000C60C0000}"/>
    <cellStyle name="Normal 210" xfId="1515" xr:uid="{00000000-0005-0000-0000-0000C70C0000}"/>
    <cellStyle name="Normal 211" xfId="1516" xr:uid="{00000000-0005-0000-0000-0000C80C0000}"/>
    <cellStyle name="Normal 212" xfId="1517" xr:uid="{00000000-0005-0000-0000-0000C90C0000}"/>
    <cellStyle name="Normal 213" xfId="1518" xr:uid="{00000000-0005-0000-0000-0000CA0C0000}"/>
    <cellStyle name="Normal 214" xfId="1519" xr:uid="{00000000-0005-0000-0000-0000CB0C0000}"/>
    <cellStyle name="Normal 215" xfId="1520" xr:uid="{00000000-0005-0000-0000-0000CC0C0000}"/>
    <cellStyle name="Normal 216" xfId="1521" xr:uid="{00000000-0005-0000-0000-0000CD0C0000}"/>
    <cellStyle name="Normal 217" xfId="1522" xr:uid="{00000000-0005-0000-0000-0000CE0C0000}"/>
    <cellStyle name="Normal 218" xfId="1523" xr:uid="{00000000-0005-0000-0000-0000CF0C0000}"/>
    <cellStyle name="Normal 219" xfId="1524" xr:uid="{00000000-0005-0000-0000-0000D00C0000}"/>
    <cellStyle name="Normal 22" xfId="348" xr:uid="{00000000-0005-0000-0000-0000D10C0000}"/>
    <cellStyle name="Normal 22 2" xfId="3604" xr:uid="{00000000-0005-0000-0000-0000D20C0000}"/>
    <cellStyle name="Normal 220" xfId="1526" xr:uid="{00000000-0005-0000-0000-0000D30C0000}"/>
    <cellStyle name="Normal 221" xfId="1527" xr:uid="{00000000-0005-0000-0000-0000D40C0000}"/>
    <cellStyle name="Normal 222" xfId="1528" xr:uid="{00000000-0005-0000-0000-0000D50C0000}"/>
    <cellStyle name="Normal 223" xfId="1529" xr:uid="{00000000-0005-0000-0000-0000D60C0000}"/>
    <cellStyle name="Normal 224" xfId="1530" xr:uid="{00000000-0005-0000-0000-0000D70C0000}"/>
    <cellStyle name="Normal 225" xfId="1531" xr:uid="{00000000-0005-0000-0000-0000D80C0000}"/>
    <cellStyle name="Normal 226" xfId="1532" xr:uid="{00000000-0005-0000-0000-0000D90C0000}"/>
    <cellStyle name="Normal 227" xfId="1533" xr:uid="{00000000-0005-0000-0000-0000DA0C0000}"/>
    <cellStyle name="Normal 228" xfId="1534" xr:uid="{00000000-0005-0000-0000-0000DB0C0000}"/>
    <cellStyle name="Normal 229" xfId="1535" xr:uid="{00000000-0005-0000-0000-0000DC0C0000}"/>
    <cellStyle name="Normal 23" xfId="349" xr:uid="{00000000-0005-0000-0000-0000DD0C0000}"/>
    <cellStyle name="Normal 23 2" xfId="3605" xr:uid="{00000000-0005-0000-0000-0000DE0C0000}"/>
    <cellStyle name="Normal 230" xfId="1537" xr:uid="{00000000-0005-0000-0000-0000DF0C0000}"/>
    <cellStyle name="Normal 231" xfId="1538" xr:uid="{00000000-0005-0000-0000-0000E00C0000}"/>
    <cellStyle name="Normal 232" xfId="1539" xr:uid="{00000000-0005-0000-0000-0000E10C0000}"/>
    <cellStyle name="Normal 233" xfId="1540" xr:uid="{00000000-0005-0000-0000-0000E20C0000}"/>
    <cellStyle name="Normal 234" xfId="1541" xr:uid="{00000000-0005-0000-0000-0000E30C0000}"/>
    <cellStyle name="Normal 235" xfId="1542" xr:uid="{00000000-0005-0000-0000-0000E40C0000}"/>
    <cellStyle name="Normal 236" xfId="1543" xr:uid="{00000000-0005-0000-0000-0000E50C0000}"/>
    <cellStyle name="Normal 237" xfId="1544" xr:uid="{00000000-0005-0000-0000-0000E60C0000}"/>
    <cellStyle name="Normal 238" xfId="1545" xr:uid="{00000000-0005-0000-0000-0000E70C0000}"/>
    <cellStyle name="Normal 239" xfId="440" xr:uid="{00000000-0005-0000-0000-0000E80C0000}"/>
    <cellStyle name="Normal 24" xfId="350" xr:uid="{00000000-0005-0000-0000-0000E90C0000}"/>
    <cellStyle name="Normal 24 2" xfId="3606" xr:uid="{00000000-0005-0000-0000-0000EA0C0000}"/>
    <cellStyle name="Normal 240" xfId="1777" xr:uid="{00000000-0005-0000-0000-0000EB0C0000}"/>
    <cellStyle name="Normal 241" xfId="2933" xr:uid="{00000000-0005-0000-0000-0000EC0C0000}"/>
    <cellStyle name="Normal 242" xfId="4060" xr:uid="{00000000-0005-0000-0000-0000ED0C0000}"/>
    <cellStyle name="Normal 243" xfId="4072" xr:uid="{00000000-0005-0000-0000-0000EE0C0000}"/>
    <cellStyle name="Normal 244" xfId="4074" xr:uid="{00000000-0005-0000-0000-0000EF0C0000}"/>
    <cellStyle name="Normal 245" xfId="4086" xr:uid="{00000000-0005-0000-0000-0000F00C0000}"/>
    <cellStyle name="Normal 246" xfId="4092" xr:uid="{00000000-0005-0000-0000-0000F10C0000}"/>
    <cellStyle name="Normal 247" xfId="4099" xr:uid="{00000000-0005-0000-0000-0000F20C0000}"/>
    <cellStyle name="Normal 248" xfId="4105" xr:uid="{00000000-0005-0000-0000-0000F30C0000}"/>
    <cellStyle name="Normal 249" xfId="7" xr:uid="{00000000-0005-0000-0000-0000F40C0000}"/>
    <cellStyle name="Normal 25" xfId="351" xr:uid="{00000000-0005-0000-0000-0000F50C0000}"/>
    <cellStyle name="Normal 25 2" xfId="1547" xr:uid="{00000000-0005-0000-0000-0000F60C0000}"/>
    <cellStyle name="Normal 25 3" xfId="3607" xr:uid="{00000000-0005-0000-0000-0000F70C0000}"/>
    <cellStyle name="Normal 250" xfId="4111" xr:uid="{00000000-0005-0000-0000-0000F80C0000}"/>
    <cellStyle name="Normal 26" xfId="352" xr:uid="{00000000-0005-0000-0000-0000F90C0000}"/>
    <cellStyle name="Normal 26 2" xfId="1548" xr:uid="{00000000-0005-0000-0000-0000FA0C0000}"/>
    <cellStyle name="Normal 26 3" xfId="3608" xr:uid="{00000000-0005-0000-0000-0000FB0C0000}"/>
    <cellStyle name="Normal 27" xfId="353" xr:uid="{00000000-0005-0000-0000-0000FC0C0000}"/>
    <cellStyle name="Normal 27 2" xfId="3609" xr:uid="{00000000-0005-0000-0000-0000FD0C0000}"/>
    <cellStyle name="Normal 28" xfId="354" xr:uid="{00000000-0005-0000-0000-0000FE0C0000}"/>
    <cellStyle name="Normal 28 2" xfId="3610" xr:uid="{00000000-0005-0000-0000-0000FF0C0000}"/>
    <cellStyle name="Normal 29" xfId="355" xr:uid="{00000000-0005-0000-0000-0000000D0000}"/>
    <cellStyle name="Normal 29 2" xfId="3611" xr:uid="{00000000-0005-0000-0000-0000010D0000}"/>
    <cellStyle name="Normal 3" xfId="131" xr:uid="{00000000-0005-0000-0000-0000020D0000}"/>
    <cellStyle name="Normal 3 10" xfId="3612" xr:uid="{00000000-0005-0000-0000-0000030D0000}"/>
    <cellStyle name="Normal 3 11" xfId="3613" xr:uid="{00000000-0005-0000-0000-0000040D0000}"/>
    <cellStyle name="Normal 3 2" xfId="132" xr:uid="{00000000-0005-0000-0000-0000050D0000}"/>
    <cellStyle name="Normal 3 2 2" xfId="242" xr:uid="{00000000-0005-0000-0000-0000060D0000}"/>
    <cellStyle name="Normal 3 2 2 2" xfId="357" xr:uid="{00000000-0005-0000-0000-0000070D0000}"/>
    <cellStyle name="Normal 3 2 2 3" xfId="3615" xr:uid="{00000000-0005-0000-0000-0000080D0000}"/>
    <cellStyle name="Normal 3 2 3" xfId="356" xr:uid="{00000000-0005-0000-0000-0000090D0000}"/>
    <cellStyle name="Normal 3 2 4" xfId="3614" xr:uid="{00000000-0005-0000-0000-00000A0D0000}"/>
    <cellStyle name="Normal 3 3" xfId="163" xr:uid="{00000000-0005-0000-0000-00000B0D0000}"/>
    <cellStyle name="Normal 3 3 2" xfId="3616" xr:uid="{00000000-0005-0000-0000-00000C0D0000}"/>
    <cellStyle name="Normal 3 4" xfId="241" xr:uid="{00000000-0005-0000-0000-00000D0D0000}"/>
    <cellStyle name="Normal 3 4 2" xfId="3617" xr:uid="{00000000-0005-0000-0000-00000E0D0000}"/>
    <cellStyle name="Normal 3 5" xfId="1552" xr:uid="{00000000-0005-0000-0000-00000F0D0000}"/>
    <cellStyle name="Normal 3 5 2" xfId="3618" xr:uid="{00000000-0005-0000-0000-0000100D0000}"/>
    <cellStyle name="Normal 3 6" xfId="3619" xr:uid="{00000000-0005-0000-0000-0000110D0000}"/>
    <cellStyle name="Normal 3 7" xfId="3620" xr:uid="{00000000-0005-0000-0000-0000120D0000}"/>
    <cellStyle name="Normal 3 8" xfId="3621" xr:uid="{00000000-0005-0000-0000-0000130D0000}"/>
    <cellStyle name="Normal 3 9" xfId="3622" xr:uid="{00000000-0005-0000-0000-0000140D0000}"/>
    <cellStyle name="Normal 30" xfId="358" xr:uid="{00000000-0005-0000-0000-0000150D0000}"/>
    <cellStyle name="Normal 30 2" xfId="3623" xr:uid="{00000000-0005-0000-0000-0000160D0000}"/>
    <cellStyle name="Normal 31" xfId="359" xr:uid="{00000000-0005-0000-0000-0000170D0000}"/>
    <cellStyle name="Normal 31 2" xfId="3625" xr:uid="{00000000-0005-0000-0000-0000180D0000}"/>
    <cellStyle name="Normal 31 2 2" xfId="4085" xr:uid="{00000000-0005-0000-0000-0000190D0000}"/>
    <cellStyle name="Normal 31 2 2 2 2" xfId="4098" xr:uid="{00000000-0005-0000-0000-00001A0D0000}"/>
    <cellStyle name="Normal 31 2 2 2 2 2" xfId="4107" xr:uid="{00000000-0005-0000-0000-00001B0D0000}"/>
    <cellStyle name="Normal 31 2 3" xfId="4091" xr:uid="{00000000-0005-0000-0000-00001C0D0000}"/>
    <cellStyle name="Normal 31 2 4" xfId="4097" xr:uid="{00000000-0005-0000-0000-00001D0D0000}"/>
    <cellStyle name="Normal 31 2 5" xfId="4106" xr:uid="{00000000-0005-0000-0000-00001E0D0000}"/>
    <cellStyle name="Normal 31 3" xfId="3624" xr:uid="{00000000-0005-0000-0000-00001F0D0000}"/>
    <cellStyle name="Normal 32" xfId="360" xr:uid="{00000000-0005-0000-0000-0000200D0000}"/>
    <cellStyle name="Normal 33" xfId="361" xr:uid="{00000000-0005-0000-0000-0000210D0000}"/>
    <cellStyle name="Normal 34" xfId="362" xr:uid="{00000000-0005-0000-0000-0000220D0000}"/>
    <cellStyle name="Normal 35" xfId="363" xr:uid="{00000000-0005-0000-0000-0000230D0000}"/>
    <cellStyle name="Normal 36" xfId="364" xr:uid="{00000000-0005-0000-0000-0000240D0000}"/>
    <cellStyle name="Normal 37" xfId="365" xr:uid="{00000000-0005-0000-0000-0000250D0000}"/>
    <cellStyle name="Normal 38" xfId="366" xr:uid="{00000000-0005-0000-0000-0000260D0000}"/>
    <cellStyle name="Normal 39" xfId="367" xr:uid="{00000000-0005-0000-0000-0000270D0000}"/>
    <cellStyle name="Normal 399" xfId="3" xr:uid="{00000000-0005-0000-0000-0000280D0000}"/>
    <cellStyle name="Normal 4" xfId="160" xr:uid="{00000000-0005-0000-0000-0000290D0000}"/>
    <cellStyle name="Normal 4 10" xfId="3627" xr:uid="{00000000-0005-0000-0000-00002A0D0000}"/>
    <cellStyle name="Normal 4 11" xfId="3628" xr:uid="{00000000-0005-0000-0000-00002B0D0000}"/>
    <cellStyle name="Normal 4 12" xfId="3629" xr:uid="{00000000-0005-0000-0000-00002C0D0000}"/>
    <cellStyle name="Normal 4 13" xfId="3626" xr:uid="{00000000-0005-0000-0000-00002D0D0000}"/>
    <cellStyle name="Normal 4 2" xfId="219" xr:uid="{00000000-0005-0000-0000-00002E0D0000}"/>
    <cellStyle name="Normal 4 2 2" xfId="3631" xr:uid="{00000000-0005-0000-0000-00002F0D0000}"/>
    <cellStyle name="Normal 4 2 3" xfId="3632" xr:uid="{00000000-0005-0000-0000-0000300D0000}"/>
    <cellStyle name="Normal 4 2 4" xfId="3630" xr:uid="{00000000-0005-0000-0000-0000310D0000}"/>
    <cellStyle name="Normal 4 3" xfId="368" xr:uid="{00000000-0005-0000-0000-0000320D0000}"/>
    <cellStyle name="Normal 4 3 2" xfId="3633" xr:uid="{00000000-0005-0000-0000-0000330D0000}"/>
    <cellStyle name="Normal 4 4" xfId="3634" xr:uid="{00000000-0005-0000-0000-0000340D0000}"/>
    <cellStyle name="Normal 4 5" xfId="3635" xr:uid="{00000000-0005-0000-0000-0000350D0000}"/>
    <cellStyle name="Normal 4 6" xfId="3636" xr:uid="{00000000-0005-0000-0000-0000360D0000}"/>
    <cellStyle name="Normal 4 7" xfId="3637" xr:uid="{00000000-0005-0000-0000-0000370D0000}"/>
    <cellStyle name="Normal 4 8" xfId="3638" xr:uid="{00000000-0005-0000-0000-0000380D0000}"/>
    <cellStyle name="Normal 4 9" xfId="3639" xr:uid="{00000000-0005-0000-0000-0000390D0000}"/>
    <cellStyle name="Normal 40" xfId="369" xr:uid="{00000000-0005-0000-0000-00003A0D0000}"/>
    <cellStyle name="Normal 41" xfId="370" xr:uid="{00000000-0005-0000-0000-00003B0D0000}"/>
    <cellStyle name="Normal 42" xfId="371" xr:uid="{00000000-0005-0000-0000-00003C0D0000}"/>
    <cellStyle name="Normal 43" xfId="372" xr:uid="{00000000-0005-0000-0000-00003D0D0000}"/>
    <cellStyle name="Normal 44" xfId="373" xr:uid="{00000000-0005-0000-0000-00003E0D0000}"/>
    <cellStyle name="Normal 45" xfId="374" xr:uid="{00000000-0005-0000-0000-00003F0D0000}"/>
    <cellStyle name="Normal 46" xfId="375" xr:uid="{00000000-0005-0000-0000-0000400D0000}"/>
    <cellStyle name="Normal 47" xfId="376" xr:uid="{00000000-0005-0000-0000-0000410D0000}"/>
    <cellStyle name="Normal 48" xfId="377" xr:uid="{00000000-0005-0000-0000-0000420D0000}"/>
    <cellStyle name="Normal 49" xfId="378" xr:uid="{00000000-0005-0000-0000-0000430D0000}"/>
    <cellStyle name="Normal 5" xfId="170" xr:uid="{00000000-0005-0000-0000-0000440D0000}"/>
    <cellStyle name="Normal 5 10" xfId="3640" xr:uid="{00000000-0005-0000-0000-0000450D0000}"/>
    <cellStyle name="Normal 5 11" xfId="3641" xr:uid="{00000000-0005-0000-0000-0000460D0000}"/>
    <cellStyle name="Normal 5 12" xfId="3642" xr:uid="{00000000-0005-0000-0000-0000470D0000}"/>
    <cellStyle name="Normal 5 2" xfId="244" xr:uid="{00000000-0005-0000-0000-0000480D0000}"/>
    <cellStyle name="Normal 5 2 2" xfId="380" xr:uid="{00000000-0005-0000-0000-0000490D0000}"/>
    <cellStyle name="Normal 5 3" xfId="243" xr:uid="{00000000-0005-0000-0000-00004A0D0000}"/>
    <cellStyle name="Normal 5 3 2" xfId="3643" xr:uid="{00000000-0005-0000-0000-00004B0D0000}"/>
    <cellStyle name="Normal 5 4" xfId="379" xr:uid="{00000000-0005-0000-0000-00004C0D0000}"/>
    <cellStyle name="Normal 5 4 2" xfId="3644" xr:uid="{00000000-0005-0000-0000-00004D0D0000}"/>
    <cellStyle name="Normal 5 5" xfId="1576" xr:uid="{00000000-0005-0000-0000-00004E0D0000}"/>
    <cellStyle name="Normal 5 5 2" xfId="3645" xr:uid="{00000000-0005-0000-0000-00004F0D0000}"/>
    <cellStyle name="Normal 5 6" xfId="3646" xr:uid="{00000000-0005-0000-0000-0000500D0000}"/>
    <cellStyle name="Normal 5 7" xfId="3647" xr:uid="{00000000-0005-0000-0000-0000510D0000}"/>
    <cellStyle name="Normal 5 8" xfId="3648" xr:uid="{00000000-0005-0000-0000-0000520D0000}"/>
    <cellStyle name="Normal 5 9" xfId="3649" xr:uid="{00000000-0005-0000-0000-0000530D0000}"/>
    <cellStyle name="Normal 5_Assumption of Load SCOD_data updated_22 Jun 2010_send out" xfId="3650" xr:uid="{00000000-0005-0000-0000-0000540D0000}"/>
    <cellStyle name="Normal 50" xfId="381" xr:uid="{00000000-0005-0000-0000-0000550D0000}"/>
    <cellStyle name="Normal 51" xfId="382" xr:uid="{00000000-0005-0000-0000-0000560D0000}"/>
    <cellStyle name="Normal 52" xfId="383" xr:uid="{00000000-0005-0000-0000-0000570D0000}"/>
    <cellStyle name="Normal 53" xfId="384" xr:uid="{00000000-0005-0000-0000-0000580D0000}"/>
    <cellStyle name="Normal 54" xfId="385" xr:uid="{00000000-0005-0000-0000-0000590D0000}"/>
    <cellStyle name="Normal 55" xfId="386" xr:uid="{00000000-0005-0000-0000-00005A0D0000}"/>
    <cellStyle name="Normal 56" xfId="387" xr:uid="{00000000-0005-0000-0000-00005B0D0000}"/>
    <cellStyle name="Normal 57" xfId="388" xr:uid="{00000000-0005-0000-0000-00005C0D0000}"/>
    <cellStyle name="Normal 58" xfId="389" xr:uid="{00000000-0005-0000-0000-00005D0D0000}"/>
    <cellStyle name="Normal 59" xfId="390" xr:uid="{00000000-0005-0000-0000-00005E0D0000}"/>
    <cellStyle name="Normal 6" xfId="161" xr:uid="{00000000-0005-0000-0000-00005F0D0000}"/>
    <cellStyle name="Normal 6 10" xfId="3651" xr:uid="{00000000-0005-0000-0000-0000600D0000}"/>
    <cellStyle name="Normal 6 11" xfId="3652" xr:uid="{00000000-0005-0000-0000-0000610D0000}"/>
    <cellStyle name="Normal 6 2" xfId="246" xr:uid="{00000000-0005-0000-0000-0000620D0000}"/>
    <cellStyle name="Normal 6 2 2" xfId="1590" xr:uid="{00000000-0005-0000-0000-0000630D0000}"/>
    <cellStyle name="Normal 6 2 2 2" xfId="3653" xr:uid="{00000000-0005-0000-0000-0000640D0000}"/>
    <cellStyle name="Normal 6 2 3" xfId="1589" xr:uid="{00000000-0005-0000-0000-0000650D0000}"/>
    <cellStyle name="Normal 6 3" xfId="245" xr:uid="{00000000-0005-0000-0000-0000660D0000}"/>
    <cellStyle name="Normal 6 3 2" xfId="3654" xr:uid="{00000000-0005-0000-0000-0000670D0000}"/>
    <cellStyle name="Normal 6 4" xfId="391" xr:uid="{00000000-0005-0000-0000-0000680D0000}"/>
    <cellStyle name="Normal 6 4 2" xfId="3655" xr:uid="{00000000-0005-0000-0000-0000690D0000}"/>
    <cellStyle name="Normal 6 5" xfId="3656" xr:uid="{00000000-0005-0000-0000-00006A0D0000}"/>
    <cellStyle name="Normal 6 6" xfId="3657" xr:uid="{00000000-0005-0000-0000-00006B0D0000}"/>
    <cellStyle name="Normal 6 7" xfId="3658" xr:uid="{00000000-0005-0000-0000-00006C0D0000}"/>
    <cellStyle name="Normal 6 8" xfId="3659" xr:uid="{00000000-0005-0000-0000-00006D0D0000}"/>
    <cellStyle name="Normal 6 9" xfId="3660" xr:uid="{00000000-0005-0000-0000-00006E0D0000}"/>
    <cellStyle name="Normal 60" xfId="392" xr:uid="{00000000-0005-0000-0000-00006F0D0000}"/>
    <cellStyle name="Normal 61" xfId="393" xr:uid="{00000000-0005-0000-0000-0000700D0000}"/>
    <cellStyle name="Normal 62" xfId="394" xr:uid="{00000000-0005-0000-0000-0000710D0000}"/>
    <cellStyle name="Normal 63" xfId="395" xr:uid="{00000000-0005-0000-0000-0000720D0000}"/>
    <cellStyle name="Normal 64" xfId="396" xr:uid="{00000000-0005-0000-0000-0000730D0000}"/>
    <cellStyle name="Normal 65" xfId="397" xr:uid="{00000000-0005-0000-0000-0000740D0000}"/>
    <cellStyle name="Normal 66" xfId="398" xr:uid="{00000000-0005-0000-0000-0000750D0000}"/>
    <cellStyle name="Normal 67" xfId="399" xr:uid="{00000000-0005-0000-0000-0000760D0000}"/>
    <cellStyle name="Normal 68" xfId="400" xr:uid="{00000000-0005-0000-0000-0000770D0000}"/>
    <cellStyle name="Normal 69" xfId="401" xr:uid="{00000000-0005-0000-0000-0000780D0000}"/>
    <cellStyle name="Normal 7" xfId="164" xr:uid="{00000000-0005-0000-0000-0000790D0000}"/>
    <cellStyle name="Normal 7 10" xfId="3661" xr:uid="{00000000-0005-0000-0000-00007A0D0000}"/>
    <cellStyle name="Normal 7 11" xfId="3662" xr:uid="{00000000-0005-0000-0000-00007B0D0000}"/>
    <cellStyle name="Normal 7 2" xfId="248" xr:uid="{00000000-0005-0000-0000-00007C0D0000}"/>
    <cellStyle name="Normal 7 2 2" xfId="1602" xr:uid="{00000000-0005-0000-0000-00007D0D0000}"/>
    <cellStyle name="Normal 7 2 2 2" xfId="3663" xr:uid="{00000000-0005-0000-0000-00007E0D0000}"/>
    <cellStyle name="Normal 7 3" xfId="247" xr:uid="{00000000-0005-0000-0000-00007F0D0000}"/>
    <cellStyle name="Normal 7 3 2" xfId="3664" xr:uid="{00000000-0005-0000-0000-0000800D0000}"/>
    <cellStyle name="Normal 7 4" xfId="402" xr:uid="{00000000-0005-0000-0000-0000810D0000}"/>
    <cellStyle name="Normal 7 4 2" xfId="3665" xr:uid="{00000000-0005-0000-0000-0000820D0000}"/>
    <cellStyle name="Normal 7 5" xfId="3666" xr:uid="{00000000-0005-0000-0000-0000830D0000}"/>
    <cellStyle name="Normal 7 6" xfId="3667" xr:uid="{00000000-0005-0000-0000-0000840D0000}"/>
    <cellStyle name="Normal 7 7" xfId="3668" xr:uid="{00000000-0005-0000-0000-0000850D0000}"/>
    <cellStyle name="Normal 7 8" xfId="3669" xr:uid="{00000000-0005-0000-0000-0000860D0000}"/>
    <cellStyle name="Normal 7 9" xfId="3670" xr:uid="{00000000-0005-0000-0000-0000870D0000}"/>
    <cellStyle name="Normal 70" xfId="403" xr:uid="{00000000-0005-0000-0000-0000880D0000}"/>
    <cellStyle name="Normal 71" xfId="404" xr:uid="{00000000-0005-0000-0000-0000890D0000}"/>
    <cellStyle name="Normal 72" xfId="405" xr:uid="{00000000-0005-0000-0000-00008A0D0000}"/>
    <cellStyle name="Normal 73" xfId="406" xr:uid="{00000000-0005-0000-0000-00008B0D0000}"/>
    <cellStyle name="Normal 74" xfId="407" xr:uid="{00000000-0005-0000-0000-00008C0D0000}"/>
    <cellStyle name="Normal 75" xfId="408" xr:uid="{00000000-0005-0000-0000-00008D0D0000}"/>
    <cellStyle name="Normal 76" xfId="409" xr:uid="{00000000-0005-0000-0000-00008E0D0000}"/>
    <cellStyle name="Normal 77" xfId="410" xr:uid="{00000000-0005-0000-0000-00008F0D0000}"/>
    <cellStyle name="Normal 78" xfId="411" xr:uid="{00000000-0005-0000-0000-0000900D0000}"/>
    <cellStyle name="Normal 79" xfId="412" xr:uid="{00000000-0005-0000-0000-0000910D0000}"/>
    <cellStyle name="Normal 8" xfId="172" xr:uid="{00000000-0005-0000-0000-0000920D0000}"/>
    <cellStyle name="Normal 8 10" xfId="1614" xr:uid="{00000000-0005-0000-0000-0000930D0000}"/>
    <cellStyle name="Normal 8 11" xfId="1615" xr:uid="{00000000-0005-0000-0000-0000940D0000}"/>
    <cellStyle name="Normal 8 12" xfId="1616" xr:uid="{00000000-0005-0000-0000-0000950D0000}"/>
    <cellStyle name="Normal 8 13" xfId="1617" xr:uid="{00000000-0005-0000-0000-0000960D0000}"/>
    <cellStyle name="Normal 8 14" xfId="1618" xr:uid="{00000000-0005-0000-0000-0000970D0000}"/>
    <cellStyle name="Normal 8 15" xfId="1619" xr:uid="{00000000-0005-0000-0000-0000980D0000}"/>
    <cellStyle name="Normal 8 16" xfId="1620" xr:uid="{00000000-0005-0000-0000-0000990D0000}"/>
    <cellStyle name="Normal 8 17" xfId="1621" xr:uid="{00000000-0005-0000-0000-00009A0D0000}"/>
    <cellStyle name="Normal 8 18" xfId="1622" xr:uid="{00000000-0005-0000-0000-00009B0D0000}"/>
    <cellStyle name="Normal 8 19" xfId="1623" xr:uid="{00000000-0005-0000-0000-00009C0D0000}"/>
    <cellStyle name="Normal 8 2" xfId="249" xr:uid="{00000000-0005-0000-0000-00009D0D0000}"/>
    <cellStyle name="Normal 8 2 2" xfId="414" xr:uid="{00000000-0005-0000-0000-00009E0D0000}"/>
    <cellStyle name="Normal 8 2 2 2" xfId="1625" xr:uid="{00000000-0005-0000-0000-00009F0D0000}"/>
    <cellStyle name="Normal 8 2 3" xfId="1624" xr:uid="{00000000-0005-0000-0000-0000A00D0000}"/>
    <cellStyle name="Normal 8 20" xfId="1626" xr:uid="{00000000-0005-0000-0000-0000A10D0000}"/>
    <cellStyle name="Normal 8 21" xfId="1627" xr:uid="{00000000-0005-0000-0000-0000A20D0000}"/>
    <cellStyle name="Normal 8 22" xfId="1628" xr:uid="{00000000-0005-0000-0000-0000A30D0000}"/>
    <cellStyle name="Normal 8 23" xfId="1629" xr:uid="{00000000-0005-0000-0000-0000A40D0000}"/>
    <cellStyle name="Normal 8 3" xfId="413" xr:uid="{00000000-0005-0000-0000-0000A50D0000}"/>
    <cellStyle name="Normal 8 3 2" xfId="1630" xr:uid="{00000000-0005-0000-0000-0000A60D0000}"/>
    <cellStyle name="Normal 8 4" xfId="1631" xr:uid="{00000000-0005-0000-0000-0000A70D0000}"/>
    <cellStyle name="Normal 8 5" xfId="1632" xr:uid="{00000000-0005-0000-0000-0000A80D0000}"/>
    <cellStyle name="Normal 8 6" xfId="1633" xr:uid="{00000000-0005-0000-0000-0000A90D0000}"/>
    <cellStyle name="Normal 8 7" xfId="1634" xr:uid="{00000000-0005-0000-0000-0000AA0D0000}"/>
    <cellStyle name="Normal 8 8" xfId="1635" xr:uid="{00000000-0005-0000-0000-0000AB0D0000}"/>
    <cellStyle name="Normal 8 9" xfId="1636" xr:uid="{00000000-0005-0000-0000-0000AC0D0000}"/>
    <cellStyle name="Normal 80" xfId="415" xr:uid="{00000000-0005-0000-0000-0000AD0D0000}"/>
    <cellStyle name="Normal 81" xfId="416" xr:uid="{00000000-0005-0000-0000-0000AE0D0000}"/>
    <cellStyle name="Normal 82" xfId="417" xr:uid="{00000000-0005-0000-0000-0000AF0D0000}"/>
    <cellStyle name="Normal 83" xfId="418" xr:uid="{00000000-0005-0000-0000-0000B00D0000}"/>
    <cellStyle name="Normal 84" xfId="419" xr:uid="{00000000-0005-0000-0000-0000B10D0000}"/>
    <cellStyle name="Normal 85" xfId="420" xr:uid="{00000000-0005-0000-0000-0000B20D0000}"/>
    <cellStyle name="Normal 85 2" xfId="1642" xr:uid="{00000000-0005-0000-0000-0000B30D0000}"/>
    <cellStyle name="Normal 86" xfId="421" xr:uid="{00000000-0005-0000-0000-0000B40D0000}"/>
    <cellStyle name="Normal 87" xfId="422" xr:uid="{00000000-0005-0000-0000-0000B50D0000}"/>
    <cellStyle name="Normal 88" xfId="423" xr:uid="{00000000-0005-0000-0000-0000B60D0000}"/>
    <cellStyle name="Normal 88 2" xfId="424" xr:uid="{00000000-0005-0000-0000-0000B70D0000}"/>
    <cellStyle name="Normal 89" xfId="260" xr:uid="{00000000-0005-0000-0000-0000B80D0000}"/>
    <cellStyle name="Normal 89 2" xfId="1647" xr:uid="{00000000-0005-0000-0000-0000B90D0000}"/>
    <cellStyle name="Normal 9" xfId="173" xr:uid="{00000000-0005-0000-0000-0000BA0D0000}"/>
    <cellStyle name="Normal 9 2" xfId="251" xr:uid="{00000000-0005-0000-0000-0000BB0D0000}"/>
    <cellStyle name="Normal 9 3" xfId="250" xr:uid="{00000000-0005-0000-0000-0000BC0D0000}"/>
    <cellStyle name="Normal 90" xfId="436" xr:uid="{00000000-0005-0000-0000-0000BD0D0000}"/>
    <cellStyle name="Normal 90 2" xfId="1649" xr:uid="{00000000-0005-0000-0000-0000BE0D0000}"/>
    <cellStyle name="Normal 91" xfId="437" xr:uid="{00000000-0005-0000-0000-0000BF0D0000}"/>
    <cellStyle name="Normal 91 2" xfId="1650" xr:uid="{00000000-0005-0000-0000-0000C00D0000}"/>
    <cellStyle name="Normal 92" xfId="438" xr:uid="{00000000-0005-0000-0000-0000C10D0000}"/>
    <cellStyle name="Normal 92 2" xfId="1651" xr:uid="{00000000-0005-0000-0000-0000C20D0000}"/>
    <cellStyle name="Normal 93" xfId="439" xr:uid="{00000000-0005-0000-0000-0000C30D0000}"/>
    <cellStyle name="Normal 93 2" xfId="1652" xr:uid="{00000000-0005-0000-0000-0000C40D0000}"/>
    <cellStyle name="Normal 94" xfId="1653" xr:uid="{00000000-0005-0000-0000-0000C50D0000}"/>
    <cellStyle name="Normal 95" xfId="1654" xr:uid="{00000000-0005-0000-0000-0000C60D0000}"/>
    <cellStyle name="Normal 96" xfId="1655" xr:uid="{00000000-0005-0000-0000-0000C70D0000}"/>
    <cellStyle name="Normal 96 2" xfId="1656" xr:uid="{00000000-0005-0000-0000-0000C80D0000}"/>
    <cellStyle name="Normal 97" xfId="1657" xr:uid="{00000000-0005-0000-0000-0000C90D0000}"/>
    <cellStyle name="Normal 98" xfId="1658" xr:uid="{00000000-0005-0000-0000-0000CA0D0000}"/>
    <cellStyle name="Normal 99" xfId="1659" xr:uid="{00000000-0005-0000-0000-0000CB0D0000}"/>
    <cellStyle name="Note 10" xfId="3671" xr:uid="{00000000-0005-0000-0000-0000CC0D0000}"/>
    <cellStyle name="Note 11" xfId="3672" xr:uid="{00000000-0005-0000-0000-0000CD0D0000}"/>
    <cellStyle name="Note 12" xfId="3673" xr:uid="{00000000-0005-0000-0000-0000CE0D0000}"/>
    <cellStyle name="Note 13" xfId="3674" xr:uid="{00000000-0005-0000-0000-0000CF0D0000}"/>
    <cellStyle name="Note 14" xfId="3675" xr:uid="{00000000-0005-0000-0000-0000D00D0000}"/>
    <cellStyle name="Note 15" xfId="3676" xr:uid="{00000000-0005-0000-0000-0000D10D0000}"/>
    <cellStyle name="Note 16" xfId="133" xr:uid="{00000000-0005-0000-0000-0000D20D0000}"/>
    <cellStyle name="Note 2" xfId="134" xr:uid="{00000000-0005-0000-0000-0000D30D0000}"/>
    <cellStyle name="Note 2 10" xfId="3678" xr:uid="{00000000-0005-0000-0000-0000D40D0000}"/>
    <cellStyle name="Note 2 11" xfId="3679" xr:uid="{00000000-0005-0000-0000-0000D50D0000}"/>
    <cellStyle name="Note 2 12" xfId="3677" xr:uid="{00000000-0005-0000-0000-0000D60D0000}"/>
    <cellStyle name="Note 2 2" xfId="1662" xr:uid="{00000000-0005-0000-0000-0000D70D0000}"/>
    <cellStyle name="Note 2 2 2" xfId="3680" xr:uid="{00000000-0005-0000-0000-0000D80D0000}"/>
    <cellStyle name="Note 2 3" xfId="3681" xr:uid="{00000000-0005-0000-0000-0000D90D0000}"/>
    <cellStyle name="Note 2 4" xfId="3682" xr:uid="{00000000-0005-0000-0000-0000DA0D0000}"/>
    <cellStyle name="Note 2 5" xfId="3683" xr:uid="{00000000-0005-0000-0000-0000DB0D0000}"/>
    <cellStyle name="Note 2 6" xfId="3684" xr:uid="{00000000-0005-0000-0000-0000DC0D0000}"/>
    <cellStyle name="Note 2 7" xfId="3685" xr:uid="{00000000-0005-0000-0000-0000DD0D0000}"/>
    <cellStyle name="Note 2 8" xfId="3686" xr:uid="{00000000-0005-0000-0000-0000DE0D0000}"/>
    <cellStyle name="Note 2 9" xfId="3687" xr:uid="{00000000-0005-0000-0000-0000DF0D0000}"/>
    <cellStyle name="Note 3" xfId="135" xr:uid="{00000000-0005-0000-0000-0000E00D0000}"/>
    <cellStyle name="Note 3 10" xfId="3689" xr:uid="{00000000-0005-0000-0000-0000E10D0000}"/>
    <cellStyle name="Note 3 11" xfId="3690" xr:uid="{00000000-0005-0000-0000-0000E20D0000}"/>
    <cellStyle name="Note 3 12" xfId="3688" xr:uid="{00000000-0005-0000-0000-0000E30D0000}"/>
    <cellStyle name="Note 3 2" xfId="3691" xr:uid="{00000000-0005-0000-0000-0000E40D0000}"/>
    <cellStyle name="Note 3 3" xfId="3692" xr:uid="{00000000-0005-0000-0000-0000E50D0000}"/>
    <cellStyle name="Note 3 4" xfId="3693" xr:uid="{00000000-0005-0000-0000-0000E60D0000}"/>
    <cellStyle name="Note 3 5" xfId="3694" xr:uid="{00000000-0005-0000-0000-0000E70D0000}"/>
    <cellStyle name="Note 3 6" xfId="3695" xr:uid="{00000000-0005-0000-0000-0000E80D0000}"/>
    <cellStyle name="Note 3 7" xfId="3696" xr:uid="{00000000-0005-0000-0000-0000E90D0000}"/>
    <cellStyle name="Note 3 8" xfId="3697" xr:uid="{00000000-0005-0000-0000-0000EA0D0000}"/>
    <cellStyle name="Note 3 9" xfId="3698" xr:uid="{00000000-0005-0000-0000-0000EB0D0000}"/>
    <cellStyle name="Note 4" xfId="1664" xr:uid="{00000000-0005-0000-0000-0000EC0D0000}"/>
    <cellStyle name="Note 4 10" xfId="3700" xr:uid="{00000000-0005-0000-0000-0000ED0D0000}"/>
    <cellStyle name="Note 4 11" xfId="3701" xr:uid="{00000000-0005-0000-0000-0000EE0D0000}"/>
    <cellStyle name="Note 4 12" xfId="3699" xr:uid="{00000000-0005-0000-0000-0000EF0D0000}"/>
    <cellStyle name="Note 4 2" xfId="3702" xr:uid="{00000000-0005-0000-0000-0000F00D0000}"/>
    <cellStyle name="Note 4 3" xfId="3703" xr:uid="{00000000-0005-0000-0000-0000F10D0000}"/>
    <cellStyle name="Note 4 4" xfId="3704" xr:uid="{00000000-0005-0000-0000-0000F20D0000}"/>
    <cellStyle name="Note 4 5" xfId="3705" xr:uid="{00000000-0005-0000-0000-0000F30D0000}"/>
    <cellStyle name="Note 4 6" xfId="3706" xr:uid="{00000000-0005-0000-0000-0000F40D0000}"/>
    <cellStyle name="Note 4 7" xfId="3707" xr:uid="{00000000-0005-0000-0000-0000F50D0000}"/>
    <cellStyle name="Note 4 8" xfId="3708" xr:uid="{00000000-0005-0000-0000-0000F60D0000}"/>
    <cellStyle name="Note 4 9" xfId="3709" xr:uid="{00000000-0005-0000-0000-0000F70D0000}"/>
    <cellStyle name="Note 5" xfId="3710" xr:uid="{00000000-0005-0000-0000-0000F80D0000}"/>
    <cellStyle name="Note 5 10" xfId="3711" xr:uid="{00000000-0005-0000-0000-0000F90D0000}"/>
    <cellStyle name="Note 5 11" xfId="3712" xr:uid="{00000000-0005-0000-0000-0000FA0D0000}"/>
    <cellStyle name="Note 5 2" xfId="3713" xr:uid="{00000000-0005-0000-0000-0000FB0D0000}"/>
    <cellStyle name="Note 5 3" xfId="3714" xr:uid="{00000000-0005-0000-0000-0000FC0D0000}"/>
    <cellStyle name="Note 5 4" xfId="3715" xr:uid="{00000000-0005-0000-0000-0000FD0D0000}"/>
    <cellStyle name="Note 5 5" xfId="3716" xr:uid="{00000000-0005-0000-0000-0000FE0D0000}"/>
    <cellStyle name="Note 5 6" xfId="3717" xr:uid="{00000000-0005-0000-0000-0000FF0D0000}"/>
    <cellStyle name="Note 5 7" xfId="3718" xr:uid="{00000000-0005-0000-0000-0000000E0000}"/>
    <cellStyle name="Note 5 8" xfId="3719" xr:uid="{00000000-0005-0000-0000-0000010E0000}"/>
    <cellStyle name="Note 5 9" xfId="3720" xr:uid="{00000000-0005-0000-0000-0000020E0000}"/>
    <cellStyle name="Note 6" xfId="3721" xr:uid="{00000000-0005-0000-0000-0000030E0000}"/>
    <cellStyle name="Note 7" xfId="3722" xr:uid="{00000000-0005-0000-0000-0000040E0000}"/>
    <cellStyle name="Note 8" xfId="3723" xr:uid="{00000000-0005-0000-0000-0000050E0000}"/>
    <cellStyle name="Note 9" xfId="3724" xr:uid="{00000000-0005-0000-0000-0000060E0000}"/>
    <cellStyle name="Output 10" xfId="3725" xr:uid="{00000000-0005-0000-0000-0000070E0000}"/>
    <cellStyle name="Output 11" xfId="3726" xr:uid="{00000000-0005-0000-0000-0000080E0000}"/>
    <cellStyle name="Output 12" xfId="3727" xr:uid="{00000000-0005-0000-0000-0000090E0000}"/>
    <cellStyle name="Output 13" xfId="3728" xr:uid="{00000000-0005-0000-0000-00000A0E0000}"/>
    <cellStyle name="Output 14" xfId="3729" xr:uid="{00000000-0005-0000-0000-00000B0E0000}"/>
    <cellStyle name="Output 15" xfId="3730" xr:uid="{00000000-0005-0000-0000-00000C0E0000}"/>
    <cellStyle name="Output 16" xfId="136" xr:uid="{00000000-0005-0000-0000-00000D0E0000}"/>
    <cellStyle name="Output 2" xfId="137" xr:uid="{00000000-0005-0000-0000-00000E0E0000}"/>
    <cellStyle name="Output 2 10" xfId="3732" xr:uid="{00000000-0005-0000-0000-00000F0E0000}"/>
    <cellStyle name="Output 2 11" xfId="3733" xr:uid="{00000000-0005-0000-0000-0000100E0000}"/>
    <cellStyle name="Output 2 12" xfId="3731" xr:uid="{00000000-0005-0000-0000-0000110E0000}"/>
    <cellStyle name="Output 2 2" xfId="1665" xr:uid="{00000000-0005-0000-0000-0000120E0000}"/>
    <cellStyle name="Output 2 2 2" xfId="3734" xr:uid="{00000000-0005-0000-0000-0000130E0000}"/>
    <cellStyle name="Output 2 3" xfId="3735" xr:uid="{00000000-0005-0000-0000-0000140E0000}"/>
    <cellStyle name="Output 2 4" xfId="3736" xr:uid="{00000000-0005-0000-0000-0000150E0000}"/>
    <cellStyle name="Output 2 5" xfId="3737" xr:uid="{00000000-0005-0000-0000-0000160E0000}"/>
    <cellStyle name="Output 2 6" xfId="3738" xr:uid="{00000000-0005-0000-0000-0000170E0000}"/>
    <cellStyle name="Output 2 7" xfId="3739" xr:uid="{00000000-0005-0000-0000-0000180E0000}"/>
    <cellStyle name="Output 2 8" xfId="3740" xr:uid="{00000000-0005-0000-0000-0000190E0000}"/>
    <cellStyle name="Output 2 9" xfId="3741" xr:uid="{00000000-0005-0000-0000-00001A0E0000}"/>
    <cellStyle name="Output 3" xfId="138" xr:uid="{00000000-0005-0000-0000-00001B0E0000}"/>
    <cellStyle name="Output 3 10" xfId="3743" xr:uid="{00000000-0005-0000-0000-00001C0E0000}"/>
    <cellStyle name="Output 3 11" xfId="3744" xr:uid="{00000000-0005-0000-0000-00001D0E0000}"/>
    <cellStyle name="Output 3 12" xfId="3742" xr:uid="{00000000-0005-0000-0000-00001E0E0000}"/>
    <cellStyle name="Output 3 2" xfId="3745" xr:uid="{00000000-0005-0000-0000-00001F0E0000}"/>
    <cellStyle name="Output 3 3" xfId="3746" xr:uid="{00000000-0005-0000-0000-0000200E0000}"/>
    <cellStyle name="Output 3 4" xfId="3747" xr:uid="{00000000-0005-0000-0000-0000210E0000}"/>
    <cellStyle name="Output 3 5" xfId="3748" xr:uid="{00000000-0005-0000-0000-0000220E0000}"/>
    <cellStyle name="Output 3 6" xfId="3749" xr:uid="{00000000-0005-0000-0000-0000230E0000}"/>
    <cellStyle name="Output 3 7" xfId="3750" xr:uid="{00000000-0005-0000-0000-0000240E0000}"/>
    <cellStyle name="Output 3 8" xfId="3751" xr:uid="{00000000-0005-0000-0000-0000250E0000}"/>
    <cellStyle name="Output 3 9" xfId="3752" xr:uid="{00000000-0005-0000-0000-0000260E0000}"/>
    <cellStyle name="Output 4" xfId="1667" xr:uid="{00000000-0005-0000-0000-0000270E0000}"/>
    <cellStyle name="Output 4 10" xfId="3754" xr:uid="{00000000-0005-0000-0000-0000280E0000}"/>
    <cellStyle name="Output 4 11" xfId="3755" xr:uid="{00000000-0005-0000-0000-0000290E0000}"/>
    <cellStyle name="Output 4 12" xfId="3753" xr:uid="{00000000-0005-0000-0000-00002A0E0000}"/>
    <cellStyle name="Output 4 2" xfId="3756" xr:uid="{00000000-0005-0000-0000-00002B0E0000}"/>
    <cellStyle name="Output 4 3" xfId="3757" xr:uid="{00000000-0005-0000-0000-00002C0E0000}"/>
    <cellStyle name="Output 4 4" xfId="3758" xr:uid="{00000000-0005-0000-0000-00002D0E0000}"/>
    <cellStyle name="Output 4 5" xfId="3759" xr:uid="{00000000-0005-0000-0000-00002E0E0000}"/>
    <cellStyle name="Output 4 6" xfId="3760" xr:uid="{00000000-0005-0000-0000-00002F0E0000}"/>
    <cellStyle name="Output 4 7" xfId="3761" xr:uid="{00000000-0005-0000-0000-0000300E0000}"/>
    <cellStyle name="Output 4 8" xfId="3762" xr:uid="{00000000-0005-0000-0000-0000310E0000}"/>
    <cellStyle name="Output 4 9" xfId="3763" xr:uid="{00000000-0005-0000-0000-0000320E0000}"/>
    <cellStyle name="Output 5" xfId="3764" xr:uid="{00000000-0005-0000-0000-0000330E0000}"/>
    <cellStyle name="Output 5 10" xfId="3765" xr:uid="{00000000-0005-0000-0000-0000340E0000}"/>
    <cellStyle name="Output 5 11" xfId="3766" xr:uid="{00000000-0005-0000-0000-0000350E0000}"/>
    <cellStyle name="Output 5 2" xfId="3767" xr:uid="{00000000-0005-0000-0000-0000360E0000}"/>
    <cellStyle name="Output 5 3" xfId="3768" xr:uid="{00000000-0005-0000-0000-0000370E0000}"/>
    <cellStyle name="Output 5 4" xfId="3769" xr:uid="{00000000-0005-0000-0000-0000380E0000}"/>
    <cellStyle name="Output 5 5" xfId="3770" xr:uid="{00000000-0005-0000-0000-0000390E0000}"/>
    <cellStyle name="Output 5 6" xfId="3771" xr:uid="{00000000-0005-0000-0000-00003A0E0000}"/>
    <cellStyle name="Output 5 7" xfId="3772" xr:uid="{00000000-0005-0000-0000-00003B0E0000}"/>
    <cellStyle name="Output 5 8" xfId="3773" xr:uid="{00000000-0005-0000-0000-00003C0E0000}"/>
    <cellStyle name="Output 5 9" xfId="3774" xr:uid="{00000000-0005-0000-0000-00003D0E0000}"/>
    <cellStyle name="Output 6" xfId="3775" xr:uid="{00000000-0005-0000-0000-00003E0E0000}"/>
    <cellStyle name="Output 7" xfId="3776" xr:uid="{00000000-0005-0000-0000-00003F0E0000}"/>
    <cellStyle name="Output 8" xfId="3777" xr:uid="{00000000-0005-0000-0000-0000400E0000}"/>
    <cellStyle name="Output 9" xfId="3778" xr:uid="{00000000-0005-0000-0000-0000410E0000}"/>
    <cellStyle name="PATHEnvVariable֌_x0008_e4" xfId="3779" xr:uid="{00000000-0005-0000-0000-0000420E0000}"/>
    <cellStyle name="Percent" xfId="2" builtinId="5"/>
    <cellStyle name="Percent [2]" xfId="425" xr:uid="{00000000-0005-0000-0000-0000440E0000}"/>
    <cellStyle name="Percent 2" xfId="171" xr:uid="{00000000-0005-0000-0000-0000450E0000}"/>
    <cellStyle name="Percent 2 2" xfId="252" xr:uid="{00000000-0005-0000-0000-0000460E0000}"/>
    <cellStyle name="Percent 2 2 2" xfId="1671" xr:uid="{00000000-0005-0000-0000-0000470E0000}"/>
    <cellStyle name="Percent 2 2 3" xfId="3780" xr:uid="{00000000-0005-0000-0000-0000480E0000}"/>
    <cellStyle name="Percent 2 3" xfId="426" xr:uid="{00000000-0005-0000-0000-0000490E0000}"/>
    <cellStyle name="Percent 3" xfId="253" xr:uid="{00000000-0005-0000-0000-00004A0E0000}"/>
    <cellStyle name="Percent 3 2" xfId="428" xr:uid="{00000000-0005-0000-0000-00004B0E0000}"/>
    <cellStyle name="Percent 3 3" xfId="427" xr:uid="{00000000-0005-0000-0000-00004C0E0000}"/>
    <cellStyle name="Percent 3 3 2" xfId="1674" xr:uid="{00000000-0005-0000-0000-00004D0E0000}"/>
    <cellStyle name="Percent 3 4" xfId="3781" xr:uid="{00000000-0005-0000-0000-00004E0E0000}"/>
    <cellStyle name="Percent 4" xfId="254" xr:uid="{00000000-0005-0000-0000-00004F0E0000}"/>
    <cellStyle name="Percent 4 2" xfId="429" xr:uid="{00000000-0005-0000-0000-0000500E0000}"/>
    <cellStyle name="Percent 4 3" xfId="1675" xr:uid="{00000000-0005-0000-0000-0000510E0000}"/>
    <cellStyle name="Percent 4 4" xfId="3782" xr:uid="{00000000-0005-0000-0000-0000520E0000}"/>
    <cellStyle name="Percent 5" xfId="255" xr:uid="{00000000-0005-0000-0000-0000530E0000}"/>
    <cellStyle name="Percent 5 2" xfId="1676" xr:uid="{00000000-0005-0000-0000-0000540E0000}"/>
    <cellStyle name="Percent 6" xfId="1677" xr:uid="{00000000-0005-0000-0000-0000550E0000}"/>
    <cellStyle name="Percent 6 2" xfId="3783" xr:uid="{00000000-0005-0000-0000-0000560E0000}"/>
    <cellStyle name="Percent 7" xfId="1668" xr:uid="{00000000-0005-0000-0000-0000570E0000}"/>
    <cellStyle name="Percent 8" xfId="2818" xr:uid="{00000000-0005-0000-0000-0000580E0000}"/>
    <cellStyle name="PERCENTAGE" xfId="430" xr:uid="{00000000-0005-0000-0000-0000590E0000}"/>
    <cellStyle name="ProjectPDP" xfId="3784" xr:uid="{00000000-0005-0000-0000-00005A0E0000}"/>
    <cellStyle name="Quantity" xfId="431" xr:uid="{00000000-0005-0000-0000-00005B0E0000}"/>
    <cellStyle name="report" xfId="3785" xr:uid="{00000000-0005-0000-0000-00005C0E0000}"/>
    <cellStyle name="SAPBEXaggData" xfId="139" xr:uid="{00000000-0005-0000-0000-00005D0E0000}"/>
    <cellStyle name="SAPBEXaggData 2" xfId="175" xr:uid="{00000000-0005-0000-0000-00005E0E0000}"/>
    <cellStyle name="SAPBEXaggData 2 2" xfId="1681" xr:uid="{00000000-0005-0000-0000-00005F0E0000}"/>
    <cellStyle name="SAPBEXaggDataEmph" xfId="176" xr:uid="{00000000-0005-0000-0000-0000600E0000}"/>
    <cellStyle name="SAPBEXaggDataEmph 2" xfId="1683" xr:uid="{00000000-0005-0000-0000-0000610E0000}"/>
    <cellStyle name="SAPBEXaggDataEmph 3" xfId="1682" xr:uid="{00000000-0005-0000-0000-0000620E0000}"/>
    <cellStyle name="SAPBEXaggItem" xfId="140" xr:uid="{00000000-0005-0000-0000-0000630E0000}"/>
    <cellStyle name="SAPBEXaggItem 2" xfId="177" xr:uid="{00000000-0005-0000-0000-0000640E0000}"/>
    <cellStyle name="SAPBEXaggItem 3" xfId="1686" xr:uid="{00000000-0005-0000-0000-0000650E0000}"/>
    <cellStyle name="SAPBEXaggItemX" xfId="178" xr:uid="{00000000-0005-0000-0000-0000660E0000}"/>
    <cellStyle name="SAPBEXaggItemX 2" xfId="1688" xr:uid="{00000000-0005-0000-0000-0000670E0000}"/>
    <cellStyle name="SAPBEXaggItemX 3" xfId="1687" xr:uid="{00000000-0005-0000-0000-0000680E0000}"/>
    <cellStyle name="SAPBEXchaText" xfId="141" xr:uid="{00000000-0005-0000-0000-0000690E0000}"/>
    <cellStyle name="SAPBEXchaText 2" xfId="179" xr:uid="{00000000-0005-0000-0000-00006A0E0000}"/>
    <cellStyle name="SAPBEXchaText 3" xfId="1691" xr:uid="{00000000-0005-0000-0000-00006B0E0000}"/>
    <cellStyle name="SAPBEXchaText 3 2" xfId="3786" xr:uid="{00000000-0005-0000-0000-00006C0E0000}"/>
    <cellStyle name="SAPBEXchaText 4" xfId="3787" xr:uid="{00000000-0005-0000-0000-00006D0E0000}"/>
    <cellStyle name="SAPBEXchaText 5" xfId="3788" xr:uid="{00000000-0005-0000-0000-00006E0E0000}"/>
    <cellStyle name="SAPBEXchaText 6" xfId="3789" xr:uid="{00000000-0005-0000-0000-00006F0E0000}"/>
    <cellStyle name="SAPBEXchaText 7" xfId="3790" xr:uid="{00000000-0005-0000-0000-0000700E0000}"/>
    <cellStyle name="SAPBEXchaText 8" xfId="3791" xr:uid="{00000000-0005-0000-0000-0000710E0000}"/>
    <cellStyle name="SAPBEXexcBad7" xfId="180" xr:uid="{00000000-0005-0000-0000-0000720E0000}"/>
    <cellStyle name="SAPBEXexcBad7 2" xfId="1693" xr:uid="{00000000-0005-0000-0000-0000730E0000}"/>
    <cellStyle name="SAPBEXexcBad7 3" xfId="1692" xr:uid="{00000000-0005-0000-0000-0000740E0000}"/>
    <cellStyle name="SAPBEXexcBad8" xfId="181" xr:uid="{00000000-0005-0000-0000-0000750E0000}"/>
    <cellStyle name="SAPBEXexcBad8 2" xfId="1695" xr:uid="{00000000-0005-0000-0000-0000760E0000}"/>
    <cellStyle name="SAPBEXexcBad8 3" xfId="1694" xr:uid="{00000000-0005-0000-0000-0000770E0000}"/>
    <cellStyle name="SAPBEXexcBad9" xfId="182" xr:uid="{00000000-0005-0000-0000-0000780E0000}"/>
    <cellStyle name="SAPBEXexcBad9 2" xfId="1697" xr:uid="{00000000-0005-0000-0000-0000790E0000}"/>
    <cellStyle name="SAPBEXexcBad9 3" xfId="1696" xr:uid="{00000000-0005-0000-0000-00007A0E0000}"/>
    <cellStyle name="SAPBEXexcCritical4" xfId="183" xr:uid="{00000000-0005-0000-0000-00007B0E0000}"/>
    <cellStyle name="SAPBEXexcCritical4 2" xfId="1699" xr:uid="{00000000-0005-0000-0000-00007C0E0000}"/>
    <cellStyle name="SAPBEXexcCritical4 3" xfId="1698" xr:uid="{00000000-0005-0000-0000-00007D0E0000}"/>
    <cellStyle name="SAPBEXexcCritical5" xfId="184" xr:uid="{00000000-0005-0000-0000-00007E0E0000}"/>
    <cellStyle name="SAPBEXexcCritical5 2" xfId="1701" xr:uid="{00000000-0005-0000-0000-00007F0E0000}"/>
    <cellStyle name="SAPBEXexcCritical5 3" xfId="1700" xr:uid="{00000000-0005-0000-0000-0000800E0000}"/>
    <cellStyle name="SAPBEXexcCritical6" xfId="185" xr:uid="{00000000-0005-0000-0000-0000810E0000}"/>
    <cellStyle name="SAPBEXexcCritical6 2" xfId="1703" xr:uid="{00000000-0005-0000-0000-0000820E0000}"/>
    <cellStyle name="SAPBEXexcCritical6 3" xfId="1702" xr:uid="{00000000-0005-0000-0000-0000830E0000}"/>
    <cellStyle name="SAPBEXexcGood1" xfId="186" xr:uid="{00000000-0005-0000-0000-0000840E0000}"/>
    <cellStyle name="SAPBEXexcGood1 2" xfId="1705" xr:uid="{00000000-0005-0000-0000-0000850E0000}"/>
    <cellStyle name="SAPBEXexcGood1 3" xfId="1704" xr:uid="{00000000-0005-0000-0000-0000860E0000}"/>
    <cellStyle name="SAPBEXexcGood2" xfId="187" xr:uid="{00000000-0005-0000-0000-0000870E0000}"/>
    <cellStyle name="SAPBEXexcGood2 2" xfId="1707" xr:uid="{00000000-0005-0000-0000-0000880E0000}"/>
    <cellStyle name="SAPBEXexcGood2 3" xfId="1706" xr:uid="{00000000-0005-0000-0000-0000890E0000}"/>
    <cellStyle name="SAPBEXexcGood3" xfId="188" xr:uid="{00000000-0005-0000-0000-00008A0E0000}"/>
    <cellStyle name="SAPBEXexcGood3 2" xfId="1709" xr:uid="{00000000-0005-0000-0000-00008B0E0000}"/>
    <cellStyle name="SAPBEXexcGood3 3" xfId="1708" xr:uid="{00000000-0005-0000-0000-00008C0E0000}"/>
    <cellStyle name="SAPBEXfilterDrill" xfId="189" xr:uid="{00000000-0005-0000-0000-00008D0E0000}"/>
    <cellStyle name="SAPBEXfilterDrill 2" xfId="1711" xr:uid="{00000000-0005-0000-0000-00008E0E0000}"/>
    <cellStyle name="SAPBEXfilterDrill 3" xfId="1710" xr:uid="{00000000-0005-0000-0000-00008F0E0000}"/>
    <cellStyle name="SAPBEXfilterItem" xfId="190" xr:uid="{00000000-0005-0000-0000-0000900E0000}"/>
    <cellStyle name="SAPBEXfilterItem 2" xfId="1713" xr:uid="{00000000-0005-0000-0000-0000910E0000}"/>
    <cellStyle name="SAPBEXfilterItem 3" xfId="1712" xr:uid="{00000000-0005-0000-0000-0000920E0000}"/>
    <cellStyle name="SAPBEXfilterText" xfId="191" xr:uid="{00000000-0005-0000-0000-0000930E0000}"/>
    <cellStyle name="SAPBEXfilterText 2" xfId="1715" xr:uid="{00000000-0005-0000-0000-0000940E0000}"/>
    <cellStyle name="SAPBEXfilterText 2 2" xfId="3792" xr:uid="{00000000-0005-0000-0000-0000950E0000}"/>
    <cellStyle name="SAPBEXfilterText 3" xfId="3793" xr:uid="{00000000-0005-0000-0000-0000960E0000}"/>
    <cellStyle name="SAPBEXfilterText 4" xfId="3794" xr:uid="{00000000-0005-0000-0000-0000970E0000}"/>
    <cellStyle name="SAPBEXformats" xfId="142" xr:uid="{00000000-0005-0000-0000-0000980E0000}"/>
    <cellStyle name="SAPBEXformats 2" xfId="192" xr:uid="{00000000-0005-0000-0000-0000990E0000}"/>
    <cellStyle name="SAPBEXformats 2 2" xfId="1717" xr:uid="{00000000-0005-0000-0000-00009A0E0000}"/>
    <cellStyle name="SAPBEXformats 3" xfId="3795" xr:uid="{00000000-0005-0000-0000-00009B0E0000}"/>
    <cellStyle name="SAPBEXformats 4" xfId="3796" xr:uid="{00000000-0005-0000-0000-00009C0E0000}"/>
    <cellStyle name="SAPBEXformats 5" xfId="3797" xr:uid="{00000000-0005-0000-0000-00009D0E0000}"/>
    <cellStyle name="SAPBEXformats 6" xfId="3798" xr:uid="{00000000-0005-0000-0000-00009E0E0000}"/>
    <cellStyle name="SAPBEXformats 7" xfId="3799" xr:uid="{00000000-0005-0000-0000-00009F0E0000}"/>
    <cellStyle name="SAPBEXformats 8" xfId="3800" xr:uid="{00000000-0005-0000-0000-0000A00E0000}"/>
    <cellStyle name="SAPBEXheaderItem" xfId="193" xr:uid="{00000000-0005-0000-0000-0000A10E0000}"/>
    <cellStyle name="SAPBEXheaderItem 2" xfId="1719" xr:uid="{00000000-0005-0000-0000-0000A20E0000}"/>
    <cellStyle name="SAPBEXheaderItem 2 2" xfId="3801" xr:uid="{00000000-0005-0000-0000-0000A30E0000}"/>
    <cellStyle name="SAPBEXheaderItem 3" xfId="1718" xr:uid="{00000000-0005-0000-0000-0000A40E0000}"/>
    <cellStyle name="SAPBEXheaderItem 3 2" xfId="3802" xr:uid="{00000000-0005-0000-0000-0000A50E0000}"/>
    <cellStyle name="SAPBEXheaderItem 4" xfId="3803" xr:uid="{00000000-0005-0000-0000-0000A60E0000}"/>
    <cellStyle name="SAPBEXheaderItem 5" xfId="3804" xr:uid="{00000000-0005-0000-0000-0000A70E0000}"/>
    <cellStyle name="SAPBEXheaderItem 6" xfId="3805" xr:uid="{00000000-0005-0000-0000-0000A80E0000}"/>
    <cellStyle name="SAPBEXheaderItem 7" xfId="3806" xr:uid="{00000000-0005-0000-0000-0000A90E0000}"/>
    <cellStyle name="SAPBEXheaderItem 8" xfId="3807" xr:uid="{00000000-0005-0000-0000-0000AA0E0000}"/>
    <cellStyle name="SAPBEXheaderText" xfId="194" xr:uid="{00000000-0005-0000-0000-0000AB0E0000}"/>
    <cellStyle name="SAPBEXheaderText 2" xfId="1721" xr:uid="{00000000-0005-0000-0000-0000AC0E0000}"/>
    <cellStyle name="SAPBEXheaderText 2 2" xfId="3808" xr:uid="{00000000-0005-0000-0000-0000AD0E0000}"/>
    <cellStyle name="SAPBEXheaderText 3" xfId="1720" xr:uid="{00000000-0005-0000-0000-0000AE0E0000}"/>
    <cellStyle name="SAPBEXheaderText 3 2" xfId="3809" xr:uid="{00000000-0005-0000-0000-0000AF0E0000}"/>
    <cellStyle name="SAPBEXheaderText 4" xfId="3810" xr:uid="{00000000-0005-0000-0000-0000B00E0000}"/>
    <cellStyle name="SAPBEXheaderText 5" xfId="3811" xr:uid="{00000000-0005-0000-0000-0000B10E0000}"/>
    <cellStyle name="SAPBEXheaderText 6" xfId="3812" xr:uid="{00000000-0005-0000-0000-0000B20E0000}"/>
    <cellStyle name="SAPBEXheaderText 7" xfId="3813" xr:uid="{00000000-0005-0000-0000-0000B30E0000}"/>
    <cellStyle name="SAPBEXheaderText 8" xfId="3814" xr:uid="{00000000-0005-0000-0000-0000B40E0000}"/>
    <cellStyle name="SAPBEXHLevel0" xfId="195" xr:uid="{00000000-0005-0000-0000-0000B50E0000}"/>
    <cellStyle name="SAPBEXHLevel0 2" xfId="1723" xr:uid="{00000000-0005-0000-0000-0000B60E0000}"/>
    <cellStyle name="SAPBEXHLevel0 2 2" xfId="3815" xr:uid="{00000000-0005-0000-0000-0000B70E0000}"/>
    <cellStyle name="SAPBEXHLevel0 3" xfId="1722" xr:uid="{00000000-0005-0000-0000-0000B80E0000}"/>
    <cellStyle name="SAPBEXHLevel0 3 2" xfId="3816" xr:uid="{00000000-0005-0000-0000-0000B90E0000}"/>
    <cellStyle name="SAPBEXHLevel0 4" xfId="3817" xr:uid="{00000000-0005-0000-0000-0000BA0E0000}"/>
    <cellStyle name="SAPBEXHLevel0 5" xfId="3818" xr:uid="{00000000-0005-0000-0000-0000BB0E0000}"/>
    <cellStyle name="SAPBEXHLevel0 6" xfId="3819" xr:uid="{00000000-0005-0000-0000-0000BC0E0000}"/>
    <cellStyle name="SAPBEXHLevel0 7" xfId="3820" xr:uid="{00000000-0005-0000-0000-0000BD0E0000}"/>
    <cellStyle name="SAPBEXHLevel0 8" xfId="3821" xr:uid="{00000000-0005-0000-0000-0000BE0E0000}"/>
    <cellStyle name="SAPBEXHLevel0X" xfId="196" xr:uid="{00000000-0005-0000-0000-0000BF0E0000}"/>
    <cellStyle name="SAPBEXHLevel0X 2" xfId="1725" xr:uid="{00000000-0005-0000-0000-0000C00E0000}"/>
    <cellStyle name="SAPBEXHLevel0X 2 2" xfId="3822" xr:uid="{00000000-0005-0000-0000-0000C10E0000}"/>
    <cellStyle name="SAPBEXHLevel0X 3" xfId="1724" xr:uid="{00000000-0005-0000-0000-0000C20E0000}"/>
    <cellStyle name="SAPBEXHLevel0X 3 2" xfId="3823" xr:uid="{00000000-0005-0000-0000-0000C30E0000}"/>
    <cellStyle name="SAPBEXHLevel0X 4" xfId="3824" xr:uid="{00000000-0005-0000-0000-0000C40E0000}"/>
    <cellStyle name="SAPBEXHLevel0X 5" xfId="3825" xr:uid="{00000000-0005-0000-0000-0000C50E0000}"/>
    <cellStyle name="SAPBEXHLevel0X 6" xfId="3826" xr:uid="{00000000-0005-0000-0000-0000C60E0000}"/>
    <cellStyle name="SAPBEXHLevel0X 7" xfId="3827" xr:uid="{00000000-0005-0000-0000-0000C70E0000}"/>
    <cellStyle name="SAPBEXHLevel0X 8" xfId="3828" xr:uid="{00000000-0005-0000-0000-0000C80E0000}"/>
    <cellStyle name="SAPBEXHLevel1" xfId="197" xr:uid="{00000000-0005-0000-0000-0000C90E0000}"/>
    <cellStyle name="SAPBEXHLevel1 2" xfId="1727" xr:uid="{00000000-0005-0000-0000-0000CA0E0000}"/>
    <cellStyle name="SAPBEXHLevel1 2 2" xfId="3829" xr:uid="{00000000-0005-0000-0000-0000CB0E0000}"/>
    <cellStyle name="SAPBEXHLevel1 3" xfId="1726" xr:uid="{00000000-0005-0000-0000-0000CC0E0000}"/>
    <cellStyle name="SAPBEXHLevel1 3 2" xfId="3830" xr:uid="{00000000-0005-0000-0000-0000CD0E0000}"/>
    <cellStyle name="SAPBEXHLevel1 4" xfId="3831" xr:uid="{00000000-0005-0000-0000-0000CE0E0000}"/>
    <cellStyle name="SAPBEXHLevel1 5" xfId="3832" xr:uid="{00000000-0005-0000-0000-0000CF0E0000}"/>
    <cellStyle name="SAPBEXHLevel1 6" xfId="3833" xr:uid="{00000000-0005-0000-0000-0000D00E0000}"/>
    <cellStyle name="SAPBEXHLevel1 7" xfId="3834" xr:uid="{00000000-0005-0000-0000-0000D10E0000}"/>
    <cellStyle name="SAPBEXHLevel1 8" xfId="3835" xr:uid="{00000000-0005-0000-0000-0000D20E0000}"/>
    <cellStyle name="SAPBEXHLevel1X" xfId="198" xr:uid="{00000000-0005-0000-0000-0000D30E0000}"/>
    <cellStyle name="SAPBEXHLevel1X 2" xfId="1729" xr:uid="{00000000-0005-0000-0000-0000D40E0000}"/>
    <cellStyle name="SAPBEXHLevel1X 2 2" xfId="3836" xr:uid="{00000000-0005-0000-0000-0000D50E0000}"/>
    <cellStyle name="SAPBEXHLevel1X 3" xfId="1728" xr:uid="{00000000-0005-0000-0000-0000D60E0000}"/>
    <cellStyle name="SAPBEXHLevel1X 3 2" xfId="3837" xr:uid="{00000000-0005-0000-0000-0000D70E0000}"/>
    <cellStyle name="SAPBEXHLevel1X 4" xfId="3838" xr:uid="{00000000-0005-0000-0000-0000D80E0000}"/>
    <cellStyle name="SAPBEXHLevel1X 5" xfId="3839" xr:uid="{00000000-0005-0000-0000-0000D90E0000}"/>
    <cellStyle name="SAPBEXHLevel1X 6" xfId="3840" xr:uid="{00000000-0005-0000-0000-0000DA0E0000}"/>
    <cellStyle name="SAPBEXHLevel1X 7" xfId="3841" xr:uid="{00000000-0005-0000-0000-0000DB0E0000}"/>
    <cellStyle name="SAPBEXHLevel1X 8" xfId="3842" xr:uid="{00000000-0005-0000-0000-0000DC0E0000}"/>
    <cellStyle name="SAPBEXHLevel2" xfId="199" xr:uid="{00000000-0005-0000-0000-0000DD0E0000}"/>
    <cellStyle name="SAPBEXHLevel2 2" xfId="1731" xr:uid="{00000000-0005-0000-0000-0000DE0E0000}"/>
    <cellStyle name="SAPBEXHLevel2 2 2" xfId="3843" xr:uid="{00000000-0005-0000-0000-0000DF0E0000}"/>
    <cellStyle name="SAPBEXHLevel2 3" xfId="1730" xr:uid="{00000000-0005-0000-0000-0000E00E0000}"/>
    <cellStyle name="SAPBEXHLevel2 3 2" xfId="3844" xr:uid="{00000000-0005-0000-0000-0000E10E0000}"/>
    <cellStyle name="SAPBEXHLevel2 4" xfId="3845" xr:uid="{00000000-0005-0000-0000-0000E20E0000}"/>
    <cellStyle name="SAPBEXHLevel2 5" xfId="3846" xr:uid="{00000000-0005-0000-0000-0000E30E0000}"/>
    <cellStyle name="SAPBEXHLevel2 6" xfId="3847" xr:uid="{00000000-0005-0000-0000-0000E40E0000}"/>
    <cellStyle name="SAPBEXHLevel2 7" xfId="3848" xr:uid="{00000000-0005-0000-0000-0000E50E0000}"/>
    <cellStyle name="SAPBEXHLevel2 8" xfId="3849" xr:uid="{00000000-0005-0000-0000-0000E60E0000}"/>
    <cellStyle name="SAPBEXHLevel2X" xfId="200" xr:uid="{00000000-0005-0000-0000-0000E70E0000}"/>
    <cellStyle name="SAPBEXHLevel2X 2" xfId="1733" xr:uid="{00000000-0005-0000-0000-0000E80E0000}"/>
    <cellStyle name="SAPBEXHLevel2X 2 2" xfId="3850" xr:uid="{00000000-0005-0000-0000-0000E90E0000}"/>
    <cellStyle name="SAPBEXHLevel2X 3" xfId="1732" xr:uid="{00000000-0005-0000-0000-0000EA0E0000}"/>
    <cellStyle name="SAPBEXHLevel2X 3 2" xfId="3851" xr:uid="{00000000-0005-0000-0000-0000EB0E0000}"/>
    <cellStyle name="SAPBEXHLevel2X 4" xfId="3852" xr:uid="{00000000-0005-0000-0000-0000EC0E0000}"/>
    <cellStyle name="SAPBEXHLevel2X 5" xfId="3853" xr:uid="{00000000-0005-0000-0000-0000ED0E0000}"/>
    <cellStyle name="SAPBEXHLevel2X 6" xfId="3854" xr:uid="{00000000-0005-0000-0000-0000EE0E0000}"/>
    <cellStyle name="SAPBEXHLevel2X 7" xfId="3855" xr:uid="{00000000-0005-0000-0000-0000EF0E0000}"/>
    <cellStyle name="SAPBEXHLevel2X 8" xfId="3856" xr:uid="{00000000-0005-0000-0000-0000F00E0000}"/>
    <cellStyle name="SAPBEXHLevel3" xfId="201" xr:uid="{00000000-0005-0000-0000-0000F10E0000}"/>
    <cellStyle name="SAPBEXHLevel3 2" xfId="1735" xr:uid="{00000000-0005-0000-0000-0000F20E0000}"/>
    <cellStyle name="SAPBEXHLevel3 2 2" xfId="3857" xr:uid="{00000000-0005-0000-0000-0000F30E0000}"/>
    <cellStyle name="SAPBEXHLevel3 3" xfId="1734" xr:uid="{00000000-0005-0000-0000-0000F40E0000}"/>
    <cellStyle name="SAPBEXHLevel3 3 2" xfId="3858" xr:uid="{00000000-0005-0000-0000-0000F50E0000}"/>
    <cellStyle name="SAPBEXHLevel3 4" xfId="3859" xr:uid="{00000000-0005-0000-0000-0000F60E0000}"/>
    <cellStyle name="SAPBEXHLevel3 5" xfId="3860" xr:uid="{00000000-0005-0000-0000-0000F70E0000}"/>
    <cellStyle name="SAPBEXHLevel3 6" xfId="3861" xr:uid="{00000000-0005-0000-0000-0000F80E0000}"/>
    <cellStyle name="SAPBEXHLevel3 7" xfId="3862" xr:uid="{00000000-0005-0000-0000-0000F90E0000}"/>
    <cellStyle name="SAPBEXHLevel3 8" xfId="3863" xr:uid="{00000000-0005-0000-0000-0000FA0E0000}"/>
    <cellStyle name="SAPBEXHLevel3X" xfId="202" xr:uid="{00000000-0005-0000-0000-0000FB0E0000}"/>
    <cellStyle name="SAPBEXHLevel3X 2" xfId="1737" xr:uid="{00000000-0005-0000-0000-0000FC0E0000}"/>
    <cellStyle name="SAPBEXHLevel3X 2 2" xfId="3864" xr:uid="{00000000-0005-0000-0000-0000FD0E0000}"/>
    <cellStyle name="SAPBEXHLevel3X 3" xfId="1736" xr:uid="{00000000-0005-0000-0000-0000FE0E0000}"/>
    <cellStyle name="SAPBEXHLevel3X 3 2" xfId="3865" xr:uid="{00000000-0005-0000-0000-0000FF0E0000}"/>
    <cellStyle name="SAPBEXHLevel3X 4" xfId="3866" xr:uid="{00000000-0005-0000-0000-0000000F0000}"/>
    <cellStyle name="SAPBEXHLevel3X 5" xfId="3867" xr:uid="{00000000-0005-0000-0000-0000010F0000}"/>
    <cellStyle name="SAPBEXHLevel3X 6" xfId="3868" xr:uid="{00000000-0005-0000-0000-0000020F0000}"/>
    <cellStyle name="SAPBEXHLevel3X 7" xfId="3869" xr:uid="{00000000-0005-0000-0000-0000030F0000}"/>
    <cellStyle name="SAPBEXHLevel3X 8" xfId="3870" xr:uid="{00000000-0005-0000-0000-0000040F0000}"/>
    <cellStyle name="SAPBEXinputData" xfId="1738" xr:uid="{00000000-0005-0000-0000-0000050F0000}"/>
    <cellStyle name="SAPBEXItemHeader" xfId="1739" xr:uid="{00000000-0005-0000-0000-0000060F0000}"/>
    <cellStyle name="SAPBEXresData" xfId="203" xr:uid="{00000000-0005-0000-0000-0000070F0000}"/>
    <cellStyle name="SAPBEXresData 2" xfId="1741" xr:uid="{00000000-0005-0000-0000-0000080F0000}"/>
    <cellStyle name="SAPBEXresData 3" xfId="1740" xr:uid="{00000000-0005-0000-0000-0000090F0000}"/>
    <cellStyle name="SAPBEXresDataEmph" xfId="204" xr:uid="{00000000-0005-0000-0000-00000A0F0000}"/>
    <cellStyle name="SAPBEXresDataEmph 2" xfId="1743" xr:uid="{00000000-0005-0000-0000-00000B0F0000}"/>
    <cellStyle name="SAPBEXresDataEmph 3" xfId="1742" xr:uid="{00000000-0005-0000-0000-00000C0F0000}"/>
    <cellStyle name="SAPBEXresItem" xfId="205" xr:uid="{00000000-0005-0000-0000-00000D0F0000}"/>
    <cellStyle name="SAPBEXresItem 2" xfId="1745" xr:uid="{00000000-0005-0000-0000-00000E0F0000}"/>
    <cellStyle name="SAPBEXresItem 3" xfId="1744" xr:uid="{00000000-0005-0000-0000-00000F0F0000}"/>
    <cellStyle name="SAPBEXresItemX" xfId="206" xr:uid="{00000000-0005-0000-0000-0000100F0000}"/>
    <cellStyle name="SAPBEXresItemX 2" xfId="1747" xr:uid="{00000000-0005-0000-0000-0000110F0000}"/>
    <cellStyle name="SAPBEXresItemX 3" xfId="1746" xr:uid="{00000000-0005-0000-0000-0000120F0000}"/>
    <cellStyle name="SAPBEXstdData" xfId="143" xr:uid="{00000000-0005-0000-0000-0000130F0000}"/>
    <cellStyle name="SAPBEXstdData 2" xfId="207" xr:uid="{00000000-0005-0000-0000-0000140F0000}"/>
    <cellStyle name="SAPBEXstdData 2 2" xfId="432" xr:uid="{00000000-0005-0000-0000-0000150F0000}"/>
    <cellStyle name="SAPBEXstdData 3" xfId="1750" xr:uid="{00000000-0005-0000-0000-0000160F0000}"/>
    <cellStyle name="SAPBEXstdDataEmph" xfId="208" xr:uid="{00000000-0005-0000-0000-0000170F0000}"/>
    <cellStyle name="SAPBEXstdDataEmph 2" xfId="1752" xr:uid="{00000000-0005-0000-0000-0000180F0000}"/>
    <cellStyle name="SAPBEXstdDataEmph 3" xfId="1751" xr:uid="{00000000-0005-0000-0000-0000190F0000}"/>
    <cellStyle name="SAPBEXstdItem" xfId="144" xr:uid="{00000000-0005-0000-0000-00001A0F0000}"/>
    <cellStyle name="SAPBEXstdItem 2" xfId="209" xr:uid="{00000000-0005-0000-0000-00001B0F0000}"/>
    <cellStyle name="SAPBEXstdItem 2 2" xfId="433" xr:uid="{00000000-0005-0000-0000-00001C0F0000}"/>
    <cellStyle name="SAPBEXstdItem 3" xfId="1755" xr:uid="{00000000-0005-0000-0000-00001D0F0000}"/>
    <cellStyle name="SAPBEXstdItem 3 2" xfId="3871" xr:uid="{00000000-0005-0000-0000-00001E0F0000}"/>
    <cellStyle name="SAPBEXstdItem 4" xfId="3872" xr:uid="{00000000-0005-0000-0000-00001F0F0000}"/>
    <cellStyle name="SAPBEXstdItem 5" xfId="3873" xr:uid="{00000000-0005-0000-0000-0000200F0000}"/>
    <cellStyle name="SAPBEXstdItem 6" xfId="3874" xr:uid="{00000000-0005-0000-0000-0000210F0000}"/>
    <cellStyle name="SAPBEXstdItem 7" xfId="3875" xr:uid="{00000000-0005-0000-0000-0000220F0000}"/>
    <cellStyle name="SAPBEXstdItem 8" xfId="3876" xr:uid="{00000000-0005-0000-0000-0000230F0000}"/>
    <cellStyle name="SAPBEXstdItemX" xfId="210" xr:uid="{00000000-0005-0000-0000-0000240F0000}"/>
    <cellStyle name="SAPBEXstdItemX 2" xfId="434" xr:uid="{00000000-0005-0000-0000-0000250F0000}"/>
    <cellStyle name="SAPBEXstdItemX 2 2" xfId="1757" xr:uid="{00000000-0005-0000-0000-0000260F0000}"/>
    <cellStyle name="SAPBEXstdItemX 3" xfId="1758" xr:uid="{00000000-0005-0000-0000-0000270F0000}"/>
    <cellStyle name="SAPBEXstdItemX 3 2" xfId="3877" xr:uid="{00000000-0005-0000-0000-0000280F0000}"/>
    <cellStyle name="SAPBEXstdItemX 4" xfId="3878" xr:uid="{00000000-0005-0000-0000-0000290F0000}"/>
    <cellStyle name="SAPBEXstdItemX 5" xfId="3879" xr:uid="{00000000-0005-0000-0000-00002A0F0000}"/>
    <cellStyle name="SAPBEXstdItemX 6" xfId="3880" xr:uid="{00000000-0005-0000-0000-00002B0F0000}"/>
    <cellStyle name="SAPBEXstdItemX 7" xfId="3881" xr:uid="{00000000-0005-0000-0000-00002C0F0000}"/>
    <cellStyle name="SAPBEXstdItemX 8" xfId="3882" xr:uid="{00000000-0005-0000-0000-00002D0F0000}"/>
    <cellStyle name="SAPBEXtitle" xfId="211" xr:uid="{00000000-0005-0000-0000-00002E0F0000}"/>
    <cellStyle name="SAPBEXtitle 2" xfId="435" xr:uid="{00000000-0005-0000-0000-00002F0F0000}"/>
    <cellStyle name="SAPBEXtitle 2 2" xfId="1760" xr:uid="{00000000-0005-0000-0000-0000300F0000}"/>
    <cellStyle name="SAPBEXtitle 3" xfId="1761" xr:uid="{00000000-0005-0000-0000-0000310F0000}"/>
    <cellStyle name="SAPBEXtitle 3 2" xfId="3883" xr:uid="{00000000-0005-0000-0000-0000320F0000}"/>
    <cellStyle name="SAPBEXtitle 4" xfId="3884" xr:uid="{00000000-0005-0000-0000-0000330F0000}"/>
    <cellStyle name="SAPBEXunassignedItem" xfId="1762" xr:uid="{00000000-0005-0000-0000-0000340F0000}"/>
    <cellStyle name="SAPBEXundefined" xfId="212" xr:uid="{00000000-0005-0000-0000-0000350F0000}"/>
    <cellStyle name="SAPBEXundefined 2" xfId="1764" xr:uid="{00000000-0005-0000-0000-0000360F0000}"/>
    <cellStyle name="SAPBEXundefined 3" xfId="1763" xr:uid="{00000000-0005-0000-0000-0000370F0000}"/>
    <cellStyle name="Sheet Title" xfId="1765" xr:uid="{00000000-0005-0000-0000-0000380F0000}"/>
    <cellStyle name="Standaard_Blad1" xfId="257" xr:uid="{00000000-0005-0000-0000-0000390F0000}"/>
    <cellStyle name="Title 10" xfId="3885" xr:uid="{00000000-0005-0000-0000-00003A0F0000}"/>
    <cellStyle name="Title 11" xfId="3886" xr:uid="{00000000-0005-0000-0000-00003B0F0000}"/>
    <cellStyle name="Title 12" xfId="3887" xr:uid="{00000000-0005-0000-0000-00003C0F0000}"/>
    <cellStyle name="Title 13" xfId="3888" xr:uid="{00000000-0005-0000-0000-00003D0F0000}"/>
    <cellStyle name="Title 14" xfId="3889" xr:uid="{00000000-0005-0000-0000-00003E0F0000}"/>
    <cellStyle name="Title 15" xfId="3890" xr:uid="{00000000-0005-0000-0000-00003F0F0000}"/>
    <cellStyle name="Title 16" xfId="145" xr:uid="{00000000-0005-0000-0000-0000400F0000}"/>
    <cellStyle name="Title 2" xfId="146" xr:uid="{00000000-0005-0000-0000-0000410F0000}"/>
    <cellStyle name="Title 2 10" xfId="3892" xr:uid="{00000000-0005-0000-0000-0000420F0000}"/>
    <cellStyle name="Title 2 11" xfId="3893" xr:uid="{00000000-0005-0000-0000-0000430F0000}"/>
    <cellStyle name="Title 2 12" xfId="3891" xr:uid="{00000000-0005-0000-0000-0000440F0000}"/>
    <cellStyle name="Title 2 2" xfId="1766" xr:uid="{00000000-0005-0000-0000-0000450F0000}"/>
    <cellStyle name="Title 2 2 2" xfId="3894" xr:uid="{00000000-0005-0000-0000-0000460F0000}"/>
    <cellStyle name="Title 2 3" xfId="3895" xr:uid="{00000000-0005-0000-0000-0000470F0000}"/>
    <cellStyle name="Title 2 4" xfId="3896" xr:uid="{00000000-0005-0000-0000-0000480F0000}"/>
    <cellStyle name="Title 2 5" xfId="3897" xr:uid="{00000000-0005-0000-0000-0000490F0000}"/>
    <cellStyle name="Title 2 6" xfId="3898" xr:uid="{00000000-0005-0000-0000-00004A0F0000}"/>
    <cellStyle name="Title 2 7" xfId="3899" xr:uid="{00000000-0005-0000-0000-00004B0F0000}"/>
    <cellStyle name="Title 2 8" xfId="3900" xr:uid="{00000000-0005-0000-0000-00004C0F0000}"/>
    <cellStyle name="Title 2 9" xfId="3901" xr:uid="{00000000-0005-0000-0000-00004D0F0000}"/>
    <cellStyle name="Title 3" xfId="147" xr:uid="{00000000-0005-0000-0000-00004E0F0000}"/>
    <cellStyle name="Title 3 10" xfId="3903" xr:uid="{00000000-0005-0000-0000-00004F0F0000}"/>
    <cellStyle name="Title 3 11" xfId="3904" xr:uid="{00000000-0005-0000-0000-0000500F0000}"/>
    <cellStyle name="Title 3 12" xfId="3902" xr:uid="{00000000-0005-0000-0000-0000510F0000}"/>
    <cellStyle name="Title 3 2" xfId="3905" xr:uid="{00000000-0005-0000-0000-0000520F0000}"/>
    <cellStyle name="Title 3 3" xfId="3906" xr:uid="{00000000-0005-0000-0000-0000530F0000}"/>
    <cellStyle name="Title 3 4" xfId="3907" xr:uid="{00000000-0005-0000-0000-0000540F0000}"/>
    <cellStyle name="Title 3 5" xfId="3908" xr:uid="{00000000-0005-0000-0000-0000550F0000}"/>
    <cellStyle name="Title 3 6" xfId="3909" xr:uid="{00000000-0005-0000-0000-0000560F0000}"/>
    <cellStyle name="Title 3 7" xfId="3910" xr:uid="{00000000-0005-0000-0000-0000570F0000}"/>
    <cellStyle name="Title 3 8" xfId="3911" xr:uid="{00000000-0005-0000-0000-0000580F0000}"/>
    <cellStyle name="Title 3 9" xfId="3912" xr:uid="{00000000-0005-0000-0000-0000590F0000}"/>
    <cellStyle name="Title 4" xfId="3913" xr:uid="{00000000-0005-0000-0000-00005A0F0000}"/>
    <cellStyle name="Title 4 10" xfId="3914" xr:uid="{00000000-0005-0000-0000-00005B0F0000}"/>
    <cellStyle name="Title 4 11" xfId="3915" xr:uid="{00000000-0005-0000-0000-00005C0F0000}"/>
    <cellStyle name="Title 4 2" xfId="3916" xr:uid="{00000000-0005-0000-0000-00005D0F0000}"/>
    <cellStyle name="Title 4 3" xfId="3917" xr:uid="{00000000-0005-0000-0000-00005E0F0000}"/>
    <cellStyle name="Title 4 4" xfId="3918" xr:uid="{00000000-0005-0000-0000-00005F0F0000}"/>
    <cellStyle name="Title 4 5" xfId="3919" xr:uid="{00000000-0005-0000-0000-0000600F0000}"/>
    <cellStyle name="Title 4 6" xfId="3920" xr:uid="{00000000-0005-0000-0000-0000610F0000}"/>
    <cellStyle name="Title 4 7" xfId="3921" xr:uid="{00000000-0005-0000-0000-0000620F0000}"/>
    <cellStyle name="Title 4 8" xfId="3922" xr:uid="{00000000-0005-0000-0000-0000630F0000}"/>
    <cellStyle name="Title 4 9" xfId="3923" xr:uid="{00000000-0005-0000-0000-0000640F0000}"/>
    <cellStyle name="Title 5" xfId="3924" xr:uid="{00000000-0005-0000-0000-0000650F0000}"/>
    <cellStyle name="Title 5 10" xfId="3925" xr:uid="{00000000-0005-0000-0000-0000660F0000}"/>
    <cellStyle name="Title 5 11" xfId="3926" xr:uid="{00000000-0005-0000-0000-0000670F0000}"/>
    <cellStyle name="Title 5 2" xfId="3927" xr:uid="{00000000-0005-0000-0000-0000680F0000}"/>
    <cellStyle name="Title 5 3" xfId="3928" xr:uid="{00000000-0005-0000-0000-0000690F0000}"/>
    <cellStyle name="Title 5 4" xfId="3929" xr:uid="{00000000-0005-0000-0000-00006A0F0000}"/>
    <cellStyle name="Title 5 5" xfId="3930" xr:uid="{00000000-0005-0000-0000-00006B0F0000}"/>
    <cellStyle name="Title 5 6" xfId="3931" xr:uid="{00000000-0005-0000-0000-00006C0F0000}"/>
    <cellStyle name="Title 5 7" xfId="3932" xr:uid="{00000000-0005-0000-0000-00006D0F0000}"/>
    <cellStyle name="Title 5 8" xfId="3933" xr:uid="{00000000-0005-0000-0000-00006E0F0000}"/>
    <cellStyle name="Title 5 9" xfId="3934" xr:uid="{00000000-0005-0000-0000-00006F0F0000}"/>
    <cellStyle name="Title 6" xfId="3935" xr:uid="{00000000-0005-0000-0000-0000700F0000}"/>
    <cellStyle name="Title 7" xfId="3936" xr:uid="{00000000-0005-0000-0000-0000710F0000}"/>
    <cellStyle name="Title 8" xfId="3937" xr:uid="{00000000-0005-0000-0000-0000720F0000}"/>
    <cellStyle name="Title 9" xfId="3938" xr:uid="{00000000-0005-0000-0000-0000730F0000}"/>
    <cellStyle name="Total 10" xfId="3939" xr:uid="{00000000-0005-0000-0000-0000740F0000}"/>
    <cellStyle name="Total 11" xfId="3940" xr:uid="{00000000-0005-0000-0000-0000750F0000}"/>
    <cellStyle name="Total 12" xfId="3941" xr:uid="{00000000-0005-0000-0000-0000760F0000}"/>
    <cellStyle name="Total 13" xfId="3942" xr:uid="{00000000-0005-0000-0000-0000770F0000}"/>
    <cellStyle name="Total 14" xfId="3943" xr:uid="{00000000-0005-0000-0000-0000780F0000}"/>
    <cellStyle name="Total 15" xfId="3944" xr:uid="{00000000-0005-0000-0000-0000790F0000}"/>
    <cellStyle name="Total 16" xfId="148" xr:uid="{00000000-0005-0000-0000-00007A0F0000}"/>
    <cellStyle name="Total 2" xfId="149" xr:uid="{00000000-0005-0000-0000-00007B0F0000}"/>
    <cellStyle name="Total 2 10" xfId="3946" xr:uid="{00000000-0005-0000-0000-00007C0F0000}"/>
    <cellStyle name="Total 2 11" xfId="3947" xr:uid="{00000000-0005-0000-0000-00007D0F0000}"/>
    <cellStyle name="Total 2 12" xfId="3945" xr:uid="{00000000-0005-0000-0000-00007E0F0000}"/>
    <cellStyle name="Total 2 2" xfId="1768" xr:uid="{00000000-0005-0000-0000-00007F0F0000}"/>
    <cellStyle name="Total 2 2 2" xfId="3948" xr:uid="{00000000-0005-0000-0000-0000800F0000}"/>
    <cellStyle name="Total 2 3" xfId="3949" xr:uid="{00000000-0005-0000-0000-0000810F0000}"/>
    <cellStyle name="Total 2 4" xfId="3950" xr:uid="{00000000-0005-0000-0000-0000820F0000}"/>
    <cellStyle name="Total 2 5" xfId="3951" xr:uid="{00000000-0005-0000-0000-0000830F0000}"/>
    <cellStyle name="Total 2 6" xfId="3952" xr:uid="{00000000-0005-0000-0000-0000840F0000}"/>
    <cellStyle name="Total 2 7" xfId="3953" xr:uid="{00000000-0005-0000-0000-0000850F0000}"/>
    <cellStyle name="Total 2 8" xfId="3954" xr:uid="{00000000-0005-0000-0000-0000860F0000}"/>
    <cellStyle name="Total 2 9" xfId="3955" xr:uid="{00000000-0005-0000-0000-0000870F0000}"/>
    <cellStyle name="Total 3" xfId="150" xr:uid="{00000000-0005-0000-0000-0000880F0000}"/>
    <cellStyle name="Total 3 10" xfId="3957" xr:uid="{00000000-0005-0000-0000-0000890F0000}"/>
    <cellStyle name="Total 3 11" xfId="3958" xr:uid="{00000000-0005-0000-0000-00008A0F0000}"/>
    <cellStyle name="Total 3 12" xfId="3956" xr:uid="{00000000-0005-0000-0000-00008B0F0000}"/>
    <cellStyle name="Total 3 2" xfId="1769" xr:uid="{00000000-0005-0000-0000-00008C0F0000}"/>
    <cellStyle name="Total 3 2 2" xfId="3959" xr:uid="{00000000-0005-0000-0000-00008D0F0000}"/>
    <cellStyle name="Total 3 3" xfId="3960" xr:uid="{00000000-0005-0000-0000-00008E0F0000}"/>
    <cellStyle name="Total 3 4" xfId="3961" xr:uid="{00000000-0005-0000-0000-00008F0F0000}"/>
    <cellStyle name="Total 3 5" xfId="3962" xr:uid="{00000000-0005-0000-0000-0000900F0000}"/>
    <cellStyle name="Total 3 6" xfId="3963" xr:uid="{00000000-0005-0000-0000-0000910F0000}"/>
    <cellStyle name="Total 3 7" xfId="3964" xr:uid="{00000000-0005-0000-0000-0000920F0000}"/>
    <cellStyle name="Total 3 8" xfId="3965" xr:uid="{00000000-0005-0000-0000-0000930F0000}"/>
    <cellStyle name="Total 3 9" xfId="3966" xr:uid="{00000000-0005-0000-0000-0000940F0000}"/>
    <cellStyle name="Total 4" xfId="1770" xr:uid="{00000000-0005-0000-0000-0000950F0000}"/>
    <cellStyle name="Total 4 10" xfId="3968" xr:uid="{00000000-0005-0000-0000-0000960F0000}"/>
    <cellStyle name="Total 4 11" xfId="3969" xr:uid="{00000000-0005-0000-0000-0000970F0000}"/>
    <cellStyle name="Total 4 12" xfId="3967" xr:uid="{00000000-0005-0000-0000-0000980F0000}"/>
    <cellStyle name="Total 4 2" xfId="3970" xr:uid="{00000000-0005-0000-0000-0000990F0000}"/>
    <cellStyle name="Total 4 3" xfId="3971" xr:uid="{00000000-0005-0000-0000-00009A0F0000}"/>
    <cellStyle name="Total 4 4" xfId="3972" xr:uid="{00000000-0005-0000-0000-00009B0F0000}"/>
    <cellStyle name="Total 4 5" xfId="3973" xr:uid="{00000000-0005-0000-0000-00009C0F0000}"/>
    <cellStyle name="Total 4 6" xfId="3974" xr:uid="{00000000-0005-0000-0000-00009D0F0000}"/>
    <cellStyle name="Total 4 7" xfId="3975" xr:uid="{00000000-0005-0000-0000-00009E0F0000}"/>
    <cellStyle name="Total 4 8" xfId="3976" xr:uid="{00000000-0005-0000-0000-00009F0F0000}"/>
    <cellStyle name="Total 4 9" xfId="3977" xr:uid="{00000000-0005-0000-0000-0000A00F0000}"/>
    <cellStyle name="Total 5" xfId="3978" xr:uid="{00000000-0005-0000-0000-0000A10F0000}"/>
    <cellStyle name="Total 5 10" xfId="3979" xr:uid="{00000000-0005-0000-0000-0000A20F0000}"/>
    <cellStyle name="Total 5 11" xfId="3980" xr:uid="{00000000-0005-0000-0000-0000A30F0000}"/>
    <cellStyle name="Total 5 2" xfId="3981" xr:uid="{00000000-0005-0000-0000-0000A40F0000}"/>
    <cellStyle name="Total 5 3" xfId="3982" xr:uid="{00000000-0005-0000-0000-0000A50F0000}"/>
    <cellStyle name="Total 5 4" xfId="3983" xr:uid="{00000000-0005-0000-0000-0000A60F0000}"/>
    <cellStyle name="Total 5 5" xfId="3984" xr:uid="{00000000-0005-0000-0000-0000A70F0000}"/>
    <cellStyle name="Total 5 6" xfId="3985" xr:uid="{00000000-0005-0000-0000-0000A80F0000}"/>
    <cellStyle name="Total 5 7" xfId="3986" xr:uid="{00000000-0005-0000-0000-0000A90F0000}"/>
    <cellStyle name="Total 5 8" xfId="3987" xr:uid="{00000000-0005-0000-0000-0000AA0F0000}"/>
    <cellStyle name="Total 5 9" xfId="3988" xr:uid="{00000000-0005-0000-0000-0000AB0F0000}"/>
    <cellStyle name="Total 6" xfId="3989" xr:uid="{00000000-0005-0000-0000-0000AC0F0000}"/>
    <cellStyle name="Total 7" xfId="3990" xr:uid="{00000000-0005-0000-0000-0000AD0F0000}"/>
    <cellStyle name="Total 8" xfId="3991" xr:uid="{00000000-0005-0000-0000-0000AE0F0000}"/>
    <cellStyle name="Total 9" xfId="3992" xr:uid="{00000000-0005-0000-0000-0000AF0F0000}"/>
    <cellStyle name="Valuta [0]_Blad1" xfId="258" xr:uid="{00000000-0005-0000-0000-0000B00F0000}"/>
    <cellStyle name="Valuta_Blad1" xfId="259" xr:uid="{00000000-0005-0000-0000-0000B10F0000}"/>
    <cellStyle name="Warning Text 10" xfId="3993" xr:uid="{00000000-0005-0000-0000-0000B20F0000}"/>
    <cellStyle name="Warning Text 11" xfId="3994" xr:uid="{00000000-0005-0000-0000-0000B30F0000}"/>
    <cellStyle name="Warning Text 12" xfId="3995" xr:uid="{00000000-0005-0000-0000-0000B40F0000}"/>
    <cellStyle name="Warning Text 13" xfId="3996" xr:uid="{00000000-0005-0000-0000-0000B50F0000}"/>
    <cellStyle name="Warning Text 14" xfId="3997" xr:uid="{00000000-0005-0000-0000-0000B60F0000}"/>
    <cellStyle name="Warning Text 15" xfId="3998" xr:uid="{00000000-0005-0000-0000-0000B70F0000}"/>
    <cellStyle name="Warning Text 16" xfId="151" xr:uid="{00000000-0005-0000-0000-0000B80F0000}"/>
    <cellStyle name="Warning Text 2" xfId="152" xr:uid="{00000000-0005-0000-0000-0000B90F0000}"/>
    <cellStyle name="Warning Text 2 10" xfId="4000" xr:uid="{00000000-0005-0000-0000-0000BA0F0000}"/>
    <cellStyle name="Warning Text 2 11" xfId="4001" xr:uid="{00000000-0005-0000-0000-0000BB0F0000}"/>
    <cellStyle name="Warning Text 2 12" xfId="3999" xr:uid="{00000000-0005-0000-0000-0000BC0F0000}"/>
    <cellStyle name="Warning Text 2 2" xfId="1771" xr:uid="{00000000-0005-0000-0000-0000BD0F0000}"/>
    <cellStyle name="Warning Text 2 2 2" xfId="4002" xr:uid="{00000000-0005-0000-0000-0000BE0F0000}"/>
    <cellStyle name="Warning Text 2 3" xfId="4003" xr:uid="{00000000-0005-0000-0000-0000BF0F0000}"/>
    <cellStyle name="Warning Text 2 4" xfId="4004" xr:uid="{00000000-0005-0000-0000-0000C00F0000}"/>
    <cellStyle name="Warning Text 2 5" xfId="4005" xr:uid="{00000000-0005-0000-0000-0000C10F0000}"/>
    <cellStyle name="Warning Text 2 6" xfId="4006" xr:uid="{00000000-0005-0000-0000-0000C20F0000}"/>
    <cellStyle name="Warning Text 2 7" xfId="4007" xr:uid="{00000000-0005-0000-0000-0000C30F0000}"/>
    <cellStyle name="Warning Text 2 8" xfId="4008" xr:uid="{00000000-0005-0000-0000-0000C40F0000}"/>
    <cellStyle name="Warning Text 2 9" xfId="4009" xr:uid="{00000000-0005-0000-0000-0000C50F0000}"/>
    <cellStyle name="Warning Text 3" xfId="153" xr:uid="{00000000-0005-0000-0000-0000C60F0000}"/>
    <cellStyle name="Warning Text 3 10" xfId="4011" xr:uid="{00000000-0005-0000-0000-0000C70F0000}"/>
    <cellStyle name="Warning Text 3 11" xfId="4012" xr:uid="{00000000-0005-0000-0000-0000C80F0000}"/>
    <cellStyle name="Warning Text 3 12" xfId="4010" xr:uid="{00000000-0005-0000-0000-0000C90F0000}"/>
    <cellStyle name="Warning Text 3 2" xfId="1772" xr:uid="{00000000-0005-0000-0000-0000CA0F0000}"/>
    <cellStyle name="Warning Text 3 2 2" xfId="4013" xr:uid="{00000000-0005-0000-0000-0000CB0F0000}"/>
    <cellStyle name="Warning Text 3 3" xfId="4014" xr:uid="{00000000-0005-0000-0000-0000CC0F0000}"/>
    <cellStyle name="Warning Text 3 4" xfId="4015" xr:uid="{00000000-0005-0000-0000-0000CD0F0000}"/>
    <cellStyle name="Warning Text 3 5" xfId="4016" xr:uid="{00000000-0005-0000-0000-0000CE0F0000}"/>
    <cellStyle name="Warning Text 3 6" xfId="4017" xr:uid="{00000000-0005-0000-0000-0000CF0F0000}"/>
    <cellStyle name="Warning Text 3 7" xfId="4018" xr:uid="{00000000-0005-0000-0000-0000D00F0000}"/>
    <cellStyle name="Warning Text 3 8" xfId="4019" xr:uid="{00000000-0005-0000-0000-0000D10F0000}"/>
    <cellStyle name="Warning Text 3 9" xfId="4020" xr:uid="{00000000-0005-0000-0000-0000D20F0000}"/>
    <cellStyle name="Warning Text 4" xfId="1773" xr:uid="{00000000-0005-0000-0000-0000D30F0000}"/>
    <cellStyle name="Warning Text 4 10" xfId="4022" xr:uid="{00000000-0005-0000-0000-0000D40F0000}"/>
    <cellStyle name="Warning Text 4 11" xfId="4023" xr:uid="{00000000-0005-0000-0000-0000D50F0000}"/>
    <cellStyle name="Warning Text 4 12" xfId="4021" xr:uid="{00000000-0005-0000-0000-0000D60F0000}"/>
    <cellStyle name="Warning Text 4 2" xfId="4024" xr:uid="{00000000-0005-0000-0000-0000D70F0000}"/>
    <cellStyle name="Warning Text 4 3" xfId="4025" xr:uid="{00000000-0005-0000-0000-0000D80F0000}"/>
    <cellStyle name="Warning Text 4 4" xfId="4026" xr:uid="{00000000-0005-0000-0000-0000D90F0000}"/>
    <cellStyle name="Warning Text 4 5" xfId="4027" xr:uid="{00000000-0005-0000-0000-0000DA0F0000}"/>
    <cellStyle name="Warning Text 4 6" xfId="4028" xr:uid="{00000000-0005-0000-0000-0000DB0F0000}"/>
    <cellStyle name="Warning Text 4 7" xfId="4029" xr:uid="{00000000-0005-0000-0000-0000DC0F0000}"/>
    <cellStyle name="Warning Text 4 8" xfId="4030" xr:uid="{00000000-0005-0000-0000-0000DD0F0000}"/>
    <cellStyle name="Warning Text 4 9" xfId="4031" xr:uid="{00000000-0005-0000-0000-0000DE0F0000}"/>
    <cellStyle name="Warning Text 5" xfId="4032" xr:uid="{00000000-0005-0000-0000-0000DF0F0000}"/>
    <cellStyle name="Warning Text 5 10" xfId="4033" xr:uid="{00000000-0005-0000-0000-0000E00F0000}"/>
    <cellStyle name="Warning Text 5 11" xfId="4034" xr:uid="{00000000-0005-0000-0000-0000E10F0000}"/>
    <cellStyle name="Warning Text 5 2" xfId="4035" xr:uid="{00000000-0005-0000-0000-0000E20F0000}"/>
    <cellStyle name="Warning Text 5 3" xfId="4036" xr:uid="{00000000-0005-0000-0000-0000E30F0000}"/>
    <cellStyle name="Warning Text 5 4" xfId="4037" xr:uid="{00000000-0005-0000-0000-0000E40F0000}"/>
    <cellStyle name="Warning Text 5 5" xfId="4038" xr:uid="{00000000-0005-0000-0000-0000E50F0000}"/>
    <cellStyle name="Warning Text 5 6" xfId="4039" xr:uid="{00000000-0005-0000-0000-0000E60F0000}"/>
    <cellStyle name="Warning Text 5 7" xfId="4040" xr:uid="{00000000-0005-0000-0000-0000E70F0000}"/>
    <cellStyle name="Warning Text 5 8" xfId="4041" xr:uid="{00000000-0005-0000-0000-0000E80F0000}"/>
    <cellStyle name="Warning Text 5 9" xfId="4042" xr:uid="{00000000-0005-0000-0000-0000E90F0000}"/>
    <cellStyle name="Warning Text 6" xfId="4043" xr:uid="{00000000-0005-0000-0000-0000EA0F0000}"/>
    <cellStyle name="Warning Text 7" xfId="4044" xr:uid="{00000000-0005-0000-0000-0000EB0F0000}"/>
    <cellStyle name="Warning Text 8" xfId="4045" xr:uid="{00000000-0005-0000-0000-0000EC0F0000}"/>
    <cellStyle name="Warning Text 9" xfId="4046" xr:uid="{00000000-0005-0000-0000-0000ED0F0000}"/>
    <cellStyle name="Year" xfId="4047" xr:uid="{00000000-0005-0000-0000-0000EE0F0000}"/>
    <cellStyle name="เครื่องหมายจุลภาค [0]_FEB00" xfId="4080" xr:uid="{00000000-0005-0000-0000-0000F20F0000}"/>
    <cellStyle name="เครื่องหมายจุลภาค_FEB00" xfId="4081" xr:uid="{00000000-0005-0000-0000-0000F30F0000}"/>
    <cellStyle name="เครื่องหมายสกุลเงิน [0]_FEB00" xfId="4082" xr:uid="{00000000-0005-0000-0000-0000F40F0000}"/>
    <cellStyle name="เครื่องหมายสกุลเงิน_FEB00" xfId="4083" xr:uid="{00000000-0005-0000-0000-0000F50F0000}"/>
    <cellStyle name="เซลล์ตรวจสอบ" xfId="4048" xr:uid="{00000000-0005-0000-0000-0000F70F0000}"/>
    <cellStyle name="เซลล์ที่มีการเชื่อมโยง" xfId="4049" xr:uid="{00000000-0005-0000-0000-0000F80F0000}"/>
    <cellStyle name="แย่" xfId="4050" xr:uid="{00000000-0005-0000-0000-0000FF0F0000}"/>
    <cellStyle name="แสดงผล" xfId="4051" xr:uid="{00000000-0005-0000-0000-00000B100000}"/>
    <cellStyle name="การคำนวณ" xfId="4052" xr:uid="{00000000-0005-0000-0000-0000EF0F0000}"/>
    <cellStyle name="ข้อความเตือน" xfId="4053" xr:uid="{00000000-0005-0000-0000-0000F00F0000}"/>
    <cellStyle name="ข้อความอธิบาย" xfId="4054" xr:uid="{00000000-0005-0000-0000-0000F10F0000}"/>
    <cellStyle name="ชื่อเรื่อง" xfId="4055" xr:uid="{00000000-0005-0000-0000-0000F60F0000}"/>
    <cellStyle name="ดี" xfId="4056" xr:uid="{00000000-0005-0000-0000-0000F90F0000}"/>
    <cellStyle name="น้บะภฒ_95" xfId="154" xr:uid="{00000000-0005-0000-0000-0000FA0F0000}"/>
    <cellStyle name="ปกติ_C04AUG42" xfId="4084" xr:uid="{00000000-0005-0000-0000-0000FB0F0000}"/>
    <cellStyle name="ป้อนค่า" xfId="4057" xr:uid="{00000000-0005-0000-0000-0000FC0F0000}"/>
    <cellStyle name="ปานกลาง" xfId="4058" xr:uid="{00000000-0005-0000-0000-0000FD0F0000}"/>
    <cellStyle name="ผลรวม" xfId="4059" xr:uid="{00000000-0005-0000-0000-0000FE0F0000}"/>
    <cellStyle name="ฤธถ [0]_95" xfId="155" xr:uid="{00000000-0005-0000-0000-000000100000}"/>
    <cellStyle name="ฤธถ_95" xfId="156" xr:uid="{00000000-0005-0000-0000-000001100000}"/>
    <cellStyle name="ล๋ศญ [0]_95" xfId="157" xr:uid="{00000000-0005-0000-0000-000002100000}"/>
    <cellStyle name="ล๋ศญ_95" xfId="158" xr:uid="{00000000-0005-0000-0000-000003100000}"/>
    <cellStyle name="วฅมุ_4ฟ๙ฝวภ๛" xfId="159" xr:uid="{00000000-0005-0000-0000-000004100000}"/>
    <cellStyle name="ส่วนที่ถูกเน้น1" xfId="4061" xr:uid="{00000000-0005-0000-0000-000005100000}"/>
    <cellStyle name="ส่วนที่ถูกเน้น2" xfId="4062" xr:uid="{00000000-0005-0000-0000-000006100000}"/>
    <cellStyle name="ส่วนที่ถูกเน้น3" xfId="4063" xr:uid="{00000000-0005-0000-0000-000007100000}"/>
    <cellStyle name="ส่วนที่ถูกเน้น4" xfId="4064" xr:uid="{00000000-0005-0000-0000-000008100000}"/>
    <cellStyle name="ส่วนที่ถูกเน้น5" xfId="4065" xr:uid="{00000000-0005-0000-0000-000009100000}"/>
    <cellStyle name="ส่วนที่ถูกเน้น6" xfId="4066" xr:uid="{00000000-0005-0000-0000-00000A100000}"/>
    <cellStyle name="หมายเหตุ" xfId="4067" xr:uid="{00000000-0005-0000-0000-00000C100000}"/>
    <cellStyle name="หัวเรื่อง 1" xfId="4068" xr:uid="{00000000-0005-0000-0000-00000D100000}"/>
    <cellStyle name="หัวเรื่อง 2" xfId="4069" xr:uid="{00000000-0005-0000-0000-00000E100000}"/>
    <cellStyle name="หัวเรื่อง 3" xfId="4070" xr:uid="{00000000-0005-0000-0000-00000F100000}"/>
    <cellStyle name="หัวเรื่อง 4" xfId="4071" xr:uid="{00000000-0005-0000-0000-000010100000}"/>
  </cellStyles>
  <dxfs count="17">
    <dxf>
      <font>
        <color rgb="FF9C0006"/>
      </font>
      <fill>
        <patternFill>
          <bgColor rgb="FFFFC7CE"/>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0000FF"/>
      <color rgb="FFFFA7FF"/>
      <color rgb="FFE265FF"/>
      <color rgb="FFFFCCFF"/>
      <color rgb="FFCCFFFF"/>
      <color rgb="FFFFE5FF"/>
      <color rgb="FF93FFFF"/>
      <color rgb="FF8ADFF6"/>
      <color rgb="FF40CCF2"/>
      <color rgb="FF67D5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r>
              <a:rPr lang="en-US"/>
              <a:t>Legal Reserve Level (KT)</a:t>
            </a:r>
          </a:p>
        </c:rich>
      </c:tx>
      <c:overlay val="0"/>
      <c:spPr>
        <a:noFill/>
        <a:ln>
          <a:noFill/>
        </a:ln>
        <a:effectLst/>
      </c:spPr>
      <c:txPr>
        <a:bodyPr rot="0" spcFirstLastPara="1" vertOverflow="ellipsis" vert="horz" wrap="square" anchor="ctr" anchorCtr="1"/>
        <a:lstStyle/>
        <a:p>
          <a:pPr>
            <a:defRPr sz="1440" b="1" i="0" u="none" strike="noStrike" kern="1200" spc="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lotArea>
      <c:layout>
        <c:manualLayout>
          <c:layoutTarget val="inner"/>
          <c:xMode val="edge"/>
          <c:yMode val="edge"/>
          <c:x val="4.4034341684634347E-2"/>
          <c:y val="0.1055575987736961"/>
          <c:w val="0.93808229166666668"/>
          <c:h val="0.70328300923574238"/>
        </c:manualLayout>
      </c:layout>
      <c:barChart>
        <c:barDir val="col"/>
        <c:grouping val="stacked"/>
        <c:varyColors val="0"/>
        <c:ser>
          <c:idx val="0"/>
          <c:order val="0"/>
          <c:tx>
            <c:strRef>
              <c:f>'LR monthly'!$A$41</c:f>
              <c:strCache>
                <c:ptCount val="1"/>
                <c:pt idx="0">
                  <c:v>Balance Stock (GSP RY+MT+BRP)</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'LR monthly'!$AA$39:$AL$39</c:f>
              <c:numCache>
                <c:formatCode>B1mmm\-yy</c:formatCode>
                <c:ptCount val="12"/>
                <c:pt idx="0">
                  <c:v>44532</c:v>
                </c:pt>
                <c:pt idx="1">
                  <c:v>44563</c:v>
                </c:pt>
                <c:pt idx="2">
                  <c:v>44594</c:v>
                </c:pt>
                <c:pt idx="3">
                  <c:v>44622</c:v>
                </c:pt>
                <c:pt idx="4">
                  <c:v>44653</c:v>
                </c:pt>
                <c:pt idx="5">
                  <c:v>44683</c:v>
                </c:pt>
                <c:pt idx="6">
                  <c:v>44714</c:v>
                </c:pt>
                <c:pt idx="7">
                  <c:v>44744</c:v>
                </c:pt>
                <c:pt idx="8">
                  <c:v>44775</c:v>
                </c:pt>
                <c:pt idx="9">
                  <c:v>44806</c:v>
                </c:pt>
                <c:pt idx="10">
                  <c:v>44836</c:v>
                </c:pt>
                <c:pt idx="11">
                  <c:v>44867</c:v>
                </c:pt>
              </c:numCache>
            </c:numRef>
          </c:cat>
          <c:val>
            <c:numRef>
              <c:f>'LR monthly'!$AA$41:$AL$41</c:f>
              <c:numCache>
                <c:formatCode>_-* #,##0_-;\-* #,##0_-;_-* "-"??_-;_-@_-</c:formatCode>
                <c:ptCount val="12"/>
                <c:pt idx="0">
                  <c:v>8.578637289999989</c:v>
                </c:pt>
                <c:pt idx="1">
                  <c:v>6.5823717162271862</c:v>
                </c:pt>
                <c:pt idx="2">
                  <c:v>4.5149458071379911</c:v>
                </c:pt>
                <c:pt idx="3">
                  <c:v>-8.974855561827539</c:v>
                </c:pt>
                <c:pt idx="4">
                  <c:v>-13.686539021482744</c:v>
                </c:pt>
                <c:pt idx="5">
                  <c:v>-26.35891004796801</c:v>
                </c:pt>
                <c:pt idx="6">
                  <c:v>-9.5581166557898172</c:v>
                </c:pt>
                <c:pt idx="7">
                  <c:v>-33.847339777525917</c:v>
                </c:pt>
                <c:pt idx="8">
                  <c:v>-32.561893160361336</c:v>
                </c:pt>
                <c:pt idx="9">
                  <c:v>-8.9465447121668547</c:v>
                </c:pt>
                <c:pt idx="10">
                  <c:v>-11.284624666798678</c:v>
                </c:pt>
                <c:pt idx="11">
                  <c:v>-35.061200575728876</c:v>
                </c:pt>
              </c:numCache>
            </c:numRef>
          </c:val>
          <c:extLst>
            <c:ext xmlns:c16="http://schemas.microsoft.com/office/drawing/2014/chart" uri="{C3380CC4-5D6E-409C-BE32-E72D297353CC}">
              <c16:uniqueId val="{00000000-1B8A-47D3-BB35-46E1F02FFA23}"/>
            </c:ext>
          </c:extLst>
        </c:ser>
        <c:ser>
          <c:idx val="1"/>
          <c:order val="1"/>
          <c:tx>
            <c:strRef>
              <c:f>'LR monthly'!$A$42</c:f>
              <c:strCache>
                <c:ptCount val="1"/>
                <c:pt idx="0">
                  <c:v>Import Cargo</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'LR monthly'!$AA$39:$AL$39</c:f>
              <c:numCache>
                <c:formatCode>B1mmm\-yy</c:formatCode>
                <c:ptCount val="12"/>
                <c:pt idx="0">
                  <c:v>44532</c:v>
                </c:pt>
                <c:pt idx="1">
                  <c:v>44563</c:v>
                </c:pt>
                <c:pt idx="2">
                  <c:v>44594</c:v>
                </c:pt>
                <c:pt idx="3">
                  <c:v>44622</c:v>
                </c:pt>
                <c:pt idx="4">
                  <c:v>44653</c:v>
                </c:pt>
                <c:pt idx="5">
                  <c:v>44683</c:v>
                </c:pt>
                <c:pt idx="6">
                  <c:v>44714</c:v>
                </c:pt>
                <c:pt idx="7">
                  <c:v>44744</c:v>
                </c:pt>
                <c:pt idx="8">
                  <c:v>44775</c:v>
                </c:pt>
                <c:pt idx="9">
                  <c:v>44806</c:v>
                </c:pt>
                <c:pt idx="10">
                  <c:v>44836</c:v>
                </c:pt>
                <c:pt idx="11">
                  <c:v>44867</c:v>
                </c:pt>
              </c:numCache>
            </c:numRef>
          </c:cat>
          <c:val>
            <c:numRef>
              <c:f>'LR monthly'!$AA$42:$AL$42</c:f>
              <c:numCache>
                <c:formatCode>_-* #,##0_-;\-* #,##0_-;_-* "-"??_-;_-@_-</c:formatCode>
                <c:ptCount val="12"/>
                <c:pt idx="0">
                  <c:v>66</c:v>
                </c:pt>
                <c:pt idx="1">
                  <c:v>71</c:v>
                </c:pt>
                <c:pt idx="2">
                  <c:v>70.5</c:v>
                </c:pt>
                <c:pt idx="3">
                  <c:v>88</c:v>
                </c:pt>
                <c:pt idx="4">
                  <c:v>88</c:v>
                </c:pt>
                <c:pt idx="5">
                  <c:v>118</c:v>
                </c:pt>
                <c:pt idx="6">
                  <c:v>84.092200270438227</c:v>
                </c:pt>
                <c:pt idx="7">
                  <c:v>114.77093942638629</c:v>
                </c:pt>
                <c:pt idx="8">
                  <c:v>124.77094067656995</c:v>
                </c:pt>
                <c:pt idx="9">
                  <c:v>99.061959541678448</c:v>
                </c:pt>
                <c:pt idx="10">
                  <c:v>77.654820001423346</c:v>
                </c:pt>
                <c:pt idx="11">
                  <c:v>122.21780019927023</c:v>
                </c:pt>
              </c:numCache>
            </c:numRef>
          </c:val>
          <c:extLst>
            <c:ext xmlns:c16="http://schemas.microsoft.com/office/drawing/2014/chart" uri="{C3380CC4-5D6E-409C-BE32-E72D297353CC}">
              <c16:uniqueId val="{00000001-1B8A-47D3-BB35-46E1F02FFA23}"/>
            </c:ext>
          </c:extLst>
        </c:ser>
        <c:dLbls>
          <c:dLblPos val="inBase"/>
          <c:showLegendKey val="0"/>
          <c:showVal val="1"/>
          <c:showCatName val="0"/>
          <c:showSerName val="0"/>
          <c:showPercent val="0"/>
          <c:showBubbleSize val="0"/>
        </c:dLbls>
        <c:gapWidth val="150"/>
        <c:overlap val="100"/>
        <c:axId val="820322728"/>
        <c:axId val="820331584"/>
      </c:barChart>
      <c:lineChart>
        <c:grouping val="standard"/>
        <c:varyColors val="0"/>
        <c:ser>
          <c:idx val="2"/>
          <c:order val="2"/>
          <c:tx>
            <c:strRef>
              <c:f>'LR monthly'!$A$43:$C$43</c:f>
              <c:strCache>
                <c:ptCount val="3"/>
                <c:pt idx="0">
                  <c:v>LR by Legal </c:v>
                </c:pt>
              </c:strCache>
            </c:strRef>
          </c:tx>
          <c:spPr>
            <a:ln w="28575" cap="rnd">
              <a:solidFill>
                <a:srgbClr val="C00000"/>
              </a:solidFill>
              <a:round/>
            </a:ln>
            <a:effectLst/>
          </c:spPr>
          <c:marker>
            <c:symbol val="none"/>
          </c:marker>
          <c:dLbls>
            <c:delete val="1"/>
          </c:dLbls>
          <c:cat>
            <c:numRef>
              <c:f>'LR monthly'!$AA$39:$AL$39</c:f>
              <c:numCache>
                <c:formatCode>B1mmm\-yy</c:formatCode>
                <c:ptCount val="12"/>
                <c:pt idx="0">
                  <c:v>44532</c:v>
                </c:pt>
                <c:pt idx="1">
                  <c:v>44563</c:v>
                </c:pt>
                <c:pt idx="2">
                  <c:v>44594</c:v>
                </c:pt>
                <c:pt idx="3">
                  <c:v>44622</c:v>
                </c:pt>
                <c:pt idx="4">
                  <c:v>44653</c:v>
                </c:pt>
                <c:pt idx="5">
                  <c:v>44683</c:v>
                </c:pt>
                <c:pt idx="6">
                  <c:v>44714</c:v>
                </c:pt>
                <c:pt idx="7">
                  <c:v>44744</c:v>
                </c:pt>
                <c:pt idx="8">
                  <c:v>44775</c:v>
                </c:pt>
                <c:pt idx="9">
                  <c:v>44806</c:v>
                </c:pt>
                <c:pt idx="10">
                  <c:v>44836</c:v>
                </c:pt>
                <c:pt idx="11">
                  <c:v>44867</c:v>
                </c:pt>
              </c:numCache>
            </c:numRef>
          </c:cat>
          <c:val>
            <c:numRef>
              <c:f>'LR monthly'!$AA$43:$AL$43</c:f>
              <c:numCache>
                <c:formatCode>0</c:formatCode>
                <c:ptCount val="12"/>
                <c:pt idx="0">
                  <c:v>22.03</c:v>
                </c:pt>
                <c:pt idx="1">
                  <c:v>37.6</c:v>
                </c:pt>
                <c:pt idx="2">
                  <c:v>37.6</c:v>
                </c:pt>
                <c:pt idx="3">
                  <c:v>37.6</c:v>
                </c:pt>
                <c:pt idx="4">
                  <c:v>37.6</c:v>
                </c:pt>
                <c:pt idx="5">
                  <c:v>37.6</c:v>
                </c:pt>
                <c:pt idx="6">
                  <c:v>37.6</c:v>
                </c:pt>
                <c:pt idx="7">
                  <c:v>37.6</c:v>
                </c:pt>
                <c:pt idx="8">
                  <c:v>37.6</c:v>
                </c:pt>
                <c:pt idx="9">
                  <c:v>37.6</c:v>
                </c:pt>
                <c:pt idx="10">
                  <c:v>37.6</c:v>
                </c:pt>
                <c:pt idx="11">
                  <c:v>37.6</c:v>
                </c:pt>
              </c:numCache>
            </c:numRef>
          </c:val>
          <c:smooth val="0"/>
          <c:extLst>
            <c:ext xmlns:c16="http://schemas.microsoft.com/office/drawing/2014/chart" uri="{C3380CC4-5D6E-409C-BE32-E72D297353CC}">
              <c16:uniqueId val="{00000002-1B8A-47D3-BB35-46E1F02FFA23}"/>
            </c:ext>
          </c:extLst>
        </c:ser>
        <c:ser>
          <c:idx val="3"/>
          <c:order val="3"/>
          <c:tx>
            <c:strRef>
              <c:f>'LR monthly'!$A$44:$C$44</c:f>
              <c:strCache>
                <c:ptCount val="3"/>
                <c:pt idx="0">
                  <c:v>LR by Internal Control</c:v>
                </c:pt>
              </c:strCache>
            </c:strRef>
          </c:tx>
          <c:spPr>
            <a:ln w="28575" cap="rnd">
              <a:solidFill>
                <a:srgbClr val="C00000"/>
              </a:solidFill>
              <a:prstDash val="sysDot"/>
              <a:round/>
            </a:ln>
            <a:effectLst/>
          </c:spPr>
          <c:marker>
            <c:symbol val="none"/>
          </c:marker>
          <c:dLbls>
            <c:delete val="1"/>
          </c:dLbls>
          <c:cat>
            <c:numRef>
              <c:f>'LR monthly'!$AA$39:$AL$39</c:f>
              <c:numCache>
                <c:formatCode>B1mmm\-yy</c:formatCode>
                <c:ptCount val="12"/>
                <c:pt idx="0">
                  <c:v>44532</c:v>
                </c:pt>
                <c:pt idx="1">
                  <c:v>44563</c:v>
                </c:pt>
                <c:pt idx="2">
                  <c:v>44594</c:v>
                </c:pt>
                <c:pt idx="3">
                  <c:v>44622</c:v>
                </c:pt>
                <c:pt idx="4">
                  <c:v>44653</c:v>
                </c:pt>
                <c:pt idx="5">
                  <c:v>44683</c:v>
                </c:pt>
                <c:pt idx="6">
                  <c:v>44714</c:v>
                </c:pt>
                <c:pt idx="7">
                  <c:v>44744</c:v>
                </c:pt>
                <c:pt idx="8">
                  <c:v>44775</c:v>
                </c:pt>
                <c:pt idx="9">
                  <c:v>44806</c:v>
                </c:pt>
                <c:pt idx="10">
                  <c:v>44836</c:v>
                </c:pt>
                <c:pt idx="11">
                  <c:v>44867</c:v>
                </c:pt>
              </c:numCache>
            </c:numRef>
          </c:cat>
          <c:val>
            <c:numRef>
              <c:f>'LR monthly'!$AA$44:$AL$44</c:f>
              <c:numCache>
                <c:formatCode>0</c:formatCode>
                <c:ptCount val="12"/>
                <c:pt idx="0">
                  <c:v>39.03</c:v>
                </c:pt>
                <c:pt idx="1">
                  <c:v>54.6</c:v>
                </c:pt>
                <c:pt idx="2">
                  <c:v>54.6</c:v>
                </c:pt>
                <c:pt idx="3">
                  <c:v>54.6</c:v>
                </c:pt>
                <c:pt idx="4">
                  <c:v>54.6</c:v>
                </c:pt>
                <c:pt idx="5">
                  <c:v>54.6</c:v>
                </c:pt>
                <c:pt idx="6">
                  <c:v>54.6</c:v>
                </c:pt>
                <c:pt idx="7">
                  <c:v>54.6</c:v>
                </c:pt>
                <c:pt idx="8">
                  <c:v>54.6</c:v>
                </c:pt>
                <c:pt idx="9">
                  <c:v>54.6</c:v>
                </c:pt>
                <c:pt idx="10">
                  <c:v>54.6</c:v>
                </c:pt>
                <c:pt idx="11">
                  <c:v>54.6</c:v>
                </c:pt>
              </c:numCache>
            </c:numRef>
          </c:val>
          <c:smooth val="0"/>
          <c:extLst>
            <c:ext xmlns:c16="http://schemas.microsoft.com/office/drawing/2014/chart" uri="{C3380CC4-5D6E-409C-BE32-E72D297353CC}">
              <c16:uniqueId val="{00000003-1B8A-47D3-BB35-46E1F02FFA23}"/>
            </c:ext>
          </c:extLst>
        </c:ser>
        <c:ser>
          <c:idx val="4"/>
          <c:order val="4"/>
          <c:tx>
            <c:strRef>
              <c:f>'LR monthly'!$A$40</c:f>
              <c:strCache>
                <c:ptCount val="1"/>
                <c:pt idx="0">
                  <c:v>Closing stock @GSP+MT+BRP (LR)</c:v>
                </c:pt>
              </c:strCache>
            </c:strRef>
          </c:tx>
          <c:spPr>
            <a:ln w="28575" cap="rnd">
              <a:solidFill>
                <a:schemeClr val="accent5">
                  <a:lumMod val="75000"/>
                </a:schemeClr>
              </a:solidFill>
              <a:round/>
            </a:ln>
            <a:effectLst/>
          </c:spPr>
          <c:marker>
            <c:symbol val="none"/>
          </c:marker>
          <c:dLbls>
            <c:spPr>
              <a:noFill/>
              <a:ln>
                <a:noFill/>
              </a:ln>
              <a:effectLst/>
            </c:spPr>
            <c:txPr>
              <a:bodyPr rot="0" spcFirstLastPara="1" vertOverflow="ellipsis" vert="horz" wrap="square" anchor="ctr" anchorCtr="1"/>
              <a:lstStyle/>
              <a:p>
                <a:pPr>
                  <a:defRPr sz="1200" b="1" i="0" u="none" strike="noStrike" kern="1200" baseline="0">
                    <a:solidFill>
                      <a:schemeClr val="accent5">
                        <a:lumMod val="7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'LR monthly'!$AA$39:$AL$39</c:f>
              <c:numCache>
                <c:formatCode>B1mmm\-yy</c:formatCode>
                <c:ptCount val="12"/>
                <c:pt idx="0">
                  <c:v>44532</c:v>
                </c:pt>
                <c:pt idx="1">
                  <c:v>44563</c:v>
                </c:pt>
                <c:pt idx="2">
                  <c:v>44594</c:v>
                </c:pt>
                <c:pt idx="3">
                  <c:v>44622</c:v>
                </c:pt>
                <c:pt idx="4">
                  <c:v>44653</c:v>
                </c:pt>
                <c:pt idx="5">
                  <c:v>44683</c:v>
                </c:pt>
                <c:pt idx="6">
                  <c:v>44714</c:v>
                </c:pt>
                <c:pt idx="7">
                  <c:v>44744</c:v>
                </c:pt>
                <c:pt idx="8">
                  <c:v>44775</c:v>
                </c:pt>
                <c:pt idx="9">
                  <c:v>44806</c:v>
                </c:pt>
                <c:pt idx="10">
                  <c:v>44836</c:v>
                </c:pt>
                <c:pt idx="11">
                  <c:v>44867</c:v>
                </c:pt>
              </c:numCache>
            </c:numRef>
          </c:cat>
          <c:val>
            <c:numRef>
              <c:f>'LR monthly'!$AA$40:$AL$40</c:f>
              <c:numCache>
                <c:formatCode>_-* #,##0_-;\-* #,##0_-;_-* "-"??_-;_-@_-</c:formatCode>
                <c:ptCount val="12"/>
                <c:pt idx="0">
                  <c:v>74.578637289999989</c:v>
                </c:pt>
                <c:pt idx="1">
                  <c:v>77.582371716227186</c:v>
                </c:pt>
                <c:pt idx="2">
                  <c:v>75.014945807137991</c:v>
                </c:pt>
                <c:pt idx="3">
                  <c:v>79.025144438172461</c:v>
                </c:pt>
                <c:pt idx="4">
                  <c:v>74.313460978517256</c:v>
                </c:pt>
                <c:pt idx="5">
                  <c:v>91.64108995203199</c:v>
                </c:pt>
                <c:pt idx="6">
                  <c:v>74.534083614648409</c:v>
                </c:pt>
                <c:pt idx="7">
                  <c:v>80.923599648860375</c:v>
                </c:pt>
                <c:pt idx="8">
                  <c:v>92.209047516208614</c:v>
                </c:pt>
                <c:pt idx="9">
                  <c:v>90.115414829511593</c:v>
                </c:pt>
                <c:pt idx="10">
                  <c:v>66.370195334624668</c:v>
                </c:pt>
                <c:pt idx="11">
                  <c:v>87.156599623541354</c:v>
                </c:pt>
              </c:numCache>
            </c:numRef>
          </c:val>
          <c:smooth val="0"/>
          <c:extLst>
            <c:ext xmlns:c16="http://schemas.microsoft.com/office/drawing/2014/chart" uri="{C3380CC4-5D6E-409C-BE32-E72D297353CC}">
              <c16:uniqueId val="{00000004-1B8A-47D3-BB35-46E1F02FFA23}"/>
            </c:ext>
          </c:extLst>
        </c:ser>
        <c:dLbls>
          <c:showLegendKey val="0"/>
          <c:showVal val="1"/>
          <c:showCatName val="0"/>
          <c:showSerName val="0"/>
          <c:showPercent val="0"/>
          <c:showBubbleSize val="0"/>
        </c:dLbls>
        <c:marker val="1"/>
        <c:smooth val="0"/>
        <c:axId val="820322728"/>
        <c:axId val="820331584"/>
      </c:lineChart>
      <c:dateAx>
        <c:axId val="82032272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820331584"/>
        <c:crosses val="autoZero"/>
        <c:auto val="1"/>
        <c:lblOffset val="100"/>
        <c:baseTimeUnit val="months"/>
      </c:dateAx>
      <c:valAx>
        <c:axId val="820331584"/>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820322728"/>
        <c:crosses val="autoZero"/>
        <c:crossBetween val="between"/>
      </c:valAx>
      <c:spPr>
        <a:noFill/>
        <a:ln>
          <a:noFill/>
        </a:ln>
        <a:effectLst/>
      </c:spPr>
    </c:plotArea>
    <c:legend>
      <c:legendPos val="b"/>
      <c:layout>
        <c:manualLayout>
          <c:xMode val="edge"/>
          <c:yMode val="edge"/>
          <c:x val="3.9623357461448933E-2"/>
          <c:y val="0.88408282828282825"/>
          <c:w val="0.95058993055555563"/>
          <c:h val="0.10052323232323232"/>
        </c:manualLayout>
      </c:layout>
      <c:overlay val="0"/>
      <c:spPr>
        <a:noFill/>
        <a:ln>
          <a:noFill/>
        </a:ln>
        <a:effectLst/>
      </c:spPr>
      <c:txPr>
        <a:bodyPr rot="0" spcFirstLastPara="1" vertOverflow="ellipsis" vert="horz" wrap="square" anchor="ctr" anchorCtr="1"/>
        <a:lstStyle/>
        <a:p>
          <a:pPr>
            <a:defRPr sz="8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noFill/>
    <a:ln w="9525" cap="flat" cmpd="sng" algn="ctr">
      <a:noFill/>
      <a:round/>
    </a:ln>
    <a:effectLst/>
  </c:spPr>
  <c:txPr>
    <a:bodyPr/>
    <a:lstStyle/>
    <a:p>
      <a:pPr>
        <a:defRPr sz="1200" b="1">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%C3/LPG GSP RY Inventoy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'C3LPG'!$H$3:$V$3</c:f>
              <c:numCache>
                <c:formatCode>B1mmm\-yy</c:formatCode>
                <c:ptCount val="15"/>
                <c:pt idx="0">
                  <c:v>43679</c:v>
                </c:pt>
                <c:pt idx="1">
                  <c:v>43710</c:v>
                </c:pt>
                <c:pt idx="2">
                  <c:v>43740</c:v>
                </c:pt>
                <c:pt idx="3">
                  <c:v>43771</c:v>
                </c:pt>
                <c:pt idx="4">
                  <c:v>43801</c:v>
                </c:pt>
                <c:pt idx="5">
                  <c:v>43832</c:v>
                </c:pt>
                <c:pt idx="6">
                  <c:v>43863</c:v>
                </c:pt>
                <c:pt idx="7">
                  <c:v>43892</c:v>
                </c:pt>
                <c:pt idx="8">
                  <c:v>43923</c:v>
                </c:pt>
                <c:pt idx="9">
                  <c:v>43953</c:v>
                </c:pt>
                <c:pt idx="10">
                  <c:v>43984</c:v>
                </c:pt>
                <c:pt idx="11">
                  <c:v>44014</c:v>
                </c:pt>
                <c:pt idx="12">
                  <c:v>44045</c:v>
                </c:pt>
                <c:pt idx="13">
                  <c:v>44076</c:v>
                </c:pt>
                <c:pt idx="14">
                  <c:v>44106</c:v>
                </c:pt>
              </c:numCache>
            </c:numRef>
          </c:cat>
          <c:val>
            <c:numRef>
              <c:f>'C3LPG'!$F$4:$V$4</c:f>
              <c:numCache>
                <c:formatCode>_-* #,##0.0_-;\-* #,##0.0_-;_-* "-"??_-;_-@_-</c:formatCode>
                <c:ptCount val="17"/>
              </c:numCache>
            </c:numRef>
          </c:val>
          <c:smooth val="0"/>
          <c:extLst>
            <c:ext xmlns:c16="http://schemas.microsoft.com/office/drawing/2014/chart" uri="{C3380CC4-5D6E-409C-BE32-E72D297353CC}">
              <c16:uniqueId val="{00000000-C5F0-42EF-956E-C6456BDF6FCE}"/>
            </c:ext>
          </c:extLst>
        </c:ser>
        <c:ser>
          <c:idx val="3"/>
          <c:order val="1"/>
          <c:spPr>
            <a:ln w="28575" cap="rnd">
              <a:solidFill>
                <a:schemeClr val="accent4"/>
              </a:solidFill>
              <a:round/>
            </a:ln>
            <a:effectLst/>
          </c:spPr>
          <c:marker>
            <c:symbol val="none"/>
          </c:marker>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'C3LPG'!$H$3:$V$3</c:f>
              <c:numCache>
                <c:formatCode>B1mmm\-yy</c:formatCode>
                <c:ptCount val="15"/>
                <c:pt idx="0">
                  <c:v>43679</c:v>
                </c:pt>
                <c:pt idx="1">
                  <c:v>43710</c:v>
                </c:pt>
                <c:pt idx="2">
                  <c:v>43740</c:v>
                </c:pt>
                <c:pt idx="3">
                  <c:v>43771</c:v>
                </c:pt>
                <c:pt idx="4">
                  <c:v>43801</c:v>
                </c:pt>
                <c:pt idx="5">
                  <c:v>43832</c:v>
                </c:pt>
                <c:pt idx="6">
                  <c:v>43863</c:v>
                </c:pt>
                <c:pt idx="7">
                  <c:v>43892</c:v>
                </c:pt>
                <c:pt idx="8">
                  <c:v>43923</c:v>
                </c:pt>
                <c:pt idx="9">
                  <c:v>43953</c:v>
                </c:pt>
                <c:pt idx="10">
                  <c:v>43984</c:v>
                </c:pt>
                <c:pt idx="11">
                  <c:v>44014</c:v>
                </c:pt>
                <c:pt idx="12">
                  <c:v>44045</c:v>
                </c:pt>
                <c:pt idx="13">
                  <c:v>44076</c:v>
                </c:pt>
                <c:pt idx="14">
                  <c:v>44106</c:v>
                </c:pt>
              </c:numCache>
            </c:numRef>
          </c:cat>
          <c:val>
            <c:numRef>
              <c:f>'C3LPG'!$H$7:$V$7</c:f>
              <c:numCache>
                <c:formatCode>0%</c:formatCode>
                <c:ptCount val="15"/>
                <c:pt idx="0">
                  <c:v>0.39182363423008387</c:v>
                </c:pt>
                <c:pt idx="1">
                  <c:v>0.2216113230263459</c:v>
                </c:pt>
                <c:pt idx="2">
                  <c:v>0.59643698300303716</c:v>
                </c:pt>
                <c:pt idx="3">
                  <c:v>0.56993512537453628</c:v>
                </c:pt>
                <c:pt idx="4">
                  <c:v>0.64258389415354455</c:v>
                </c:pt>
                <c:pt idx="5">
                  <c:v>0.33910230182228851</c:v>
                </c:pt>
                <c:pt idx="6">
                  <c:v>0.72585738643227993</c:v>
                </c:pt>
                <c:pt idx="7">
                  <c:v>0.67877677003271597</c:v>
                </c:pt>
                <c:pt idx="8">
                  <c:v>0.37553485757121435</c:v>
                </c:pt>
                <c:pt idx="9">
                  <c:v>0.64516963887942547</c:v>
                </c:pt>
                <c:pt idx="10">
                  <c:v>0.31575862400307481</c:v>
                </c:pt>
                <c:pt idx="11">
                  <c:v>0.39326065497872936</c:v>
                </c:pt>
                <c:pt idx="12">
                  <c:v>0.3302990993824087</c:v>
                </c:pt>
                <c:pt idx="13">
                  <c:v>0.58301798614568867</c:v>
                </c:pt>
                <c:pt idx="14">
                  <c:v>0.31373027945586512</c:v>
                </c:pt>
              </c:numCache>
            </c:numRef>
          </c:val>
          <c:smooth val="0"/>
          <c:extLst>
            <c:ext xmlns:c16="http://schemas.microsoft.com/office/drawing/2014/chart" uri="{C3380CC4-5D6E-409C-BE32-E72D297353CC}">
              <c16:uniqueId val="{00000001-C5F0-42EF-956E-C6456BDF6FCE}"/>
            </c:ext>
          </c:extLst>
        </c:ser>
        <c:dLbls>
          <c:dLblPos val="t"/>
          <c:showLegendKey val="0"/>
          <c:showVal val="1"/>
          <c:showCatName val="0"/>
          <c:showSerName val="0"/>
          <c:showPercent val="0"/>
          <c:showBubbleSize val="0"/>
        </c:dLbls>
        <c:smooth val="0"/>
        <c:axId val="482928624"/>
        <c:axId val="482928296"/>
      </c:lineChart>
      <c:dateAx>
        <c:axId val="482928624"/>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82928296"/>
        <c:crosses val="autoZero"/>
        <c:auto val="1"/>
        <c:lblOffset val="100"/>
        <c:baseTimeUnit val="months"/>
      </c:dateAx>
      <c:valAx>
        <c:axId val="482928296"/>
        <c:scaling>
          <c:orientation val="minMax"/>
        </c:scaling>
        <c:delete val="0"/>
        <c:axPos val="l"/>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82928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GSP Balance (KT)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'C3LPG'!$A$59</c:f>
              <c:strCache>
                <c:ptCount val="1"/>
                <c:pt idx="0">
                  <c:v>C3/LPG GSP 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'C3LPG'!$L$59:$X$59</c:f>
              <c:numCache>
                <c:formatCode>_(* #,##0_);_(* \(#,##0\);_(* "-"??_);_(@_)</c:formatCode>
                <c:ptCount val="13"/>
                <c:pt idx="0">
                  <c:v>308.76</c:v>
                </c:pt>
                <c:pt idx="1">
                  <c:v>274.16699999999997</c:v>
                </c:pt>
                <c:pt idx="2">
                  <c:v>269</c:v>
                </c:pt>
                <c:pt idx="3">
                  <c:v>299.5</c:v>
                </c:pt>
                <c:pt idx="4">
                  <c:v>248.80099999999999</c:v>
                </c:pt>
                <c:pt idx="5">
                  <c:v>225</c:v>
                </c:pt>
                <c:pt idx="6">
                  <c:v>238.5</c:v>
                </c:pt>
                <c:pt idx="7">
                  <c:v>250.608</c:v>
                </c:pt>
                <c:pt idx="8">
                  <c:v>270.3</c:v>
                </c:pt>
                <c:pt idx="9">
                  <c:v>276</c:v>
                </c:pt>
                <c:pt idx="10">
                  <c:v>279.80200000000002</c:v>
                </c:pt>
                <c:pt idx="11">
                  <c:v>255.7</c:v>
                </c:pt>
                <c:pt idx="12">
                  <c:v>267.7</c:v>
                </c:pt>
              </c:numCache>
            </c:numRef>
          </c:val>
          <c:extLst>
            <c:ext xmlns:c15="http://schemas.microsoft.com/office/drawing/2012/chart" uri="{02D57815-91ED-43cb-92C2-25804820EDAC}">
              <c15:filteredCategoryTitle>
                <c15:cat>
                  <c:numRef>
                    <c:extLst>
                      <c:ext uri="{02D57815-91ED-43cb-92C2-25804820EDAC}">
                        <c15:formulaRef>
                          <c15:sqref>'C3LPG'!$L$54:$X$54</c15:sqref>
                        </c15:formulaRef>
                      </c:ext>
                    </c:extLst>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15:cat>
              </c15:filteredCategoryTitle>
            </c:ext>
            <c:ext xmlns:c16="http://schemas.microsoft.com/office/drawing/2014/chart" uri="{C3380CC4-5D6E-409C-BE32-E72D297353CC}">
              <c16:uniqueId val="{00000000-B86F-47CB-BC28-28DFEBACDBC2}"/>
            </c:ext>
          </c:extLst>
        </c:ser>
        <c:ser>
          <c:idx val="1"/>
          <c:order val="1"/>
          <c:tx>
            <c:strRef>
              <c:f>'C3LPG'!$A$61</c:f>
              <c:strCache>
                <c:ptCount val="1"/>
                <c:pt idx="0">
                  <c:v>GC</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'C3LPG'!$L$61:$X$61</c:f>
              <c:numCache>
                <c:formatCode>_(* #,##0_);_(* \(#,##0\);_(* "-"??_);_(@_)</c:formatCode>
                <c:ptCount val="13"/>
                <c:pt idx="0">
                  <c:v>25</c:v>
                </c:pt>
                <c:pt idx="1">
                  <c:v>20</c:v>
                </c:pt>
                <c:pt idx="2">
                  <c:v>18</c:v>
                </c:pt>
                <c:pt idx="3">
                  <c:v>7</c:v>
                </c:pt>
                <c:pt idx="4">
                  <c:v>2</c:v>
                </c:pt>
                <c:pt idx="5">
                  <c:v>6</c:v>
                </c:pt>
                <c:pt idx="6">
                  <c:v>0</c:v>
                </c:pt>
                <c:pt idx="7" formatCode="_(* #,##0.0_);_(* \(#,##0.0\);_(* &quot;-&quot;??_);_(@_)">
                  <c:v>4</c:v>
                </c:pt>
                <c:pt idx="8" formatCode="_(* #,##0.0_);_(* \(#,##0.0\);_(* &quot;-&quot;??_);_(@_)">
                  <c:v>1.2</c:v>
                </c:pt>
                <c:pt idx="9" formatCode="_(* #,##0.0_);_(* \(#,##0.0\);_(* &quot;-&quot;??_);_(@_)">
                  <c:v>0</c:v>
                </c:pt>
                <c:pt idx="10" formatCode="_(* #,##0.0_);_(* \(#,##0.0\);_(* &quot;-&quot;??_);_(@_)">
                  <c:v>0</c:v>
                </c:pt>
                <c:pt idx="11" formatCode="_(* #,##0.0_);_(* \(#,##0.0\);_(* &quot;-&quot;??_);_(@_)">
                  <c:v>13</c:v>
                </c:pt>
                <c:pt idx="12" formatCode="_(* #,##0.0_);_(* \(#,##0.0\);_(* &quot;-&quot;??_);_(@_)">
                  <c:v>11.6</c:v>
                </c:pt>
              </c:numCache>
            </c:numRef>
          </c:val>
          <c:extLst>
            <c:ext xmlns:c15="http://schemas.microsoft.com/office/drawing/2012/chart" uri="{02D57815-91ED-43cb-92C2-25804820EDAC}">
              <c15:filteredCategoryTitle>
                <c15:cat>
                  <c:numRef>
                    <c:extLst>
                      <c:ext uri="{02D57815-91ED-43cb-92C2-25804820EDAC}">
                        <c15:formulaRef>
                          <c15:sqref>'C3LPG'!$L$54:$X$54</c15:sqref>
                        </c15:formulaRef>
                      </c:ext>
                    </c:extLst>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15:cat>
              </c15:filteredCategoryTitle>
            </c:ext>
            <c:ext xmlns:c16="http://schemas.microsoft.com/office/drawing/2014/chart" uri="{C3380CC4-5D6E-409C-BE32-E72D297353CC}">
              <c16:uniqueId val="{00000002-B86F-47CB-BC28-28DFEBACDBC2}"/>
            </c:ext>
          </c:extLst>
        </c:ser>
        <c:ser>
          <c:idx val="2"/>
          <c:order val="2"/>
          <c:tx>
            <c:strRef>
              <c:f>'C3LPG'!$A$62</c:f>
              <c:strCache>
                <c:ptCount val="1"/>
                <c:pt idx="0">
                  <c:v>SPRC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'C3LPG'!$K$62:$X$62</c:f>
              <c:numCache>
                <c:formatCode>_(* #,##0.0_);_(* \(#,##0.0\);_(* "-"??_);_(@_)</c:formatCode>
                <c:ptCount val="14"/>
                <c:pt idx="0">
                  <c:v>0</c:v>
                </c:pt>
                <c:pt idx="1">
                  <c:v>3.96</c:v>
                </c:pt>
                <c:pt idx="2">
                  <c:v>6.37</c:v>
                </c:pt>
                <c:pt idx="3">
                  <c:v>6.1</c:v>
                </c:pt>
                <c:pt idx="4">
                  <c:v>6.4799999999999995</c:v>
                </c:pt>
                <c:pt idx="5">
                  <c:v>4.3</c:v>
                </c:pt>
                <c:pt idx="6">
                  <c:v>3</c:v>
                </c:pt>
                <c:pt idx="7">
                  <c:v>3</c:v>
                </c:pt>
                <c:pt idx="8">
                  <c:v>3.5</c:v>
                </c:pt>
                <c:pt idx="9">
                  <c:v>3</c:v>
                </c:pt>
                <c:pt idx="10">
                  <c:v>3.6</c:v>
                </c:pt>
                <c:pt idx="11">
                  <c:v>6.7600000000000007</c:v>
                </c:pt>
                <c:pt idx="12">
                  <c:v>6.06</c:v>
                </c:pt>
                <c:pt idx="13">
                  <c:v>6.67</c:v>
                </c:pt>
              </c:numCache>
            </c:numRef>
          </c:val>
          <c:extLst>
            <c:ext xmlns:c15="http://schemas.microsoft.com/office/drawing/2012/chart" uri="{02D57815-91ED-43cb-92C2-25804820EDAC}">
              <c15:filteredCategoryTitle>
                <c15:cat>
                  <c:numRef>
                    <c:extLst>
                      <c:ext uri="{02D57815-91ED-43cb-92C2-25804820EDAC}">
                        <c15:formulaRef>
                          <c15:sqref>'C3LPG'!$L$54:$X$54</c15:sqref>
                        </c15:formulaRef>
                      </c:ext>
                    </c:extLst>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15:cat>
              </c15:filteredCategoryTitle>
            </c:ext>
            <c:ext xmlns:c16="http://schemas.microsoft.com/office/drawing/2014/chart" uri="{C3380CC4-5D6E-409C-BE32-E72D297353CC}">
              <c16:uniqueId val="{00000004-B86F-47CB-BC28-28DFEBACDBC2}"/>
            </c:ext>
          </c:extLst>
        </c:ser>
        <c:ser>
          <c:idx val="3"/>
          <c:order val="3"/>
          <c:tx>
            <c:strRef>
              <c:f>'C3LPG'!$A$63</c:f>
              <c:strCache>
                <c:ptCount val="1"/>
                <c:pt idx="0">
                  <c:v>PTTEP/LKB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'C3LPG'!$L$63:$X$63</c:f>
              <c:numCache>
                <c:formatCode>_(* #,##0.0_);_(* \(#,##0.0\);_(* "-"??_);_(@_)</c:formatCode>
                <c:ptCount val="13"/>
                <c:pt idx="0">
                  <c:v>6.05</c:v>
                </c:pt>
                <c:pt idx="1">
                  <c:v>6.2</c:v>
                </c:pt>
                <c:pt idx="2">
                  <c:v>5.66</c:v>
                </c:pt>
                <c:pt idx="3">
                  <c:v>6.0449999999999999</c:v>
                </c:pt>
                <c:pt idx="4">
                  <c:v>5.85</c:v>
                </c:pt>
                <c:pt idx="5">
                  <c:v>4.5999999999999996</c:v>
                </c:pt>
                <c:pt idx="6">
                  <c:v>5.7</c:v>
                </c:pt>
                <c:pt idx="7">
                  <c:v>5.7</c:v>
                </c:pt>
                <c:pt idx="8">
                  <c:v>5.68</c:v>
                </c:pt>
                <c:pt idx="9">
                  <c:v>5.4</c:v>
                </c:pt>
                <c:pt idx="10">
                  <c:v>5.8</c:v>
                </c:pt>
                <c:pt idx="11">
                  <c:v>5.4</c:v>
                </c:pt>
                <c:pt idx="12">
                  <c:v>5.58</c:v>
                </c:pt>
              </c:numCache>
            </c:numRef>
          </c:val>
          <c:extLst>
            <c:ext xmlns:c15="http://schemas.microsoft.com/office/drawing/2012/chart" uri="{02D57815-91ED-43cb-92C2-25804820EDAC}">
              <c15:filteredCategoryTitle>
                <c15:cat>
                  <c:numRef>
                    <c:extLst>
                      <c:ext uri="{02D57815-91ED-43cb-92C2-25804820EDAC}">
                        <c15:formulaRef>
                          <c15:sqref>'C3LPG'!$L$54:$X$54</c15:sqref>
                        </c15:formulaRef>
                      </c:ext>
                    </c:extLst>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15:cat>
              </c15:filteredCategoryTitle>
            </c:ext>
            <c:ext xmlns:c16="http://schemas.microsoft.com/office/drawing/2014/chart" uri="{C3380CC4-5D6E-409C-BE32-E72D297353CC}">
              <c16:uniqueId val="{00000005-B86F-47CB-BC28-28DFEBACDBC2}"/>
            </c:ext>
          </c:extLst>
        </c:ser>
        <c:ser>
          <c:idx val="4"/>
          <c:order val="4"/>
          <c:tx>
            <c:strRef>
              <c:f>'C3LPG'!$A$64</c:f>
              <c:strCache>
                <c:ptCount val="1"/>
                <c:pt idx="0">
                  <c:v>GSP KHM</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'C3LPG'!$L$64:$X$64</c:f>
              <c:numCache>
                <c:formatCode>_(* #,##0_);_(* \(#,##0\);_(* "-"??_);_(@_)</c:formatCode>
                <c:ptCount val="13"/>
                <c:pt idx="0">
                  <c:v>13.26</c:v>
                </c:pt>
                <c:pt idx="1">
                  <c:v>17</c:v>
                </c:pt>
                <c:pt idx="2">
                  <c:v>17.5</c:v>
                </c:pt>
                <c:pt idx="3">
                  <c:v>15</c:v>
                </c:pt>
                <c:pt idx="4" formatCode="_(* #,##0.0_);_(* \(#,##0.0\);_(* &quot;-&quot;??_);_(@_)">
                  <c:v>16.5</c:v>
                </c:pt>
                <c:pt idx="5">
                  <c:v>15</c:v>
                </c:pt>
                <c:pt idx="6" formatCode="_(* #,##0.0_);_(* \(#,##0.0\);_(* &quot;-&quot;??_);_(@_)">
                  <c:v>14.5</c:v>
                </c:pt>
                <c:pt idx="7" formatCode="_(* #,##0.0_);_(* \(#,##0.0\);_(* &quot;-&quot;??_);_(@_)">
                  <c:v>15.5</c:v>
                </c:pt>
                <c:pt idx="8" formatCode="_(* #,##0.0_);_(* \(#,##0.0\);_(* &quot;-&quot;??_);_(@_)">
                  <c:v>13.04</c:v>
                </c:pt>
                <c:pt idx="9" formatCode="_(* #,##0.0_);_(* \(#,##0.0\);_(* &quot;-&quot;??_);_(@_)">
                  <c:v>17.2</c:v>
                </c:pt>
                <c:pt idx="10" formatCode="_(* #,##0.0_);_(* \(#,##0.0\);_(* &quot;-&quot;??_);_(@_)">
                  <c:v>15.83</c:v>
                </c:pt>
                <c:pt idx="11" formatCode="_(* #,##0.0_);_(* \(#,##0.0\);_(* &quot;-&quot;??_);_(@_)">
                  <c:v>16.2</c:v>
                </c:pt>
                <c:pt idx="12" formatCode="_(* #,##0.0_);_(* \(#,##0.0\);_(* &quot;-&quot;??_);_(@_)">
                  <c:v>15.4</c:v>
                </c:pt>
              </c:numCache>
            </c:numRef>
          </c:val>
          <c:extLst>
            <c:ext xmlns:c15="http://schemas.microsoft.com/office/drawing/2012/chart" uri="{02D57815-91ED-43cb-92C2-25804820EDAC}">
              <c15:filteredCategoryTitle>
                <c15:cat>
                  <c:numRef>
                    <c:extLst>
                      <c:ext uri="{02D57815-91ED-43cb-92C2-25804820EDAC}">
                        <c15:formulaRef>
                          <c15:sqref>'C3LPG'!$L$54:$X$54</c15:sqref>
                        </c15:formulaRef>
                      </c:ext>
                    </c:extLst>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15:cat>
              </c15:filteredCategoryTitle>
            </c:ext>
            <c:ext xmlns:c16="http://schemas.microsoft.com/office/drawing/2014/chart" uri="{C3380CC4-5D6E-409C-BE32-E72D297353CC}">
              <c16:uniqueId val="{00000007-B86F-47CB-BC28-28DFEBACDBC2}"/>
            </c:ext>
          </c:extLst>
        </c:ser>
        <c:ser>
          <c:idx val="7"/>
          <c:order val="7"/>
          <c:tx>
            <c:v>ดึง import</c:v>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'C3LPG'!$L$8:$X$8</c:f>
              <c:numCache>
                <c:formatCode>_-* #,##0.0_-;\-* #,##0.0_-;_-* "-"??_-;_-@_-</c:formatCode>
                <c:ptCount val="13"/>
                <c:pt idx="0" formatCode="_(* #,##0.0_);_(* \(#,##0.0\);_(* &quot;-&quot;??_);_(@_)">
                  <c:v>14.1</c:v>
                </c:pt>
                <c:pt idx="2" formatCode="_(* #,##0.00_);_(* \(#,##0.00\);_(* &quot;-&quot;??_);_(@_)">
                  <c:v>3.4</c:v>
                </c:pt>
                <c:pt idx="5" formatCode="_-* #,##0_-;\-* #,##0_-;_-* &quot;-&quot;??_-;_-@_-">
                  <c:v>2</c:v>
                </c:pt>
                <c:pt idx="6">
                  <c:v>3.58</c:v>
                </c:pt>
                <c:pt idx="7" formatCode="_-* #,##0_-;\-* #,##0_-;_-* &quot;-&quot;??_-;_-@_-">
                  <c:v>23</c:v>
                </c:pt>
                <c:pt idx="8" formatCode="_-* #,##0_-;\-* #,##0_-;_-* &quot;-&quot;??_-;_-@_-">
                  <c:v>27</c:v>
                </c:pt>
                <c:pt idx="9" formatCode="_-* #,##0_-;\-* #,##0_-;_-* &quot;-&quot;??_-;_-@_-">
                  <c:v>13</c:v>
                </c:pt>
                <c:pt idx="10" formatCode="_-* #,##0_-;\-* #,##0_-;_-* &quot;-&quot;??_-;_-@_-">
                  <c:v>7</c:v>
                </c:pt>
                <c:pt idx="11" formatCode="_-* #,##0_-;\-* #,##0_-;_-* &quot;-&quot;??_-;_-@_-">
                  <c:v>32</c:v>
                </c:pt>
                <c:pt idx="12" formatCode="_-* #,##0_-;\-* #,##0_-;_-* &quot;-&quot;??_-;_-@_-">
                  <c:v>20.677</c:v>
                </c:pt>
              </c:numCache>
            </c:numRef>
          </c:val>
          <c:extLst>
            <c:ext xmlns:c15="http://schemas.microsoft.com/office/drawing/2012/chart" uri="{02D57815-91ED-43cb-92C2-25804820EDAC}">
              <c15:filteredCategoryTitle>
                <c15:cat>
                  <c:numRef>
                    <c:extLst>
                      <c:ext uri="{02D57815-91ED-43cb-92C2-25804820EDAC}">
                        <c15:formulaRef>
                          <c15:sqref>'C3LPG'!$L$54:$X$54</c15:sqref>
                        </c15:formulaRef>
                      </c:ext>
                    </c:extLst>
                    <c:numCache>
                      <c:formatCode>B1mmm\-yy</c:formatCode>
                      <c:ptCount val="13"/>
                      <c:pt idx="0">
                        <c:v>43801</c:v>
                      </c:pt>
                      <c:pt idx="1">
                        <c:v>43832</c:v>
                      </c:pt>
                      <c:pt idx="2">
                        <c:v>43863</c:v>
                      </c:pt>
                      <c:pt idx="3">
                        <c:v>43892</c:v>
                      </c:pt>
                      <c:pt idx="4">
                        <c:v>43923</c:v>
                      </c:pt>
                      <c:pt idx="5">
                        <c:v>43953</c:v>
                      </c:pt>
                      <c:pt idx="6">
                        <c:v>43984</c:v>
                      </c:pt>
                      <c:pt idx="7">
                        <c:v>44014</c:v>
                      </c:pt>
                      <c:pt idx="8">
                        <c:v>44045</c:v>
                      </c:pt>
                      <c:pt idx="9">
                        <c:v>44076</c:v>
                      </c:pt>
                      <c:pt idx="10">
                        <c:v>44106</c:v>
                      </c:pt>
                      <c:pt idx="11">
                        <c:v>44137</c:v>
                      </c:pt>
                      <c:pt idx="12">
                        <c:v>44167</c:v>
                      </c:pt>
                    </c:numCache>
                  </c:numRef>
                </c15:cat>
              </c15:filteredCategoryTitle>
            </c:ext>
            <c:ext xmlns:c16="http://schemas.microsoft.com/office/drawing/2014/chart" uri="{C3380CC4-5D6E-409C-BE32-E72D297353CC}">
              <c16:uniqueId val="{00000008-B86F-47CB-BC28-28DFEBACDBC2}"/>
            </c:ext>
          </c:extLst>
        </c:ser>
        <c:dLbls>
          <c:showLegendKey val="0"/>
          <c:showVal val="1"/>
          <c:showCatName val="0"/>
          <c:showSerName val="0"/>
          <c:showPercent val="0"/>
          <c:showBubbleSize val="0"/>
        </c:dLbls>
        <c:gapWidth val="150"/>
        <c:overlap val="100"/>
        <c:axId val="941146208"/>
        <c:axId val="941141288"/>
      </c:barChart>
      <c:lineChart>
        <c:grouping val="standard"/>
        <c:varyColors val="0"/>
        <c:ser>
          <c:idx val="5"/>
          <c:order val="5"/>
          <c:tx>
            <c:v>Demand</c:v>
          </c:tx>
          <c:spPr>
            <a:ln w="28575" cap="rnd">
              <a:solidFill>
                <a:srgbClr val="0000FF"/>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00FF"/>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'C3LPG'!$L$190:$X$190</c:f>
              <c:numCache>
                <c:formatCode>_(* #,##0_);_(* \(#,##0\);_(* "-"??_);_(@_)</c:formatCode>
                <c:ptCount val="13"/>
                <c:pt idx="0">
                  <c:v>301.83112309999996</c:v>
                </c:pt>
                <c:pt idx="1">
                  <c:v>297.98329081999998</c:v>
                </c:pt>
                <c:pt idx="2">
                  <c:v>287.21145953000001</c:v>
                </c:pt>
                <c:pt idx="3">
                  <c:v>287.78300000000007</c:v>
                </c:pt>
                <c:pt idx="4">
                  <c:v>293.58999999999986</c:v>
                </c:pt>
                <c:pt idx="5">
                  <c:v>243.57659381000002</c:v>
                </c:pt>
                <c:pt idx="6">
                  <c:v>282.79017382000001</c:v>
                </c:pt>
                <c:pt idx="7">
                  <c:v>301.85999999999996</c:v>
                </c:pt>
                <c:pt idx="8">
                  <c:v>323.9323626373627</c:v>
                </c:pt>
                <c:pt idx="9">
                  <c:v>310.59999999999997</c:v>
                </c:pt>
                <c:pt idx="10">
                  <c:v>325.31</c:v>
                </c:pt>
                <c:pt idx="11">
                  <c:v>323.36240770999996</c:v>
                </c:pt>
                <c:pt idx="12">
                  <c:v>337.09400000000005</c:v>
                </c:pt>
              </c:numCache>
            </c:numRef>
          </c:val>
          <c:smooth val="0"/>
          <c:extLst>
            <c:ext xmlns:c16="http://schemas.microsoft.com/office/drawing/2014/chart" uri="{C3380CC4-5D6E-409C-BE32-E72D297353CC}">
              <c16:uniqueId val="{00000009-B86F-47CB-BC28-28DFEBACDBC2}"/>
            </c:ext>
          </c:extLst>
        </c:ser>
        <c:dLbls>
          <c:showLegendKey val="0"/>
          <c:showVal val="1"/>
          <c:showCatName val="0"/>
          <c:showSerName val="0"/>
          <c:showPercent val="0"/>
          <c:showBubbleSize val="0"/>
        </c:dLbls>
        <c:marker val="1"/>
        <c:smooth val="0"/>
        <c:axId val="941146208"/>
        <c:axId val="941141288"/>
      </c:lineChart>
      <c:lineChart>
        <c:grouping val="standard"/>
        <c:varyColors val="0"/>
        <c:ser>
          <c:idx val="6"/>
          <c:order val="6"/>
          <c:tx>
            <c:v>C3/LPG Inventory</c:v>
          </c:tx>
          <c:spPr>
            <a:ln w="28575" cap="rnd">
              <a:solidFill>
                <a:schemeClr val="tx1"/>
              </a:solidFill>
              <a:prstDash val="sysDot"/>
              <a:round/>
            </a:ln>
            <a:effectLst/>
          </c:spPr>
          <c:marker>
            <c:symbol val="none"/>
          </c:marker>
          <c:dLbls>
            <c:dLbl>
              <c:idx val="0"/>
              <c:layout>
                <c:manualLayout>
                  <c:x val="-2.6228983558950449E-2"/>
                  <c:y val="-5.9961896691653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86F-47CB-BC28-28DFEBACDBC2}"/>
                </c:ext>
              </c:extLst>
            </c:dLbl>
            <c:dLbl>
              <c:idx val="1"/>
              <c:layout>
                <c:manualLayout>
                  <c:x val="-2.7834184511150585E-2"/>
                  <c:y val="3.45663708960574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86F-47CB-BC28-28DFEBACDBC2}"/>
                </c:ext>
              </c:extLst>
            </c:dLbl>
            <c:dLbl>
              <c:idx val="2"/>
              <c:layout>
                <c:manualLayout>
                  <c:x val="-2.7834184511150585E-2"/>
                  <c:y val="3.8202073495584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86F-47CB-BC28-28DFEBACDBC2}"/>
                </c:ext>
              </c:extLst>
            </c:dLbl>
            <c:dLbl>
              <c:idx val="3"/>
              <c:layout>
                <c:manualLayout>
                  <c:x val="-2.7834184511150585E-2"/>
                  <c:y val="-2.36048706963802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86F-47CB-BC28-28DFEBACDBC2}"/>
                </c:ext>
              </c:extLst>
            </c:dLbl>
            <c:dLbl>
              <c:idx val="4"/>
              <c:layout>
                <c:manualLayout>
                  <c:x val="-2.6228983558950494E-2"/>
                  <c:y val="2.00235604979481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86F-47CB-BC28-28DFEBACDBC2}"/>
                </c:ext>
              </c:extLst>
            </c:dLbl>
            <c:dLbl>
              <c:idx val="6"/>
              <c:layout>
                <c:manualLayout>
                  <c:x val="-2.6228983558950376E-2"/>
                  <c:y val="2.36592630974754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B86F-47CB-BC28-28DFEBACDBC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'C3LPG'!$L$7:$X$7</c:f>
              <c:numCache>
                <c:formatCode>0%</c:formatCode>
                <c:ptCount val="13"/>
                <c:pt idx="0">
                  <c:v>0.64258389415354455</c:v>
                </c:pt>
                <c:pt idx="1">
                  <c:v>0.33910230182228851</c:v>
                </c:pt>
                <c:pt idx="2">
                  <c:v>0.72585738643227993</c:v>
                </c:pt>
                <c:pt idx="3">
                  <c:v>0.67877677003271597</c:v>
                </c:pt>
                <c:pt idx="4">
                  <c:v>0.37553485757121435</c:v>
                </c:pt>
                <c:pt idx="5">
                  <c:v>0.64516963887942547</c:v>
                </c:pt>
                <c:pt idx="6">
                  <c:v>0.31575862400307481</c:v>
                </c:pt>
                <c:pt idx="7">
                  <c:v>0.39326065497872936</c:v>
                </c:pt>
                <c:pt idx="8">
                  <c:v>0.3302990993824087</c:v>
                </c:pt>
                <c:pt idx="9">
                  <c:v>0.58301798614568867</c:v>
                </c:pt>
                <c:pt idx="10">
                  <c:v>0.31373027945586512</c:v>
                </c:pt>
                <c:pt idx="11">
                  <c:v>0.48721914685557821</c:v>
                </c:pt>
                <c:pt idx="12">
                  <c:v>0.36383103528880723</c:v>
                </c:pt>
              </c:numCache>
            </c:numRef>
          </c:val>
          <c:smooth val="0"/>
          <c:extLst>
            <c:ext xmlns:c16="http://schemas.microsoft.com/office/drawing/2014/chart" uri="{C3380CC4-5D6E-409C-BE32-E72D297353CC}">
              <c16:uniqueId val="{00000010-B86F-47CB-BC28-28DFEBACDBC2}"/>
            </c:ext>
          </c:extLst>
        </c:ser>
        <c:dLbls>
          <c:showLegendKey val="0"/>
          <c:showVal val="1"/>
          <c:showCatName val="0"/>
          <c:showSerName val="0"/>
          <c:showPercent val="0"/>
          <c:showBubbleSize val="0"/>
        </c:dLbls>
        <c:marker val="1"/>
        <c:smooth val="0"/>
        <c:axId val="611677464"/>
        <c:axId val="611678120"/>
      </c:lineChart>
      <c:catAx>
        <c:axId val="94114620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41141288"/>
        <c:crosses val="autoZero"/>
        <c:auto val="1"/>
        <c:lblAlgn val="ctr"/>
        <c:lblOffset val="100"/>
        <c:noMultiLvlLbl val="1"/>
      </c:catAx>
      <c:valAx>
        <c:axId val="941141288"/>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41146208"/>
        <c:crosses val="autoZero"/>
        <c:crossBetween val="between"/>
      </c:valAx>
      <c:valAx>
        <c:axId val="611678120"/>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11677464"/>
        <c:crosses val="max"/>
        <c:crossBetween val="between"/>
      </c:valAx>
      <c:catAx>
        <c:axId val="611677464"/>
        <c:scaling>
          <c:orientation val="minMax"/>
        </c:scaling>
        <c:delete val="1"/>
        <c:axPos val="b"/>
        <c:majorTickMark val="out"/>
        <c:minorTickMark val="none"/>
        <c:tickLblPos val="nextTo"/>
        <c:crossAx val="61167812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j-cs"/>
              </a:defRPr>
            </a:pPr>
            <a:r>
              <a:rPr lang="en-US"/>
              <a:t>C3/LPG Inventory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j-cs"/>
            </a:defRPr>
          </a:pPr>
          <a:endParaRPr lang="en-US"/>
        </a:p>
      </c:txPr>
    </c:title>
    <c:autoTitleDeleted val="0"/>
    <c:plotArea>
      <c:layout/>
      <c:lineChart>
        <c:grouping val="standard"/>
        <c:varyColors val="0"/>
        <c:ser>
          <c:idx val="6"/>
          <c:order val="0"/>
          <c:spPr>
            <a:ln w="28575" cap="rnd">
              <a:solidFill>
                <a:schemeClr val="tx1"/>
              </a:solidFill>
              <a:prstDash val="sysDot"/>
              <a:round/>
            </a:ln>
            <a:effectLst/>
          </c:spPr>
          <c:marker>
            <c:symbol val="none"/>
          </c:marker>
          <c:dLbls>
            <c:dLbl>
              <c:idx val="0"/>
              <c:layout>
                <c:manualLayout>
                  <c:x val="-2.7834184511150585E-2"/>
                  <c:y val="3.45663708960574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4D1-42A1-87BB-97147C0BCA28}"/>
                </c:ext>
              </c:extLst>
            </c:dLbl>
            <c:dLbl>
              <c:idx val="1"/>
              <c:layout>
                <c:manualLayout>
                  <c:x val="-2.7834184511150585E-2"/>
                  <c:y val="3.8202073495584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4D1-42A1-87BB-97147C0BCA28}"/>
                </c:ext>
              </c:extLst>
            </c:dLbl>
            <c:dLbl>
              <c:idx val="2"/>
              <c:layout>
                <c:manualLayout>
                  <c:x val="-2.7834184511150585E-2"/>
                  <c:y val="-2.36048706963802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4D1-42A1-87BB-97147C0BCA28}"/>
                </c:ext>
              </c:extLst>
            </c:dLbl>
            <c:dLbl>
              <c:idx val="3"/>
              <c:layout>
                <c:manualLayout>
                  <c:x val="-2.6228983558950494E-2"/>
                  <c:y val="2.00235604979481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4D1-42A1-87BB-97147C0BCA28}"/>
                </c:ext>
              </c:extLst>
            </c:dLbl>
            <c:dLbl>
              <c:idx val="5"/>
              <c:layout>
                <c:manualLayout>
                  <c:x val="-2.6228983558950376E-2"/>
                  <c:y val="2.36592630974754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4D1-42A1-87BB-97147C0BCA28}"/>
                </c:ext>
              </c:extLst>
            </c:dLbl>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j-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'C3LPG'!$M$3:$X$3</c:f>
              <c:numCache>
                <c:formatCode>B1mmm\-yy</c:formatCode>
                <c:ptCount val="12"/>
                <c:pt idx="0">
                  <c:v>43832</c:v>
                </c:pt>
                <c:pt idx="1">
                  <c:v>43863</c:v>
                </c:pt>
                <c:pt idx="2">
                  <c:v>43892</c:v>
                </c:pt>
                <c:pt idx="3">
                  <c:v>43923</c:v>
                </c:pt>
                <c:pt idx="4">
                  <c:v>43953</c:v>
                </c:pt>
                <c:pt idx="5">
                  <c:v>43984</c:v>
                </c:pt>
                <c:pt idx="6">
                  <c:v>44014</c:v>
                </c:pt>
                <c:pt idx="7">
                  <c:v>44045</c:v>
                </c:pt>
                <c:pt idx="8">
                  <c:v>44076</c:v>
                </c:pt>
                <c:pt idx="9">
                  <c:v>44106</c:v>
                </c:pt>
                <c:pt idx="10">
                  <c:v>44137</c:v>
                </c:pt>
                <c:pt idx="11">
                  <c:v>44167</c:v>
                </c:pt>
              </c:numCache>
            </c:numRef>
          </c:cat>
          <c:val>
            <c:numRef>
              <c:f>'C3LPG'!$M$7:$X$7</c:f>
              <c:numCache>
                <c:formatCode>0%</c:formatCode>
                <c:ptCount val="12"/>
                <c:pt idx="0">
                  <c:v>0.33910230182228851</c:v>
                </c:pt>
                <c:pt idx="1">
                  <c:v>0.72585738643227993</c:v>
                </c:pt>
                <c:pt idx="2">
                  <c:v>0.67877677003271597</c:v>
                </c:pt>
                <c:pt idx="3">
                  <c:v>0.37553485757121435</c:v>
                </c:pt>
                <c:pt idx="4">
                  <c:v>0.64516963887942547</c:v>
                </c:pt>
                <c:pt idx="5">
                  <c:v>0.31575862400307481</c:v>
                </c:pt>
                <c:pt idx="6">
                  <c:v>0.39326065497872936</c:v>
                </c:pt>
                <c:pt idx="7">
                  <c:v>0.3302990993824087</c:v>
                </c:pt>
                <c:pt idx="8">
                  <c:v>0.58301798614568867</c:v>
                </c:pt>
                <c:pt idx="9">
                  <c:v>0.31373027945586512</c:v>
                </c:pt>
                <c:pt idx="10">
                  <c:v>0.48721914685557821</c:v>
                </c:pt>
                <c:pt idx="11">
                  <c:v>0.36383103528880723</c:v>
                </c:pt>
              </c:numCache>
            </c:numRef>
          </c:val>
          <c:smooth val="0"/>
          <c:extLst>
            <c:ext xmlns:c16="http://schemas.microsoft.com/office/drawing/2014/chart" uri="{C3380CC4-5D6E-409C-BE32-E72D297353CC}">
              <c16:uniqueId val="{00000005-54D1-42A1-87BB-97147C0BCA28}"/>
            </c:ext>
          </c:extLst>
        </c:ser>
        <c:dLbls>
          <c:showLegendKey val="0"/>
          <c:showVal val="1"/>
          <c:showCatName val="0"/>
          <c:showSerName val="0"/>
          <c:showPercent val="0"/>
          <c:showBubbleSize val="0"/>
        </c:dLbls>
        <c:smooth val="0"/>
        <c:axId val="941146208"/>
        <c:axId val="941141288"/>
      </c:lineChart>
      <c:dateAx>
        <c:axId val="94114620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j-cs"/>
              </a:defRPr>
            </a:pPr>
            <a:endParaRPr lang="en-US"/>
          </a:p>
        </c:txPr>
        <c:crossAx val="941141288"/>
        <c:crosses val="autoZero"/>
        <c:auto val="1"/>
        <c:lblOffset val="100"/>
        <c:baseTimeUnit val="months"/>
      </c:dateAx>
      <c:valAx>
        <c:axId val="941141288"/>
        <c:scaling>
          <c:orientation val="minMax"/>
          <c:min val="0.2"/>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j-cs"/>
              </a:defRPr>
            </a:pPr>
            <a:endParaRPr lang="en-US"/>
          </a:p>
        </c:txPr>
        <c:crossAx val="941146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cs typeface="+mj-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image" Target="../media/image2.pn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24</xdr:col>
      <xdr:colOff>119743</xdr:colOff>
      <xdr:row>52</xdr:row>
      <xdr:rowOff>65315</xdr:rowOff>
    </xdr:from>
    <xdr:to>
      <xdr:col>39</xdr:col>
      <xdr:colOff>62057</xdr:colOff>
      <xdr:row>81</xdr:row>
      <xdr:rowOff>98657</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57</xdr:col>
      <xdr:colOff>492043</xdr:colOff>
      <xdr:row>45</xdr:row>
      <xdr:rowOff>119587</xdr:rowOff>
    </xdr:from>
    <xdr:to>
      <xdr:col>69</xdr:col>
      <xdr:colOff>401329</xdr:colOff>
      <xdr:row>77</xdr:row>
      <xdr:rowOff>66881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58</xdr:col>
      <xdr:colOff>431304</xdr:colOff>
      <xdr:row>53</xdr:row>
      <xdr:rowOff>4950</xdr:rowOff>
    </xdr:from>
    <xdr:to>
      <xdr:col>70</xdr:col>
      <xdr:colOff>241010</xdr:colOff>
      <xdr:row>81</xdr:row>
      <xdr:rowOff>145349</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55</xdr:col>
      <xdr:colOff>415637</xdr:colOff>
      <xdr:row>97</xdr:row>
      <xdr:rowOff>92363</xdr:rowOff>
    </xdr:from>
    <xdr:to>
      <xdr:col>67</xdr:col>
      <xdr:colOff>287626</xdr:colOff>
      <xdr:row>119</xdr:row>
      <xdr:rowOff>14720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46</xdr:col>
      <xdr:colOff>700963</xdr:colOff>
      <xdr:row>225</xdr:row>
      <xdr:rowOff>28367</xdr:rowOff>
    </xdr:from>
    <xdr:to>
      <xdr:col>58</xdr:col>
      <xdr:colOff>93188</xdr:colOff>
      <xdr:row>264</xdr:row>
      <xdr:rowOff>21966</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4"/>
        <a:stretch>
          <a:fillRect/>
        </a:stretch>
      </xdr:blipFill>
      <xdr:spPr>
        <a:xfrm>
          <a:off x="36046877" y="36952710"/>
          <a:ext cx="6609454" cy="7210828"/>
        </a:xfrm>
        <a:prstGeom prst="rect">
          <a:avLst/>
        </a:prstGeom>
      </xdr:spPr>
    </xdr:pic>
    <xdr:clientData/>
  </xdr:twoCellAnchor>
  <xdr:twoCellAnchor editAs="oneCell">
    <xdr:from>
      <xdr:col>61</xdr:col>
      <xdr:colOff>404503</xdr:colOff>
      <xdr:row>107</xdr:row>
      <xdr:rowOff>80747</xdr:rowOff>
    </xdr:from>
    <xdr:to>
      <xdr:col>73</xdr:col>
      <xdr:colOff>4980</xdr:colOff>
      <xdr:row>124</xdr:row>
      <xdr:rowOff>153511</xdr:rowOff>
    </xdr:to>
    <xdr:pic>
      <xdr:nvPicPr>
        <xdr:cNvPr id="7" name="Picture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5"/>
        <a:stretch>
          <a:fillRect/>
        </a:stretch>
      </xdr:blipFill>
      <xdr:spPr>
        <a:xfrm>
          <a:off x="47966003" y="16599818"/>
          <a:ext cx="7547049" cy="315705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ttgrp-fs01\NASDATA3\F\D\D\C\C\C\C\C\G\C\Documents%20and%20Settings\Administrator\Application%20Data\Microsoft\Excel\G\A\EGP.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ttgrp-fs01\NASDATA3\F\D\D\C\C\C\C\C\G\C\Documents%20and%20Settings\Administrator\Application%20Data\Microsoft\Excel\G\C\&#3614;&#3637;&#3656;&#3629;&#3657;&#3629;&#3618;370097\Drive%20D\Thanaporn(370097)%20Floor17\AOI\GASPRICE\BUS_PLAN\&#3626;&#3619;&#3640;&#3611;&#3619;&#3634;&#3588;&#3634;&#3585;&#3658;&#3634;&#3595;&#363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ttgrp-fs01\NASDATA3\F\D\D\C\C\C\C\C\G\C\Documents%20and%20Settings\Administrator\Application%20Data\Microsoft\Excel\G\C\PlanningTeam\Yearly%20Plan\Nov07-2002\DSYP-5Nov02-BVW7-Dec-04-PL40-Base.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LEVELAL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q-fs-s03\Gas\Production%20Planning\RYG-GSP-ProductionDBonWeb\Supply-DemandProgram-V1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EXAMPLES\BOOK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LLHEAD"/>
      <sheetName val="UNOCALII"/>
      <sheetName val="UNOIII"/>
      <sheetName val="UNOE"/>
      <sheetName val="BONGKOT"/>
      <sheetName val="ESSO"/>
      <sheetName val="BUSP"/>
      <sheetName val="Sheet2"/>
      <sheetName val="EGP"/>
      <sheetName val="Assumptions"/>
      <sheetName val="MP_97"/>
      <sheetName val="MP_98"/>
      <sheetName val="PRC_YR"/>
      <sheetName val="Sheet1"/>
      <sheetName val="Old Price"/>
      <sheetName val="Expanded Price "/>
      <sheetName val="ESSO-ESSO (incre.)"/>
      <sheetName val="Existing"/>
      <sheetName val="High Potential "/>
      <sheetName val="ประเภทเหตุผล"/>
      <sheetName val="List"/>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2%"/>
      <sheetName val="Sheet1"/>
      <sheetName val="vol"/>
      <sheetName val="Assumptions"/>
      <sheetName val="MP_98"/>
      <sheetName val="MP_99"/>
      <sheetName val="MP_00"/>
      <sheetName val="MP_01"/>
      <sheetName val="MP_02"/>
      <sheetName val="MP_03"/>
      <sheetName val="MP_04"/>
      <sheetName val="MP_05"/>
      <sheetName val="Yadana"/>
      <sheetName val="สรุปราคา_M (02-05)"/>
      <sheetName val="Sheet3"/>
      <sheetName val="AGP"/>
      <sheetName val="สรุปราคา_Y"/>
      <sheetName val="Sheet2"/>
      <sheetName val="#REF"/>
      <sheetName val="สรุปราคาก๊าซฯ"/>
      <sheetName val="ประเภทเหตุผล"/>
      <sheetName val="Area"/>
      <sheetName val="ประเภทเหตุผล "/>
      <sheetName val="Normal"/>
      <sheetName val="level_all"/>
      <sheetName val="For Fuel Trend"/>
    </sheetNames>
    <sheetDataSet>
      <sheetData sheetId="0">
        <row r="97">
          <cell r="BI97">
            <v>880</v>
          </cell>
        </row>
      </sheetData>
      <sheetData sheetId="1">
        <row r="97">
          <cell r="BI97">
            <v>880</v>
          </cell>
        </row>
      </sheetData>
      <sheetData sheetId="2">
        <row r="97">
          <cell r="BI97">
            <v>880</v>
          </cell>
        </row>
      </sheetData>
      <sheetData sheetId="3"/>
      <sheetData sheetId="4"/>
      <sheetData sheetId="5"/>
      <sheetData sheetId="6"/>
      <sheetData sheetId="7"/>
      <sheetData sheetId="8"/>
      <sheetData sheetId="9"/>
      <sheetData sheetId="10"/>
      <sheetData sheetId="11"/>
      <sheetData sheetId="12"/>
      <sheetData sheetId="13"/>
      <sheetData sheetId="14">
        <row r="97">
          <cell r="BI97">
            <v>880</v>
          </cell>
        </row>
      </sheetData>
      <sheetData sheetId="15" refreshError="1">
        <row r="97">
          <cell r="BI97">
            <v>880</v>
          </cell>
          <cell r="BL97">
            <v>880</v>
          </cell>
          <cell r="BM97">
            <v>880</v>
          </cell>
        </row>
        <row r="98">
          <cell r="BI98">
            <v>26.716799999999999</v>
          </cell>
          <cell r="BL98">
            <v>79.279200000000003</v>
          </cell>
          <cell r="BM98">
            <v>26.716799999999999</v>
          </cell>
        </row>
        <row r="99">
          <cell r="BI99">
            <v>141.97765799999999</v>
          </cell>
          <cell r="BL99">
            <v>141.97765799999999</v>
          </cell>
          <cell r="BM99">
            <v>143.65229299999999</v>
          </cell>
        </row>
      </sheetData>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ning"/>
      <sheetName val="SupplyPlan"/>
      <sheetName val="ToP"/>
      <sheetName val="Obligation"/>
      <sheetName val="Revenue"/>
      <sheetName val="Pools"/>
      <sheetName val="Purchase"/>
      <sheetName val="GWh"/>
      <sheetName val="GWhPTT"/>
      <sheetName val="EGATGasPTT"/>
      <sheetName val="HeatRate"/>
      <sheetName val="level_all"/>
      <sheetName val="TAB22"/>
      <sheetName val="TAB01"/>
      <sheetName val="Mat'l_Unit"/>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vel_all"/>
      <sheetName val="AllDam (ใช้งาน)"/>
      <sheetName val="(Ref)"/>
      <sheetName val="Sheet3"/>
      <sheetName val="bb"/>
      <sheetName val="sk"/>
      <sheetName val="snr"/>
      <sheetName val="khl"/>
      <sheetName val="rpb"/>
      <sheetName val="blg"/>
      <sheetName val="ur"/>
      <sheetName val="srd"/>
      <sheetName val="clb"/>
      <sheetName val="np"/>
      <sheetName val="kkc"/>
      <sheetName val="krd"/>
      <sheetName val="mng"/>
      <sheetName val="พลังงานไฟฟ้า"/>
      <sheetName val="Input_Allocate"/>
      <sheetName val="Cal_Project"/>
      <sheetName val="Dum_AllocateIDC"/>
      <sheetName val="Report_AllIDC"/>
      <sheetName val="Apr"/>
      <sheetName val="Aug"/>
      <sheetName val="Feb"/>
      <sheetName val="Jan"/>
      <sheetName val="Jun"/>
      <sheetName val="Jul"/>
      <sheetName val="Mar"/>
      <sheetName val="May"/>
      <sheetName val="Oct"/>
      <sheetName val="Sep"/>
      <sheetName val="factor"/>
      <sheetName val="AuxiliaryTables"/>
      <sheetName val="LEVELALL"/>
      <sheetName val="USD"/>
      <sheetName val="THB"/>
      <sheetName val="Monthly USD"/>
      <sheetName val="Monthly THB"/>
      <sheetName val="Quaterly USD"/>
      <sheetName val="Quaterly THB"/>
      <sheetName val="FX"/>
      <sheetName val="By book"/>
      <sheetName val="สรุปวงเงินดำเนินการ_V0 "/>
    </sheetNames>
    <sheetDataSet>
      <sheetData sheetId="0" refreshError="1">
        <row r="2">
          <cell r="N2" t="str">
            <v>sk</v>
          </cell>
          <cell r="O2" t="str">
            <v>แผน ปี39Prob*0.40</v>
          </cell>
          <cell r="P2" t="str">
            <v>ระดับน้ำ ปี39</v>
          </cell>
          <cell r="Q2" t="str">
            <v>ระดับน้ำ ปี38</v>
          </cell>
          <cell r="R2" t="str">
            <v>ระดับน้ำ ปี37</v>
          </cell>
          <cell r="S2" t="str">
            <v>ระดับสูงสุดที่ควรจะเป็น</v>
          </cell>
          <cell r="T2" t="str">
            <v>ระดับต่ำสุดที่ควรจะเป็น</v>
          </cell>
          <cell r="U2" t="str">
            <v xml:space="preserve">ระดับที่เดินเครื่องได้เต็มที่ </v>
          </cell>
          <cell r="AC2" t="str">
            <v>mng</v>
          </cell>
          <cell r="AD2" t="str">
            <v>แผน ปี39 Prob*0.</v>
          </cell>
          <cell r="AE2" t="str">
            <v>ระดับน้ำ ปี39</v>
          </cell>
          <cell r="AF2" t="str">
            <v>ระดับน้ำ ปี38</v>
          </cell>
          <cell r="AG2" t="str">
            <v>ระดับน้ำ ปี37</v>
          </cell>
          <cell r="AH2" t="str">
            <v>ระดับที่ควรจะเป็น</v>
          </cell>
          <cell r="AI2" t="str">
            <v>ระดับต่ำสุดที่ควรจะเป็น</v>
          </cell>
          <cell r="AK2" t="str">
            <v>ระดับต่ำสุดที่เดินเครื่องได้</v>
          </cell>
          <cell r="AO2" t="str">
            <v>SNR</v>
          </cell>
          <cell r="AP2" t="str">
            <v>แผน ปี39 Prob*0.40</v>
          </cell>
          <cell r="AQ2" t="str">
            <v>ระดับน้ำ ปี39</v>
          </cell>
          <cell r="AR2" t="str">
            <v>ระดับน้ำ ปี38</v>
          </cell>
          <cell r="AS2" t="str">
            <v>ระดับน้ำ ปี37</v>
          </cell>
          <cell r="AT2" t="str">
            <v>ระดับสูงสุดที่ควรจะเป็น</v>
          </cell>
          <cell r="AU2" t="str">
            <v>ระดับต่ำสุดที่ควรจะเป็น</v>
          </cell>
          <cell r="AV2" t="str">
            <v>ระดับที่เดินเครื่องได้เต็มที่ #4-5</v>
          </cell>
          <cell r="AW2" t="str">
            <v>ระดับที่เดินเครื่องได้เต็มที่ #1-3</v>
          </cell>
          <cell r="AX2" t="str">
            <v>ระดับต่ำสุดที่เดินเครื่องได้</v>
          </cell>
          <cell r="BB2" t="str">
            <v>khl</v>
          </cell>
          <cell r="BC2" t="str">
            <v>แผน ปี39 Prob*0.40</v>
          </cell>
          <cell r="BD2" t="str">
            <v>ระดับน้ำ ปี39</v>
          </cell>
          <cell r="BE2" t="str">
            <v>ระดับน้ำ ปี38</v>
          </cell>
          <cell r="BF2" t="str">
            <v>ระดับน้ำ ปี37</v>
          </cell>
          <cell r="BG2" t="str">
            <v>ระดับสูงสุดที่ควรจะเป็น</v>
          </cell>
          <cell r="BH2" t="str">
            <v>ระดับต่ำสุดที่ควรจะเป็น</v>
          </cell>
          <cell r="BI2" t="str">
            <v xml:space="preserve">ระดับที่เดินเครื่องได้เต็มที่ </v>
          </cell>
          <cell r="BK2" t="str">
            <v>ระดับต่ำสุดที่เดินเครื่องได้</v>
          </cell>
          <cell r="BO2" t="str">
            <v>kkc</v>
          </cell>
          <cell r="BP2" t="str">
            <v>แผน ปี39 Prob*0.40</v>
          </cell>
          <cell r="BQ2" t="str">
            <v>ระดับน้ำ ปี39</v>
          </cell>
          <cell r="BR2" t="str">
            <v>ระดับน้ำ ปี38</v>
          </cell>
          <cell r="BS2" t="str">
            <v>ระดับน้ำ ปี37</v>
          </cell>
          <cell r="BT2" t="str">
            <v>ระดับที่ควรจะเป็น</v>
          </cell>
          <cell r="BU2" t="str">
            <v>ระดับต่ำสุดที่ควรจะเป็น</v>
          </cell>
          <cell r="BV2" t="str">
            <v xml:space="preserve">ระดับที่เดินเครื่องได้เต็มที่ </v>
          </cell>
          <cell r="BW2" t="str">
            <v>ระดับต่ำสุดที่เดินเครื่องได้</v>
          </cell>
          <cell r="CC2" t="str">
            <v>krd</v>
          </cell>
          <cell r="CD2" t="str">
            <v xml:space="preserve">แผน ปี39 </v>
          </cell>
          <cell r="CE2" t="str">
            <v>ระดับน้ำ ปี39</v>
          </cell>
          <cell r="CF2" t="str">
            <v>ระดับน้ำ ปี38</v>
          </cell>
          <cell r="CG2" t="str">
            <v>ระดับน้ำ ปี37</v>
          </cell>
          <cell r="CH2" t="str">
            <v>ระดับที่ควรจะเป็น</v>
          </cell>
          <cell r="CI2" t="str">
            <v>ระดับต่ำสุดที่ควรจะเป็น</v>
          </cell>
          <cell r="CJ2" t="str">
            <v xml:space="preserve">ระดับที่เดินเครื่องได้เต็มที่ </v>
          </cell>
          <cell r="CK2" t="str">
            <v>***</v>
          </cell>
          <cell r="CL2" t="str">
            <v>ระดับต่ำสุดที่เดินเครื่องได้</v>
          </cell>
          <cell r="CP2" t="str">
            <v>UR</v>
          </cell>
          <cell r="CQ2" t="str">
            <v>แผน ปี39 Prob*0.40</v>
          </cell>
          <cell r="CR2" t="str">
            <v>ระดับน้ำ ปี39</v>
          </cell>
          <cell r="CS2" t="str">
            <v>ระดับน้ำ ปี38</v>
          </cell>
          <cell r="CT2" t="str">
            <v>ระดับน้ำ ปี37</v>
          </cell>
          <cell r="CU2" t="str">
            <v>ระดับที่ควรจะเป็น</v>
          </cell>
          <cell r="CV2" t="str">
            <v>ระดับต่ำสุดที่ควรจะเป็น</v>
          </cell>
          <cell r="CW2" t="str">
            <v xml:space="preserve">ระดับที่เดินเครื่องได้เต็มที่ </v>
          </cell>
          <cell r="CX2" t="str">
            <v>ฟฟฟ</v>
          </cell>
          <cell r="CY2" t="str">
            <v>ระดับต่ำสุดที่เดินเครื่องได้</v>
          </cell>
          <cell r="DD2" t="str">
            <v>SRD</v>
          </cell>
          <cell r="DE2" t="str">
            <v>แผน ปี39 Prob*0.40</v>
          </cell>
          <cell r="DF2" t="str">
            <v>ระดับน้ำ ปี39</v>
          </cell>
          <cell r="DG2" t="str">
            <v>ระดับน้ำ ปี38</v>
          </cell>
          <cell r="DH2" t="str">
            <v>ระดับน้ำ ปี37</v>
          </cell>
          <cell r="DI2" t="str">
            <v>ระดับที่ควรจะเป็น</v>
          </cell>
          <cell r="DJ2" t="str">
            <v>ระดับต่ำสุดที่ควรจะเป็น</v>
          </cell>
          <cell r="DK2" t="str">
            <v xml:space="preserve">ระดับที่เดินเครื่องได้เต็มที่ </v>
          </cell>
          <cell r="DL2" t="str">
            <v>ฟฟฟ</v>
          </cell>
          <cell r="DM2" t="str">
            <v>ระดับต่ำสุดที่เดินเครื่องได้</v>
          </cell>
          <cell r="DQ2" t="str">
            <v>CLB</v>
          </cell>
          <cell r="DR2" t="str">
            <v>แผน ปี39 Prob*0.40</v>
          </cell>
          <cell r="DS2" t="str">
            <v>ระดับน้ำ ปี39</v>
          </cell>
          <cell r="DT2" t="str">
            <v>ระดับน้ำ ปี38</v>
          </cell>
          <cell r="DU2" t="str">
            <v>ระดับน้ำ ปี37</v>
          </cell>
          <cell r="DV2" t="str">
            <v>ระดับที่ควรจะเป็น</v>
          </cell>
          <cell r="DW2" t="str">
            <v>ระดับต่ำสุดที่ควรจะเป็น</v>
          </cell>
          <cell r="DX2" t="str">
            <v xml:space="preserve">ระดับที่เดินเครื่องได้เต็มที่ </v>
          </cell>
          <cell r="DY2" t="str">
            <v>ฟฟฟ</v>
          </cell>
          <cell r="DZ2" t="str">
            <v>ระดับต่ำสุดที่เดินเครื่องได้</v>
          </cell>
          <cell r="EG2" t="str">
            <v>NP</v>
          </cell>
          <cell r="EH2" t="str">
            <v>แผน ปี39 Prob*0.40</v>
          </cell>
          <cell r="EI2" t="str">
            <v>ระดับน้ำ ปี39</v>
          </cell>
          <cell r="EJ2" t="str">
            <v>ระดับน้ำ ปี38</v>
          </cell>
          <cell r="EK2" t="str">
            <v>ระดับน้ำ ปี37</v>
          </cell>
          <cell r="EL2" t="str">
            <v>ระดับที่ควรจะเป็น</v>
          </cell>
          <cell r="EN2" t="str">
            <v xml:space="preserve">ระดับที่เดินเครื่องได้เต็มที่ </v>
          </cell>
          <cell r="EO2" t="str">
            <v>ฟฟฟ</v>
          </cell>
          <cell r="EP2" t="str">
            <v>ระดับต่ำสุดที่เดินเครื่องได้</v>
          </cell>
          <cell r="ER2" t="str">
            <v>RPB</v>
          </cell>
          <cell r="ES2" t="str">
            <v>แผน ปี39 Prob*0.40</v>
          </cell>
          <cell r="ET2" t="str">
            <v>ระดับน้ำ ปี39</v>
          </cell>
          <cell r="EU2" t="str">
            <v>ระดับน้ำ ปี38</v>
          </cell>
          <cell r="EV2" t="str">
            <v>ระดับน้ำ ปี37</v>
          </cell>
          <cell r="EW2" t="str">
            <v>ระดับสูงสุดที่ควรจะเป็น</v>
          </cell>
          <cell r="EX2" t="str">
            <v>ระดับต่ำสุดที่ควรจะเป็น</v>
          </cell>
          <cell r="EY2" t="str">
            <v xml:space="preserve">ระดับที่เดินเครื่องได้เต็มที่ </v>
          </cell>
          <cell r="EZ2" t="str">
            <v>ระดับต่ำสุดที่เดินเครื่องได้</v>
          </cell>
          <cell r="FH2" t="str">
            <v>BLG</v>
          </cell>
          <cell r="FI2" t="str">
            <v>แผน ปี39 Prob*0.40</v>
          </cell>
          <cell r="FJ2" t="str">
            <v>ระดับน้ำ ปี39</v>
          </cell>
          <cell r="FK2" t="str">
            <v>ระดับน้ำ ปี38</v>
          </cell>
          <cell r="FL2" t="str">
            <v>ระดับน้ำ ปี37</v>
          </cell>
          <cell r="FM2" t="str">
            <v>ระดับ ปี36</v>
          </cell>
          <cell r="FN2" t="str">
            <v>ระดับที่ควรจะเป็น</v>
          </cell>
          <cell r="FO2" t="str">
            <v>ระดับต่ำสุดที่ควรจะเป็น</v>
          </cell>
          <cell r="FP2" t="str">
            <v>ระดับต่ำสุดที่เดินเครื่องได้</v>
          </cell>
          <cell r="FQ2" t="str">
            <v xml:space="preserve">ระดับที่เดินเครื่องได้เต็มที่ </v>
          </cell>
        </row>
        <row r="3">
          <cell r="E3">
            <v>246.17</v>
          </cell>
          <cell r="F3">
            <v>221.23</v>
          </cell>
          <cell r="G3">
            <v>256.3</v>
          </cell>
          <cell r="H3">
            <v>242.2</v>
          </cell>
          <cell r="I3">
            <v>244.8</v>
          </cell>
          <cell r="J3">
            <v>239.8</v>
          </cell>
          <cell r="K3">
            <v>213</v>
          </cell>
          <cell r="N3" t="str">
            <v>30 กย.</v>
          </cell>
          <cell r="O3">
            <v>162</v>
          </cell>
          <cell r="P3">
            <v>162</v>
          </cell>
          <cell r="Q3">
            <v>159.53</v>
          </cell>
          <cell r="R3">
            <v>136.30000000000001</v>
          </cell>
          <cell r="S3">
            <v>161.41999999999999</v>
          </cell>
          <cell r="T3">
            <v>151</v>
          </cell>
          <cell r="U3">
            <v>151.4</v>
          </cell>
          <cell r="AC3" t="str">
            <v>30 กย.</v>
          </cell>
          <cell r="AD3">
            <v>396.31</v>
          </cell>
          <cell r="AE3">
            <v>396.31</v>
          </cell>
          <cell r="AF3">
            <v>395.18</v>
          </cell>
          <cell r="AG3">
            <v>376.12</v>
          </cell>
          <cell r="AH3">
            <v>395</v>
          </cell>
          <cell r="AK3">
            <v>365.1</v>
          </cell>
          <cell r="AO3" t="str">
            <v>30 กย.</v>
          </cell>
          <cell r="AP3">
            <v>172.85</v>
          </cell>
          <cell r="AQ3">
            <v>172.85</v>
          </cell>
          <cell r="AR3">
            <v>174.54</v>
          </cell>
          <cell r="AS3">
            <v>164.94</v>
          </cell>
          <cell r="AT3">
            <v>178.1</v>
          </cell>
          <cell r="AU3">
            <v>162.6</v>
          </cell>
          <cell r="AV3">
            <v>168</v>
          </cell>
          <cell r="AW3">
            <v>162.5</v>
          </cell>
          <cell r="AX3">
            <v>159</v>
          </cell>
          <cell r="BB3" t="str">
            <v>30 กย.</v>
          </cell>
          <cell r="BC3">
            <v>151.72</v>
          </cell>
          <cell r="BD3">
            <v>151.72</v>
          </cell>
          <cell r="BE3">
            <v>155.01</v>
          </cell>
          <cell r="BF3">
            <v>145.53</v>
          </cell>
          <cell r="BG3">
            <v>153.9</v>
          </cell>
          <cell r="BH3">
            <v>142</v>
          </cell>
          <cell r="BI3">
            <v>147</v>
          </cell>
          <cell r="BK3">
            <v>135</v>
          </cell>
          <cell r="BO3" t="str">
            <v>30 กย.</v>
          </cell>
          <cell r="BP3">
            <v>97.87</v>
          </cell>
          <cell r="BQ3">
            <v>97.87</v>
          </cell>
          <cell r="BR3">
            <v>99.01</v>
          </cell>
          <cell r="BS3">
            <v>87.21</v>
          </cell>
          <cell r="BT3">
            <v>95.77</v>
          </cell>
          <cell r="BV3">
            <v>75</v>
          </cell>
          <cell r="BW3">
            <v>94</v>
          </cell>
          <cell r="CC3" t="str">
            <v>30 กย.</v>
          </cell>
          <cell r="CD3">
            <v>203.47</v>
          </cell>
          <cell r="CE3">
            <v>203.47</v>
          </cell>
          <cell r="CF3">
            <v>204.22</v>
          </cell>
          <cell r="CG3">
            <v>204.96</v>
          </cell>
          <cell r="CH3">
            <v>204.9</v>
          </cell>
          <cell r="CL3">
            <v>197</v>
          </cell>
          <cell r="CP3" t="str">
            <v>30 กย.</v>
          </cell>
          <cell r="CQ3">
            <v>180.47</v>
          </cell>
          <cell r="CR3">
            <v>180.47</v>
          </cell>
          <cell r="CS3">
            <v>178.12</v>
          </cell>
          <cell r="CT3">
            <v>175.21</v>
          </cell>
          <cell r="CU3">
            <v>179.15</v>
          </cell>
          <cell r="CV3">
            <v>183.3</v>
          </cell>
          <cell r="CY3">
            <v>174.2</v>
          </cell>
          <cell r="DD3" t="str">
            <v>30 กย.</v>
          </cell>
          <cell r="DE3">
            <v>140.85</v>
          </cell>
          <cell r="DF3">
            <v>140.85</v>
          </cell>
          <cell r="DG3">
            <v>140.91</v>
          </cell>
          <cell r="DH3">
            <v>140.06</v>
          </cell>
          <cell r="DI3">
            <v>141.88999999999999</v>
          </cell>
          <cell r="DK3">
            <v>139.19999999999999</v>
          </cell>
          <cell r="DM3">
            <v>137.19999999999999</v>
          </cell>
          <cell r="DQ3" t="str">
            <v>30 กย.</v>
          </cell>
          <cell r="DR3">
            <v>754.57</v>
          </cell>
          <cell r="DS3">
            <v>754.57</v>
          </cell>
          <cell r="DT3">
            <v>754.63</v>
          </cell>
          <cell r="DU3">
            <v>746.02</v>
          </cell>
          <cell r="DV3">
            <v>757.15</v>
          </cell>
          <cell r="DX3">
            <v>743.5</v>
          </cell>
          <cell r="DZ3">
            <v>739</v>
          </cell>
          <cell r="EG3" t="str">
            <v>30 กย.</v>
          </cell>
          <cell r="EH3">
            <v>283.76</v>
          </cell>
          <cell r="EI3">
            <v>283.76</v>
          </cell>
          <cell r="EJ3">
            <v>281.93</v>
          </cell>
          <cell r="EL3">
            <v>283.23</v>
          </cell>
          <cell r="ER3" t="str">
            <v>30 กย.</v>
          </cell>
          <cell r="ES3">
            <v>78.400000000000006</v>
          </cell>
          <cell r="ET3">
            <v>78.400000000000006</v>
          </cell>
          <cell r="EU3">
            <v>77.75</v>
          </cell>
          <cell r="EV3">
            <v>71.5</v>
          </cell>
          <cell r="EW3">
            <v>91.98</v>
          </cell>
          <cell r="EX3">
            <v>85.6</v>
          </cell>
          <cell r="EY3">
            <v>76</v>
          </cell>
          <cell r="EZ3">
            <v>62</v>
          </cell>
          <cell r="FH3" t="str">
            <v>30 กย.</v>
          </cell>
          <cell r="FI3">
            <v>104.46</v>
          </cell>
          <cell r="FJ3">
            <v>104.46</v>
          </cell>
          <cell r="FK3">
            <v>100.86</v>
          </cell>
          <cell r="FL3">
            <v>96.08</v>
          </cell>
          <cell r="FM3">
            <v>95.54</v>
          </cell>
          <cell r="FN3">
            <v>105.01</v>
          </cell>
          <cell r="FO3">
            <v>98.1</v>
          </cell>
          <cell r="FP3">
            <v>83</v>
          </cell>
          <cell r="FQ3">
            <v>105.7</v>
          </cell>
        </row>
        <row r="4">
          <cell r="E4">
            <v>249.93</v>
          </cell>
          <cell r="F4">
            <v>224.13</v>
          </cell>
          <cell r="G4">
            <v>259.54000000000002</v>
          </cell>
          <cell r="H4">
            <v>244.2</v>
          </cell>
          <cell r="I4">
            <v>244.8</v>
          </cell>
          <cell r="J4">
            <v>239.8</v>
          </cell>
          <cell r="K4">
            <v>213</v>
          </cell>
          <cell r="N4" t="str">
            <v>ตค.</v>
          </cell>
          <cell r="O4">
            <v>161.79</v>
          </cell>
          <cell r="Q4">
            <v>161.29</v>
          </cell>
          <cell r="R4">
            <v>137.38999999999999</v>
          </cell>
          <cell r="S4">
            <v>162</v>
          </cell>
          <cell r="T4">
            <v>152</v>
          </cell>
          <cell r="U4">
            <v>151.4</v>
          </cell>
          <cell r="AC4" t="str">
            <v>ตค.</v>
          </cell>
          <cell r="AD4" t="e">
            <v>#REF!</v>
          </cell>
          <cell r="AF4">
            <v>396.28</v>
          </cell>
          <cell r="AG4">
            <v>379.61</v>
          </cell>
          <cell r="AH4">
            <v>395.82</v>
          </cell>
          <cell r="AK4">
            <v>365.1</v>
          </cell>
          <cell r="AO4" t="str">
            <v>ตค.</v>
          </cell>
          <cell r="AP4" t="e">
            <v>#REF!</v>
          </cell>
          <cell r="AR4">
            <v>175.98</v>
          </cell>
          <cell r="AS4">
            <v>165.55</v>
          </cell>
          <cell r="AT4">
            <v>179.48</v>
          </cell>
          <cell r="AU4">
            <v>163.1</v>
          </cell>
          <cell r="AV4">
            <v>168</v>
          </cell>
          <cell r="AW4">
            <v>162.5</v>
          </cell>
          <cell r="AX4">
            <v>159</v>
          </cell>
          <cell r="BB4" t="str">
            <v>ตค.</v>
          </cell>
          <cell r="BC4" t="e">
            <v>#REF!</v>
          </cell>
          <cell r="BE4">
            <v>154.36000000000001</v>
          </cell>
          <cell r="BF4">
            <v>145.94</v>
          </cell>
          <cell r="BG4">
            <v>154.94999999999999</v>
          </cell>
          <cell r="BH4">
            <v>142.94999999999999</v>
          </cell>
          <cell r="BI4">
            <v>147</v>
          </cell>
          <cell r="BK4">
            <v>135</v>
          </cell>
          <cell r="BO4" t="str">
            <v>ตค.</v>
          </cell>
          <cell r="BP4" t="e">
            <v>#REF!</v>
          </cell>
          <cell r="BR4">
            <v>98.58</v>
          </cell>
          <cell r="BS4">
            <v>91.5</v>
          </cell>
          <cell r="BT4">
            <v>98.49</v>
          </cell>
          <cell r="BV4">
            <v>75</v>
          </cell>
          <cell r="BW4">
            <v>94</v>
          </cell>
          <cell r="CC4" t="str">
            <v>ตค.</v>
          </cell>
          <cell r="CD4">
            <v>204.14</v>
          </cell>
          <cell r="CF4">
            <v>203.29</v>
          </cell>
          <cell r="CG4">
            <v>204.72</v>
          </cell>
          <cell r="CH4">
            <v>204.6</v>
          </cell>
          <cell r="CL4">
            <v>197</v>
          </cell>
          <cell r="CP4" t="str">
            <v>ตค.</v>
          </cell>
          <cell r="CQ4">
            <v>181.06</v>
          </cell>
          <cell r="CS4">
            <v>178.73</v>
          </cell>
          <cell r="CT4">
            <v>174.77</v>
          </cell>
          <cell r="CU4">
            <v>181</v>
          </cell>
          <cell r="CV4">
            <v>181.12</v>
          </cell>
          <cell r="CX4">
            <v>0</v>
          </cell>
          <cell r="CY4">
            <v>174.2</v>
          </cell>
          <cell r="DD4" t="str">
            <v>ตค.</v>
          </cell>
          <cell r="DE4">
            <v>141.27000000000001</v>
          </cell>
          <cell r="DG4">
            <v>141.44999999999999</v>
          </cell>
          <cell r="DH4">
            <v>140.13</v>
          </cell>
          <cell r="DI4">
            <v>142.19999999999999</v>
          </cell>
          <cell r="DK4">
            <v>139.19999999999999</v>
          </cell>
          <cell r="DL4">
            <v>141.87</v>
          </cell>
          <cell r="DM4">
            <v>137.19999999999999</v>
          </cell>
          <cell r="DQ4" t="str">
            <v>ตค.</v>
          </cell>
          <cell r="DR4">
            <v>757.43</v>
          </cell>
          <cell r="DT4">
            <v>756.27</v>
          </cell>
          <cell r="DU4">
            <v>746.28</v>
          </cell>
          <cell r="DV4">
            <v>759</v>
          </cell>
          <cell r="DX4">
            <v>743.5</v>
          </cell>
          <cell r="DZ4">
            <v>739</v>
          </cell>
          <cell r="EG4" t="str">
            <v>ตค.</v>
          </cell>
          <cell r="EH4">
            <v>283.58999999999997</v>
          </cell>
          <cell r="EJ4">
            <v>283.82</v>
          </cell>
          <cell r="EK4">
            <v>281.27</v>
          </cell>
          <cell r="EL4">
            <v>283.83</v>
          </cell>
          <cell r="EN4">
            <v>279.89999999999998</v>
          </cell>
          <cell r="EP4">
            <v>270</v>
          </cell>
          <cell r="ER4" t="str">
            <v>ตค.</v>
          </cell>
          <cell r="ES4">
            <v>80.22</v>
          </cell>
          <cell r="EU4">
            <v>77.62</v>
          </cell>
          <cell r="EV4">
            <v>72.22</v>
          </cell>
          <cell r="EW4">
            <v>93.65</v>
          </cell>
          <cell r="EX4">
            <v>87</v>
          </cell>
          <cell r="EY4">
            <v>76</v>
          </cell>
          <cell r="EZ4">
            <v>62</v>
          </cell>
          <cell r="FH4" t="str">
            <v>ตค.</v>
          </cell>
          <cell r="FI4">
            <v>106.01</v>
          </cell>
          <cell r="FK4">
            <v>100.75</v>
          </cell>
          <cell r="FL4">
            <v>99.55</v>
          </cell>
          <cell r="FM4">
            <v>96.84</v>
          </cell>
          <cell r="FN4">
            <v>107.75</v>
          </cell>
          <cell r="FO4">
            <v>101.5</v>
          </cell>
          <cell r="FP4">
            <v>83</v>
          </cell>
          <cell r="FQ4">
            <v>105.7</v>
          </cell>
        </row>
        <row r="5">
          <cell r="E5">
            <v>249.95</v>
          </cell>
          <cell r="F5">
            <v>222.22</v>
          </cell>
          <cell r="G5">
            <v>259.95</v>
          </cell>
          <cell r="H5">
            <v>244.5</v>
          </cell>
          <cell r="I5">
            <v>244.8</v>
          </cell>
          <cell r="J5">
            <v>239.8</v>
          </cell>
          <cell r="K5">
            <v>213</v>
          </cell>
          <cell r="N5" t="str">
            <v>พย.</v>
          </cell>
          <cell r="O5">
            <v>161.41</v>
          </cell>
          <cell r="Q5">
            <v>160.43</v>
          </cell>
          <cell r="R5">
            <v>135.28</v>
          </cell>
          <cell r="S5">
            <v>161.21</v>
          </cell>
          <cell r="T5">
            <v>151.69999999999999</v>
          </cell>
          <cell r="U5">
            <v>151.4</v>
          </cell>
          <cell r="AC5" t="str">
            <v>พย.</v>
          </cell>
          <cell r="AD5" t="e">
            <v>#REF!</v>
          </cell>
          <cell r="AF5">
            <v>393.06</v>
          </cell>
          <cell r="AG5">
            <v>380.07</v>
          </cell>
          <cell r="AH5">
            <v>396</v>
          </cell>
          <cell r="AK5">
            <v>365.1</v>
          </cell>
          <cell r="AO5" t="str">
            <v>พย.</v>
          </cell>
          <cell r="AP5" t="e">
            <v>#REF!</v>
          </cell>
          <cell r="AR5">
            <v>175.72</v>
          </cell>
          <cell r="AS5">
            <v>165.36</v>
          </cell>
          <cell r="AT5">
            <v>180</v>
          </cell>
          <cell r="AU5">
            <v>163.35</v>
          </cell>
          <cell r="AV5">
            <v>168</v>
          </cell>
          <cell r="AW5">
            <v>162.5</v>
          </cell>
          <cell r="AX5">
            <v>159</v>
          </cell>
          <cell r="BB5" t="str">
            <v>พย.</v>
          </cell>
          <cell r="BC5" t="e">
            <v>#REF!</v>
          </cell>
          <cell r="BE5">
            <v>152.04</v>
          </cell>
          <cell r="BF5">
            <v>145.37</v>
          </cell>
          <cell r="BG5">
            <v>155</v>
          </cell>
          <cell r="BH5">
            <v>143.1</v>
          </cell>
          <cell r="BI5">
            <v>147</v>
          </cell>
          <cell r="BK5">
            <v>135</v>
          </cell>
          <cell r="BO5" t="str">
            <v>พย.</v>
          </cell>
          <cell r="BP5" t="e">
            <v>#REF!</v>
          </cell>
          <cell r="BR5">
            <v>96.8</v>
          </cell>
          <cell r="BS5">
            <v>91.08</v>
          </cell>
          <cell r="BT5">
            <v>99</v>
          </cell>
          <cell r="BV5">
            <v>75</v>
          </cell>
          <cell r="BW5">
            <v>94</v>
          </cell>
          <cell r="CC5" t="str">
            <v>พย.</v>
          </cell>
          <cell r="CD5">
            <v>203.88</v>
          </cell>
          <cell r="CF5">
            <v>202.93</v>
          </cell>
          <cell r="CG5">
            <v>204.01</v>
          </cell>
          <cell r="CH5">
            <v>204.3</v>
          </cell>
          <cell r="CL5">
            <v>197</v>
          </cell>
          <cell r="CP5" t="str">
            <v>พย.</v>
          </cell>
          <cell r="CQ5">
            <v>180.83</v>
          </cell>
          <cell r="CS5">
            <v>178.51</v>
          </cell>
          <cell r="CT5">
            <v>174.57</v>
          </cell>
          <cell r="CU5">
            <v>180.8</v>
          </cell>
          <cell r="CV5">
            <v>180.38</v>
          </cell>
          <cell r="CX5">
            <v>0</v>
          </cell>
          <cell r="CY5">
            <v>174.2</v>
          </cell>
          <cell r="DD5" t="str">
            <v>พย.</v>
          </cell>
          <cell r="DE5">
            <v>141.01</v>
          </cell>
          <cell r="DG5">
            <v>141.22</v>
          </cell>
          <cell r="DH5">
            <v>139.97999999999999</v>
          </cell>
          <cell r="DI5">
            <v>141.9</v>
          </cell>
          <cell r="DK5">
            <v>139.19999999999999</v>
          </cell>
          <cell r="DL5">
            <v>141.71</v>
          </cell>
          <cell r="DM5">
            <v>137.19999999999999</v>
          </cell>
          <cell r="DQ5" t="str">
            <v>พย.</v>
          </cell>
          <cell r="DR5">
            <v>757.74</v>
          </cell>
          <cell r="DT5">
            <v>756.32</v>
          </cell>
          <cell r="DU5">
            <v>746.65</v>
          </cell>
          <cell r="DV5">
            <v>758.7</v>
          </cell>
          <cell r="DX5">
            <v>743.5</v>
          </cell>
          <cell r="DZ5">
            <v>739</v>
          </cell>
          <cell r="EG5" t="str">
            <v>พย.</v>
          </cell>
          <cell r="EH5">
            <v>283.31</v>
          </cell>
          <cell r="EJ5">
            <v>283.16000000000003</v>
          </cell>
          <cell r="EK5">
            <v>281.05</v>
          </cell>
          <cell r="EL5">
            <v>284</v>
          </cell>
          <cell r="EN5">
            <v>279.89999999999998</v>
          </cell>
          <cell r="EP5">
            <v>270</v>
          </cell>
          <cell r="ER5" t="str">
            <v>พย.</v>
          </cell>
          <cell r="ES5">
            <v>80.790000000000006</v>
          </cell>
          <cell r="EU5">
            <v>76.55</v>
          </cell>
          <cell r="EV5">
            <v>72.650000000000006</v>
          </cell>
          <cell r="EW5">
            <v>95</v>
          </cell>
          <cell r="EX5">
            <v>88.3</v>
          </cell>
          <cell r="EY5">
            <v>76</v>
          </cell>
          <cell r="EZ5">
            <v>62</v>
          </cell>
          <cell r="FH5" t="str">
            <v>พย.</v>
          </cell>
          <cell r="FI5">
            <v>107.41</v>
          </cell>
          <cell r="FK5">
            <v>106.92</v>
          </cell>
          <cell r="FL5">
            <v>105.64</v>
          </cell>
          <cell r="FM5">
            <v>101.29</v>
          </cell>
          <cell r="FN5">
            <v>109.4</v>
          </cell>
          <cell r="FO5">
            <v>103.3</v>
          </cell>
          <cell r="FP5">
            <v>83</v>
          </cell>
          <cell r="FQ5">
            <v>105.7</v>
          </cell>
        </row>
        <row r="6">
          <cell r="E6">
            <v>249.85</v>
          </cell>
          <cell r="F6">
            <v>221.97</v>
          </cell>
          <cell r="G6">
            <v>259.89</v>
          </cell>
          <cell r="H6">
            <v>244.6</v>
          </cell>
          <cell r="I6">
            <v>244.8</v>
          </cell>
          <cell r="J6">
            <v>239.8</v>
          </cell>
          <cell r="K6">
            <v>213</v>
          </cell>
          <cell r="N6" t="str">
            <v>ธค.</v>
          </cell>
          <cell r="O6">
            <v>161.41999999999999</v>
          </cell>
          <cell r="Q6">
            <v>159.69999999999999</v>
          </cell>
          <cell r="R6">
            <v>134.44</v>
          </cell>
          <cell r="S6">
            <v>159.9</v>
          </cell>
          <cell r="T6">
            <v>151.30000000000001</v>
          </cell>
          <cell r="U6">
            <v>151.4</v>
          </cell>
          <cell r="AC6" t="str">
            <v>ธค.</v>
          </cell>
          <cell r="AD6" t="e">
            <v>#REF!</v>
          </cell>
          <cell r="AF6">
            <v>390.4</v>
          </cell>
          <cell r="AG6">
            <v>379.88</v>
          </cell>
          <cell r="AH6">
            <v>395.8</v>
          </cell>
          <cell r="AK6">
            <v>365.1</v>
          </cell>
          <cell r="AO6" t="str">
            <v>ธค.</v>
          </cell>
          <cell r="AP6" t="e">
            <v>#REF!</v>
          </cell>
          <cell r="AR6">
            <v>175.08</v>
          </cell>
          <cell r="AS6">
            <v>165.15</v>
          </cell>
          <cell r="AT6">
            <v>179.79</v>
          </cell>
          <cell r="AU6">
            <v>163.19999999999999</v>
          </cell>
          <cell r="AV6">
            <v>168</v>
          </cell>
          <cell r="AW6">
            <v>162.5</v>
          </cell>
          <cell r="AX6">
            <v>159</v>
          </cell>
          <cell r="BB6" t="str">
            <v>ธค.</v>
          </cell>
          <cell r="BC6" t="e">
            <v>#REF!</v>
          </cell>
          <cell r="BE6">
            <v>150.05000000000001</v>
          </cell>
          <cell r="BF6">
            <v>144.83000000000001</v>
          </cell>
          <cell r="BG6">
            <v>155</v>
          </cell>
          <cell r="BH6">
            <v>143</v>
          </cell>
          <cell r="BI6">
            <v>147</v>
          </cell>
          <cell r="BK6">
            <v>135</v>
          </cell>
          <cell r="BO6" t="str">
            <v>ธค.</v>
          </cell>
          <cell r="BP6" t="e">
            <v>#REF!</v>
          </cell>
          <cell r="BR6">
            <v>96.16</v>
          </cell>
          <cell r="BS6">
            <v>90.41</v>
          </cell>
          <cell r="BT6">
            <v>98.35</v>
          </cell>
          <cell r="BV6">
            <v>75</v>
          </cell>
          <cell r="BW6">
            <v>94</v>
          </cell>
          <cell r="CC6" t="str">
            <v>ธค.</v>
          </cell>
          <cell r="CD6">
            <v>203.2</v>
          </cell>
          <cell r="CF6">
            <v>202.63</v>
          </cell>
          <cell r="CG6">
            <v>203.57</v>
          </cell>
          <cell r="CH6">
            <v>203.55</v>
          </cell>
          <cell r="CL6">
            <v>197</v>
          </cell>
          <cell r="CP6" t="str">
            <v>ธค.</v>
          </cell>
          <cell r="CQ6">
            <v>180.44</v>
          </cell>
          <cell r="CS6">
            <v>178.44</v>
          </cell>
          <cell r="CT6">
            <v>174.38</v>
          </cell>
          <cell r="CU6">
            <v>180.55</v>
          </cell>
          <cell r="CV6">
            <v>179.76</v>
          </cell>
          <cell r="CX6">
            <v>0</v>
          </cell>
          <cell r="CY6">
            <v>174.2</v>
          </cell>
          <cell r="DD6" t="str">
            <v>ธค.</v>
          </cell>
          <cell r="DE6">
            <v>140.63999999999999</v>
          </cell>
          <cell r="DG6">
            <v>140.71</v>
          </cell>
          <cell r="DH6">
            <v>139.72</v>
          </cell>
          <cell r="DI6">
            <v>141.53</v>
          </cell>
          <cell r="DK6">
            <v>139.19999999999999</v>
          </cell>
          <cell r="DL6">
            <v>141.30000000000001</v>
          </cell>
          <cell r="DM6">
            <v>137.19999999999999</v>
          </cell>
          <cell r="DQ6" t="str">
            <v>ธค.</v>
          </cell>
          <cell r="DR6">
            <v>757.59</v>
          </cell>
          <cell r="DT6">
            <v>756.19</v>
          </cell>
          <cell r="DU6">
            <v>745.34</v>
          </cell>
          <cell r="DV6">
            <v>758.01</v>
          </cell>
          <cell r="DX6">
            <v>743.5</v>
          </cell>
          <cell r="DZ6">
            <v>739</v>
          </cell>
          <cell r="EG6" t="str">
            <v>ธค.</v>
          </cell>
          <cell r="EH6">
            <v>282.99</v>
          </cell>
          <cell r="EJ6">
            <v>282.45</v>
          </cell>
          <cell r="EK6">
            <v>280.56</v>
          </cell>
          <cell r="EL6">
            <v>283.70999999999998</v>
          </cell>
          <cell r="EN6">
            <v>279.89999999999998</v>
          </cell>
          <cell r="EP6">
            <v>270</v>
          </cell>
          <cell r="ER6" t="str">
            <v>ธค.</v>
          </cell>
          <cell r="ES6">
            <v>80.72</v>
          </cell>
          <cell r="EU6">
            <v>75.680000000000007</v>
          </cell>
          <cell r="EV6">
            <v>73.209999999999994</v>
          </cell>
          <cell r="EW6">
            <v>94.25</v>
          </cell>
          <cell r="EX6">
            <v>88.1</v>
          </cell>
          <cell r="EY6">
            <v>76</v>
          </cell>
          <cell r="EZ6">
            <v>62</v>
          </cell>
          <cell r="FH6" t="str">
            <v>ธค.</v>
          </cell>
          <cell r="FI6">
            <v>109.71</v>
          </cell>
          <cell r="FK6">
            <v>108.36</v>
          </cell>
          <cell r="FL6">
            <v>115.05</v>
          </cell>
          <cell r="FM6">
            <v>103.07</v>
          </cell>
          <cell r="FN6">
            <v>112.5</v>
          </cell>
          <cell r="FO6">
            <v>104.5</v>
          </cell>
          <cell r="FP6">
            <v>83</v>
          </cell>
          <cell r="FQ6">
            <v>105.7</v>
          </cell>
        </row>
        <row r="7">
          <cell r="E7">
            <v>249.22</v>
          </cell>
          <cell r="F7">
            <v>221.1</v>
          </cell>
          <cell r="G7">
            <v>259.54000000000002</v>
          </cell>
          <cell r="H7">
            <v>244.2</v>
          </cell>
          <cell r="I7">
            <v>244.8</v>
          </cell>
          <cell r="J7">
            <v>239.8</v>
          </cell>
          <cell r="K7">
            <v>213</v>
          </cell>
          <cell r="N7" t="str">
            <v>มค.</v>
          </cell>
          <cell r="O7">
            <v>160.13</v>
          </cell>
          <cell r="Q7">
            <v>158.58000000000001</v>
          </cell>
          <cell r="R7">
            <v>133.6</v>
          </cell>
          <cell r="S7">
            <v>158.16</v>
          </cell>
          <cell r="T7">
            <v>151</v>
          </cell>
          <cell r="U7">
            <v>151.4</v>
          </cell>
          <cell r="AC7" t="str">
            <v>มค.</v>
          </cell>
          <cell r="AD7" t="e">
            <v>#REF!</v>
          </cell>
          <cell r="AF7">
            <v>388.4</v>
          </cell>
          <cell r="AG7">
            <v>377.15</v>
          </cell>
          <cell r="AH7">
            <v>392.3</v>
          </cell>
          <cell r="AK7">
            <v>365.1</v>
          </cell>
          <cell r="AO7" t="str">
            <v>มค.</v>
          </cell>
          <cell r="AP7" t="e">
            <v>#REF!</v>
          </cell>
          <cell r="AR7">
            <v>174.36</v>
          </cell>
          <cell r="AS7">
            <v>164.83</v>
          </cell>
          <cell r="AT7">
            <v>179.39</v>
          </cell>
          <cell r="AU7">
            <v>162.65</v>
          </cell>
          <cell r="AV7">
            <v>168</v>
          </cell>
          <cell r="AW7">
            <v>162.5</v>
          </cell>
          <cell r="AX7">
            <v>159</v>
          </cell>
          <cell r="BB7" t="str">
            <v>มค.</v>
          </cell>
          <cell r="BC7" t="e">
            <v>#REF!</v>
          </cell>
          <cell r="BE7">
            <v>148.75</v>
          </cell>
          <cell r="BF7">
            <v>144.06</v>
          </cell>
          <cell r="BG7">
            <v>154.08000000000001</v>
          </cell>
          <cell r="BH7">
            <v>142.19999999999999</v>
          </cell>
          <cell r="BI7">
            <v>147</v>
          </cell>
          <cell r="BK7">
            <v>135</v>
          </cell>
          <cell r="BO7" t="str">
            <v>มค.</v>
          </cell>
          <cell r="BP7" t="e">
            <v>#REF!</v>
          </cell>
          <cell r="BR7">
            <v>95.83</v>
          </cell>
          <cell r="BS7">
            <v>90.18</v>
          </cell>
          <cell r="BT7">
            <v>97.19</v>
          </cell>
          <cell r="BV7">
            <v>75</v>
          </cell>
          <cell r="BW7">
            <v>94</v>
          </cell>
          <cell r="CC7" t="str">
            <v>มค.</v>
          </cell>
          <cell r="CD7">
            <v>202.44</v>
          </cell>
          <cell r="CF7">
            <v>202.32</v>
          </cell>
          <cell r="CG7">
            <v>203.05</v>
          </cell>
          <cell r="CH7">
            <v>202.9</v>
          </cell>
          <cell r="CL7">
            <v>197</v>
          </cell>
          <cell r="CP7" t="str">
            <v>มค.</v>
          </cell>
          <cell r="CQ7">
            <v>180.03</v>
          </cell>
          <cell r="CS7">
            <v>178.07</v>
          </cell>
          <cell r="CT7">
            <v>174.16</v>
          </cell>
          <cell r="CU7">
            <v>180.2</v>
          </cell>
          <cell r="CV7">
            <v>179.25</v>
          </cell>
          <cell r="CX7">
            <v>0</v>
          </cell>
          <cell r="CY7">
            <v>174.2</v>
          </cell>
          <cell r="DD7" t="str">
            <v>มค.</v>
          </cell>
          <cell r="DE7">
            <v>140.19999999999999</v>
          </cell>
          <cell r="DG7">
            <v>140.32</v>
          </cell>
          <cell r="DH7">
            <v>139.49</v>
          </cell>
          <cell r="DI7">
            <v>141.13</v>
          </cell>
          <cell r="DK7">
            <v>139.19999999999999</v>
          </cell>
          <cell r="DL7">
            <v>140.9</v>
          </cell>
          <cell r="DM7">
            <v>137.19999999999999</v>
          </cell>
          <cell r="DQ7" t="str">
            <v>มค.</v>
          </cell>
          <cell r="DR7">
            <v>756.56</v>
          </cell>
          <cell r="DT7">
            <v>755.25</v>
          </cell>
          <cell r="DU7">
            <v>744.78</v>
          </cell>
          <cell r="DV7">
            <v>757.17</v>
          </cell>
          <cell r="DX7">
            <v>743.5</v>
          </cell>
          <cell r="DZ7">
            <v>739</v>
          </cell>
          <cell r="EG7" t="str">
            <v>มค.</v>
          </cell>
          <cell r="EH7">
            <v>282.64</v>
          </cell>
          <cell r="EJ7">
            <v>282.07</v>
          </cell>
          <cell r="EK7">
            <v>279.19</v>
          </cell>
          <cell r="EL7">
            <v>283.33</v>
          </cell>
          <cell r="EN7">
            <v>279.89999999999998</v>
          </cell>
          <cell r="EP7">
            <v>270</v>
          </cell>
          <cell r="ER7" t="str">
            <v>มค.</v>
          </cell>
          <cell r="ES7">
            <v>80.08</v>
          </cell>
          <cell r="EU7">
            <v>74.88</v>
          </cell>
          <cell r="EV7">
            <v>72.45</v>
          </cell>
          <cell r="EW7">
            <v>93.08</v>
          </cell>
          <cell r="EX7">
            <v>87</v>
          </cell>
          <cell r="EY7">
            <v>76</v>
          </cell>
          <cell r="EZ7">
            <v>62</v>
          </cell>
          <cell r="FH7" t="str">
            <v>มค.</v>
          </cell>
          <cell r="FI7">
            <v>110.33</v>
          </cell>
          <cell r="FK7">
            <v>109.12</v>
          </cell>
          <cell r="FL7">
            <v>113.88</v>
          </cell>
          <cell r="FM7">
            <v>103.34</v>
          </cell>
          <cell r="FN7">
            <v>115</v>
          </cell>
          <cell r="FO7">
            <v>105.75</v>
          </cell>
          <cell r="FP7">
            <v>83</v>
          </cell>
          <cell r="FQ7">
            <v>105.7</v>
          </cell>
        </row>
        <row r="8">
          <cell r="E8">
            <v>247.45</v>
          </cell>
          <cell r="F8">
            <v>219.59</v>
          </cell>
          <cell r="G8">
            <v>259.01</v>
          </cell>
          <cell r="H8">
            <v>244</v>
          </cell>
          <cell r="I8">
            <v>244.8</v>
          </cell>
          <cell r="J8">
            <v>239.8</v>
          </cell>
          <cell r="K8">
            <v>213</v>
          </cell>
          <cell r="N8" t="str">
            <v>กพ.</v>
          </cell>
          <cell r="O8">
            <v>157.16</v>
          </cell>
          <cell r="Q8">
            <v>156.19999999999999</v>
          </cell>
          <cell r="R8">
            <v>132.21</v>
          </cell>
          <cell r="S8">
            <v>156.51</v>
          </cell>
          <cell r="T8">
            <v>150</v>
          </cell>
          <cell r="U8">
            <v>151.4</v>
          </cell>
          <cell r="AC8" t="str">
            <v>กพ.</v>
          </cell>
          <cell r="AD8" t="e">
            <v>#REF!</v>
          </cell>
          <cell r="AF8">
            <v>387.84</v>
          </cell>
          <cell r="AG8">
            <v>373.88</v>
          </cell>
          <cell r="AH8">
            <v>388.4</v>
          </cell>
          <cell r="AK8">
            <v>365.1</v>
          </cell>
          <cell r="AO8" t="str">
            <v>กพ.</v>
          </cell>
          <cell r="AP8" t="e">
            <v>#REF!</v>
          </cell>
          <cell r="AR8">
            <v>173.34</v>
          </cell>
          <cell r="AS8">
            <v>164.15</v>
          </cell>
          <cell r="AT8">
            <v>178.62</v>
          </cell>
          <cell r="AU8">
            <v>162</v>
          </cell>
          <cell r="AV8">
            <v>168</v>
          </cell>
          <cell r="AW8">
            <v>162.5</v>
          </cell>
          <cell r="AX8">
            <v>159</v>
          </cell>
          <cell r="BB8" t="str">
            <v>กพ.</v>
          </cell>
          <cell r="BC8" t="e">
            <v>#REF!</v>
          </cell>
          <cell r="BE8">
            <v>147.4</v>
          </cell>
          <cell r="BF8">
            <v>142.58000000000001</v>
          </cell>
          <cell r="BG8">
            <v>153.1</v>
          </cell>
          <cell r="BH8">
            <v>141.19999999999999</v>
          </cell>
          <cell r="BI8">
            <v>147</v>
          </cell>
          <cell r="BK8">
            <v>135</v>
          </cell>
          <cell r="BO8" t="str">
            <v>กพ.</v>
          </cell>
          <cell r="BP8" t="e">
            <v>#REF!</v>
          </cell>
          <cell r="BR8">
            <v>95.17</v>
          </cell>
          <cell r="BS8">
            <v>89.66</v>
          </cell>
          <cell r="BT8">
            <v>95.84</v>
          </cell>
          <cell r="BV8">
            <v>75</v>
          </cell>
          <cell r="BW8">
            <v>94</v>
          </cell>
          <cell r="CC8" t="str">
            <v>กพ.</v>
          </cell>
          <cell r="CD8">
            <v>201.82</v>
          </cell>
          <cell r="CF8">
            <v>202.01</v>
          </cell>
          <cell r="CG8">
            <v>202.42</v>
          </cell>
          <cell r="CH8">
            <v>202.28</v>
          </cell>
          <cell r="CL8">
            <v>197</v>
          </cell>
          <cell r="CP8" t="str">
            <v>กพ.</v>
          </cell>
          <cell r="CQ8">
            <v>179.61</v>
          </cell>
          <cell r="CS8">
            <v>177.83</v>
          </cell>
          <cell r="CT8">
            <v>173.96</v>
          </cell>
          <cell r="CU8">
            <v>179.8</v>
          </cell>
          <cell r="CV8">
            <v>178.68</v>
          </cell>
          <cell r="CX8">
            <v>0</v>
          </cell>
          <cell r="CY8">
            <v>174.2</v>
          </cell>
          <cell r="DD8" t="str">
            <v>กพ.</v>
          </cell>
          <cell r="DE8">
            <v>139.76</v>
          </cell>
          <cell r="DG8">
            <v>139.9</v>
          </cell>
          <cell r="DH8">
            <v>139.19</v>
          </cell>
          <cell r="DI8">
            <v>140.75</v>
          </cell>
          <cell r="DK8">
            <v>139.19999999999999</v>
          </cell>
          <cell r="DL8">
            <v>140.41</v>
          </cell>
          <cell r="DM8">
            <v>137.19999999999999</v>
          </cell>
          <cell r="DQ8" t="str">
            <v>กพ.</v>
          </cell>
          <cell r="DR8">
            <v>754.77</v>
          </cell>
          <cell r="DT8">
            <v>753.14</v>
          </cell>
          <cell r="DU8">
            <v>744.36</v>
          </cell>
          <cell r="DV8">
            <v>756.34</v>
          </cell>
          <cell r="DX8">
            <v>743.5</v>
          </cell>
          <cell r="DZ8">
            <v>739</v>
          </cell>
          <cell r="EG8" t="str">
            <v>กพ.</v>
          </cell>
          <cell r="EH8">
            <v>282.26</v>
          </cell>
          <cell r="EJ8">
            <v>281.72000000000003</v>
          </cell>
          <cell r="EK8">
            <v>279.42</v>
          </cell>
          <cell r="EL8">
            <v>282.89999999999998</v>
          </cell>
          <cell r="EN8">
            <v>279.89999999999998</v>
          </cell>
          <cell r="EP8">
            <v>270</v>
          </cell>
          <cell r="ER8" t="str">
            <v>กพ.</v>
          </cell>
          <cell r="ES8">
            <v>79.599999999999994</v>
          </cell>
          <cell r="EU8">
            <v>73.63</v>
          </cell>
          <cell r="EV8">
            <v>71.09</v>
          </cell>
          <cell r="EW8">
            <v>91.44</v>
          </cell>
          <cell r="EX8">
            <v>85</v>
          </cell>
          <cell r="EY8">
            <v>76</v>
          </cell>
          <cell r="EZ8">
            <v>62</v>
          </cell>
          <cell r="FH8" t="str">
            <v>กพ.</v>
          </cell>
          <cell r="FI8">
            <v>109.24</v>
          </cell>
          <cell r="FK8">
            <v>108.32</v>
          </cell>
          <cell r="FL8">
            <v>112.44</v>
          </cell>
          <cell r="FM8">
            <v>102.23</v>
          </cell>
          <cell r="FN8">
            <v>115</v>
          </cell>
          <cell r="FO8">
            <v>105.8</v>
          </cell>
          <cell r="FP8">
            <v>83</v>
          </cell>
          <cell r="FQ8">
            <v>105.7</v>
          </cell>
        </row>
        <row r="9">
          <cell r="E9">
            <v>244.25</v>
          </cell>
          <cell r="F9">
            <v>218.07</v>
          </cell>
          <cell r="G9">
            <v>258.08</v>
          </cell>
          <cell r="H9">
            <v>243.3</v>
          </cell>
          <cell r="I9">
            <v>244.8</v>
          </cell>
          <cell r="J9">
            <v>239.8</v>
          </cell>
          <cell r="K9">
            <v>213</v>
          </cell>
          <cell r="N9" t="str">
            <v>มีค.</v>
          </cell>
          <cell r="O9">
            <v>152.86000000000001</v>
          </cell>
          <cell r="Q9">
            <v>152.75</v>
          </cell>
          <cell r="R9">
            <v>130.69999999999999</v>
          </cell>
          <cell r="S9">
            <v>154.58000000000001</v>
          </cell>
          <cell r="T9">
            <v>148</v>
          </cell>
          <cell r="U9">
            <v>151.4</v>
          </cell>
          <cell r="AC9" t="str">
            <v>มีค.</v>
          </cell>
          <cell r="AD9" t="e">
            <v>#REF!</v>
          </cell>
          <cell r="AF9">
            <v>386.1</v>
          </cell>
          <cell r="AG9">
            <v>373.4</v>
          </cell>
          <cell r="AH9">
            <v>384.08</v>
          </cell>
          <cell r="AK9">
            <v>365.1</v>
          </cell>
          <cell r="AO9" t="str">
            <v>มีค.</v>
          </cell>
          <cell r="AP9" t="e">
            <v>#REF!</v>
          </cell>
          <cell r="AR9">
            <v>171.84</v>
          </cell>
          <cell r="AS9">
            <v>163.41999999999999</v>
          </cell>
          <cell r="AT9">
            <v>177.63</v>
          </cell>
          <cell r="AU9">
            <v>161.1</v>
          </cell>
          <cell r="AV9">
            <v>168</v>
          </cell>
          <cell r="AW9">
            <v>162.5</v>
          </cell>
          <cell r="AX9">
            <v>159</v>
          </cell>
          <cell r="BB9" t="str">
            <v>มีค.</v>
          </cell>
          <cell r="BC9" t="e">
            <v>#REF!</v>
          </cell>
          <cell r="BE9">
            <v>145.44999999999999</v>
          </cell>
          <cell r="BF9">
            <v>140.41</v>
          </cell>
          <cell r="BG9">
            <v>151.99</v>
          </cell>
          <cell r="BH9">
            <v>140.19999999999999</v>
          </cell>
          <cell r="BI9">
            <v>147</v>
          </cell>
          <cell r="BK9">
            <v>135</v>
          </cell>
          <cell r="BO9" t="str">
            <v>มีค.</v>
          </cell>
          <cell r="BP9" t="e">
            <v>#REF!</v>
          </cell>
          <cell r="BR9">
            <v>94.27</v>
          </cell>
          <cell r="BS9">
            <v>89.29</v>
          </cell>
          <cell r="BT9">
            <v>93.97</v>
          </cell>
          <cell r="BV9">
            <v>75</v>
          </cell>
          <cell r="BW9">
            <v>94</v>
          </cell>
          <cell r="CC9" t="str">
            <v>มีค.</v>
          </cell>
          <cell r="CD9">
            <v>200.94</v>
          </cell>
          <cell r="CF9">
            <v>201.59</v>
          </cell>
          <cell r="CG9">
            <v>201.93</v>
          </cell>
          <cell r="CH9">
            <v>201.51</v>
          </cell>
          <cell r="CL9">
            <v>197</v>
          </cell>
          <cell r="CP9" t="str">
            <v>มีค.</v>
          </cell>
          <cell r="CQ9">
            <v>179.04</v>
          </cell>
          <cell r="CS9">
            <v>177.53</v>
          </cell>
          <cell r="CT9">
            <v>173.78</v>
          </cell>
          <cell r="CU9">
            <v>179.4</v>
          </cell>
          <cell r="CV9">
            <v>177.94</v>
          </cell>
          <cell r="CX9">
            <v>0</v>
          </cell>
          <cell r="CY9">
            <v>174.2</v>
          </cell>
          <cell r="DD9" t="str">
            <v>มีค.</v>
          </cell>
          <cell r="DE9">
            <v>139.30000000000001</v>
          </cell>
          <cell r="DG9">
            <v>139.16999999999999</v>
          </cell>
          <cell r="DH9">
            <v>138.79</v>
          </cell>
          <cell r="DI9">
            <v>140.31</v>
          </cell>
          <cell r="DK9">
            <v>139.19999999999999</v>
          </cell>
          <cell r="DL9">
            <v>139.85</v>
          </cell>
          <cell r="DM9">
            <v>137.19999999999999</v>
          </cell>
          <cell r="DQ9" t="str">
            <v>มีค.</v>
          </cell>
          <cell r="DR9">
            <v>752.97</v>
          </cell>
          <cell r="DT9">
            <v>751.53</v>
          </cell>
          <cell r="DU9">
            <v>741.75</v>
          </cell>
          <cell r="DV9">
            <v>755.45</v>
          </cell>
          <cell r="DX9">
            <v>743.5</v>
          </cell>
          <cell r="DZ9">
            <v>739</v>
          </cell>
          <cell r="EG9" t="str">
            <v>มีค.</v>
          </cell>
          <cell r="EH9">
            <v>281.76</v>
          </cell>
          <cell r="EJ9">
            <v>281.22000000000003</v>
          </cell>
          <cell r="EK9">
            <v>279.12</v>
          </cell>
          <cell r="EL9">
            <v>282.45999999999998</v>
          </cell>
          <cell r="EN9">
            <v>279.89999999999998</v>
          </cell>
          <cell r="EP9">
            <v>270</v>
          </cell>
          <cell r="ER9" t="str">
            <v>มีค.</v>
          </cell>
          <cell r="ES9">
            <v>79.069999999999993</v>
          </cell>
          <cell r="EU9">
            <v>71.64</v>
          </cell>
          <cell r="EV9">
            <v>69.98</v>
          </cell>
          <cell r="EW9">
            <v>89.6</v>
          </cell>
          <cell r="EX9">
            <v>82.7</v>
          </cell>
          <cell r="EY9">
            <v>76</v>
          </cell>
          <cell r="EZ9">
            <v>62</v>
          </cell>
          <cell r="FH9" t="str">
            <v>มีค.</v>
          </cell>
          <cell r="FI9">
            <v>108.73</v>
          </cell>
          <cell r="FK9">
            <v>107.41</v>
          </cell>
          <cell r="FL9">
            <v>112.09</v>
          </cell>
          <cell r="FM9">
            <v>100.98</v>
          </cell>
          <cell r="FN9">
            <v>115</v>
          </cell>
          <cell r="FO9">
            <v>105.8</v>
          </cell>
          <cell r="FP9">
            <v>83</v>
          </cell>
          <cell r="FQ9">
            <v>105.7</v>
          </cell>
        </row>
        <row r="10">
          <cell r="E10">
            <v>241.31</v>
          </cell>
          <cell r="F10">
            <v>217.19</v>
          </cell>
          <cell r="G10">
            <v>256.8</v>
          </cell>
          <cell r="H10">
            <v>242.1</v>
          </cell>
          <cell r="I10">
            <v>244.8</v>
          </cell>
          <cell r="J10">
            <v>239.8</v>
          </cell>
          <cell r="K10">
            <v>213</v>
          </cell>
          <cell r="N10" t="str">
            <v>เมย.</v>
          </cell>
          <cell r="O10">
            <v>148.77000000000001</v>
          </cell>
          <cell r="Q10">
            <v>149.44999999999999</v>
          </cell>
          <cell r="R10">
            <v>129.97</v>
          </cell>
          <cell r="S10">
            <v>152.66999999999999</v>
          </cell>
          <cell r="T10">
            <v>146</v>
          </cell>
          <cell r="U10">
            <v>151.4</v>
          </cell>
          <cell r="AC10" t="str">
            <v>เมย.</v>
          </cell>
          <cell r="AD10" t="e">
            <v>#REF!</v>
          </cell>
          <cell r="AF10">
            <v>383.07</v>
          </cell>
          <cell r="AG10">
            <v>372.85</v>
          </cell>
          <cell r="AH10">
            <v>382.18</v>
          </cell>
          <cell r="AK10">
            <v>365.1</v>
          </cell>
          <cell r="AO10" t="str">
            <v>เมย.</v>
          </cell>
          <cell r="AP10" t="e">
            <v>#REF!</v>
          </cell>
          <cell r="AR10">
            <v>170.66</v>
          </cell>
          <cell r="AS10">
            <v>162.54</v>
          </cell>
          <cell r="AT10">
            <v>176.59</v>
          </cell>
          <cell r="AU10">
            <v>160.19999999999999</v>
          </cell>
          <cell r="AV10">
            <v>168</v>
          </cell>
          <cell r="AW10">
            <v>162.5</v>
          </cell>
          <cell r="AX10">
            <v>159</v>
          </cell>
          <cell r="BB10" t="str">
            <v>เมย.</v>
          </cell>
          <cell r="BC10" t="e">
            <v>#REF!</v>
          </cell>
          <cell r="BE10">
            <v>143.55000000000001</v>
          </cell>
          <cell r="BF10">
            <v>138.55000000000001</v>
          </cell>
          <cell r="BG10">
            <v>150.97999999999999</v>
          </cell>
          <cell r="BH10">
            <v>138.5</v>
          </cell>
          <cell r="BI10">
            <v>147</v>
          </cell>
          <cell r="BK10">
            <v>135</v>
          </cell>
          <cell r="BO10" t="str">
            <v>เมย.</v>
          </cell>
          <cell r="BP10" t="e">
            <v>#REF!</v>
          </cell>
          <cell r="BR10">
            <v>93.42</v>
          </cell>
          <cell r="BS10">
            <v>88.9</v>
          </cell>
          <cell r="BT10">
            <v>92.28</v>
          </cell>
          <cell r="BV10">
            <v>75</v>
          </cell>
          <cell r="BW10">
            <v>94</v>
          </cell>
          <cell r="CC10" t="str">
            <v>เมย.</v>
          </cell>
          <cell r="CD10">
            <v>199.97</v>
          </cell>
          <cell r="CF10">
            <v>200.97</v>
          </cell>
          <cell r="CG10">
            <v>201.13</v>
          </cell>
          <cell r="CH10">
            <v>200.44</v>
          </cell>
          <cell r="CL10">
            <v>197</v>
          </cell>
          <cell r="CP10" t="str">
            <v>เมย.</v>
          </cell>
          <cell r="CQ10">
            <v>178.43</v>
          </cell>
          <cell r="CS10">
            <v>177.33</v>
          </cell>
          <cell r="CT10">
            <v>173.53</v>
          </cell>
          <cell r="CU10">
            <v>179</v>
          </cell>
          <cell r="CV10">
            <v>177.22</v>
          </cell>
          <cell r="CX10">
            <v>0</v>
          </cell>
          <cell r="CY10">
            <v>174.2</v>
          </cell>
          <cell r="DD10" t="str">
            <v>เมย.</v>
          </cell>
          <cell r="DE10">
            <v>138.85</v>
          </cell>
          <cell r="DG10">
            <v>138.68</v>
          </cell>
          <cell r="DH10">
            <v>138.30000000000001</v>
          </cell>
          <cell r="DI10">
            <v>139.83000000000001</v>
          </cell>
          <cell r="DK10">
            <v>139.19999999999999</v>
          </cell>
          <cell r="DL10">
            <v>139.07</v>
          </cell>
          <cell r="DM10">
            <v>137.19999999999999</v>
          </cell>
          <cell r="DQ10" t="str">
            <v>เมย.</v>
          </cell>
          <cell r="DR10">
            <v>752.14</v>
          </cell>
          <cell r="DT10">
            <v>751.1</v>
          </cell>
          <cell r="DU10">
            <v>742.09</v>
          </cell>
          <cell r="DV10">
            <v>754.5</v>
          </cell>
          <cell r="DX10">
            <v>743.5</v>
          </cell>
          <cell r="DZ10">
            <v>739</v>
          </cell>
          <cell r="EG10" t="str">
            <v>เมย.</v>
          </cell>
          <cell r="EH10">
            <v>281.27</v>
          </cell>
          <cell r="EJ10">
            <v>280.83999999999997</v>
          </cell>
          <cell r="EK10">
            <v>278.8</v>
          </cell>
          <cell r="EL10">
            <v>281.93</v>
          </cell>
          <cell r="EN10">
            <v>279.89999999999998</v>
          </cell>
          <cell r="EP10">
            <v>270</v>
          </cell>
          <cell r="ER10" t="str">
            <v>เมย.</v>
          </cell>
          <cell r="ES10">
            <v>78.569999999999993</v>
          </cell>
          <cell r="EU10">
            <v>70.37</v>
          </cell>
          <cell r="EV10">
            <v>68.55</v>
          </cell>
          <cell r="EW10">
            <v>88.35</v>
          </cell>
          <cell r="EX10">
            <v>80.599999999999994</v>
          </cell>
          <cell r="EY10">
            <v>76</v>
          </cell>
          <cell r="EZ10">
            <v>62</v>
          </cell>
          <cell r="FH10" t="str">
            <v>เมย.</v>
          </cell>
          <cell r="FI10">
            <v>107.33</v>
          </cell>
          <cell r="FK10">
            <v>106.29</v>
          </cell>
          <cell r="FL10">
            <v>111.46</v>
          </cell>
          <cell r="FM10">
            <v>99.98</v>
          </cell>
          <cell r="FN10">
            <v>114.09</v>
          </cell>
          <cell r="FO10">
            <v>105.8</v>
          </cell>
          <cell r="FP10">
            <v>83</v>
          </cell>
          <cell r="FQ10">
            <v>105.7</v>
          </cell>
        </row>
        <row r="11">
          <cell r="E11">
            <v>239.5</v>
          </cell>
          <cell r="F11">
            <v>217.8</v>
          </cell>
          <cell r="G11">
            <v>253.93</v>
          </cell>
          <cell r="H11">
            <v>240.2</v>
          </cell>
          <cell r="I11">
            <v>244.8</v>
          </cell>
          <cell r="J11">
            <v>239.8</v>
          </cell>
          <cell r="K11">
            <v>213</v>
          </cell>
          <cell r="N11" t="str">
            <v>พค.</v>
          </cell>
          <cell r="O11">
            <v>145.44</v>
          </cell>
          <cell r="Q11">
            <v>147.08000000000001</v>
          </cell>
          <cell r="R11">
            <v>130.66999999999999</v>
          </cell>
          <cell r="S11">
            <v>151.09</v>
          </cell>
          <cell r="T11">
            <v>144</v>
          </cell>
          <cell r="U11">
            <v>151.4</v>
          </cell>
          <cell r="AC11" t="str">
            <v>พค.</v>
          </cell>
          <cell r="AD11" t="e">
            <v>#REF!</v>
          </cell>
          <cell r="AF11">
            <v>382.2</v>
          </cell>
          <cell r="AG11">
            <v>375.51</v>
          </cell>
          <cell r="AH11">
            <v>381.03</v>
          </cell>
          <cell r="AK11">
            <v>365.1</v>
          </cell>
          <cell r="AO11" t="str">
            <v>พค.</v>
          </cell>
          <cell r="AP11" t="e">
            <v>#REF!</v>
          </cell>
          <cell r="AR11">
            <v>169.12</v>
          </cell>
          <cell r="AS11">
            <v>162.24</v>
          </cell>
          <cell r="AT11">
            <v>175.67</v>
          </cell>
          <cell r="AU11">
            <v>159.6</v>
          </cell>
          <cell r="AV11">
            <v>168</v>
          </cell>
          <cell r="AW11">
            <v>162.5</v>
          </cell>
          <cell r="AX11">
            <v>159</v>
          </cell>
          <cell r="BB11" t="str">
            <v>พค.</v>
          </cell>
          <cell r="BC11" t="e">
            <v>#REF!</v>
          </cell>
          <cell r="BE11">
            <v>141.88999999999999</v>
          </cell>
          <cell r="BF11">
            <v>137.12</v>
          </cell>
          <cell r="BG11">
            <v>150</v>
          </cell>
          <cell r="BH11">
            <v>137</v>
          </cell>
          <cell r="BI11">
            <v>147</v>
          </cell>
          <cell r="BK11">
            <v>135</v>
          </cell>
          <cell r="BO11" t="str">
            <v>พค.</v>
          </cell>
          <cell r="BP11" t="e">
            <v>#REF!</v>
          </cell>
          <cell r="BR11">
            <v>92.74</v>
          </cell>
          <cell r="BS11">
            <v>88.92</v>
          </cell>
          <cell r="BT11">
            <v>90.5</v>
          </cell>
          <cell r="BV11">
            <v>75</v>
          </cell>
          <cell r="BW11">
            <v>94</v>
          </cell>
          <cell r="CC11" t="str">
            <v>พค.</v>
          </cell>
          <cell r="CD11">
            <v>199.42</v>
          </cell>
          <cell r="CF11">
            <v>200.74</v>
          </cell>
          <cell r="CG11">
            <v>200.88</v>
          </cell>
          <cell r="CH11">
            <v>200.02</v>
          </cell>
          <cell r="CL11">
            <v>197</v>
          </cell>
          <cell r="CP11" t="str">
            <v>พค.</v>
          </cell>
          <cell r="CQ11">
            <v>177.89</v>
          </cell>
          <cell r="CS11">
            <v>177.27</v>
          </cell>
          <cell r="CT11">
            <v>173.92</v>
          </cell>
          <cell r="CU11">
            <v>178.25</v>
          </cell>
          <cell r="CV11">
            <v>176.8</v>
          </cell>
          <cell r="CX11">
            <v>0</v>
          </cell>
          <cell r="CY11">
            <v>174.2</v>
          </cell>
          <cell r="DD11" t="str">
            <v>พค.</v>
          </cell>
          <cell r="DE11">
            <v>138.66</v>
          </cell>
          <cell r="DG11">
            <v>138.5</v>
          </cell>
          <cell r="DH11">
            <v>138.26</v>
          </cell>
          <cell r="DI11">
            <v>139.4</v>
          </cell>
          <cell r="DK11">
            <v>139.19999999999999</v>
          </cell>
          <cell r="DL11">
            <v>138.31</v>
          </cell>
          <cell r="DM11">
            <v>137.19999999999999</v>
          </cell>
          <cell r="DQ11" t="str">
            <v>พค.</v>
          </cell>
          <cell r="DR11">
            <v>752.38</v>
          </cell>
          <cell r="DT11">
            <v>751.43</v>
          </cell>
          <cell r="DU11">
            <v>744.54</v>
          </cell>
          <cell r="DV11">
            <v>753.83</v>
          </cell>
          <cell r="DX11">
            <v>743.5</v>
          </cell>
          <cell r="DZ11">
            <v>739</v>
          </cell>
          <cell r="EG11" t="str">
            <v>พค.</v>
          </cell>
          <cell r="EH11">
            <v>280.82</v>
          </cell>
          <cell r="EJ11">
            <v>280.66000000000003</v>
          </cell>
          <cell r="EK11">
            <v>278.2</v>
          </cell>
          <cell r="EL11">
            <v>281.5</v>
          </cell>
          <cell r="EN11">
            <v>279.89999999999998</v>
          </cell>
          <cell r="EP11">
            <v>270</v>
          </cell>
          <cell r="ER11" t="str">
            <v>พค.</v>
          </cell>
          <cell r="ES11">
            <v>77.83</v>
          </cell>
          <cell r="EU11">
            <v>68.88</v>
          </cell>
          <cell r="EV11">
            <v>67.56</v>
          </cell>
          <cell r="EW11">
            <v>87.72</v>
          </cell>
          <cell r="EX11">
            <v>79.25</v>
          </cell>
          <cell r="EY11">
            <v>76</v>
          </cell>
          <cell r="EZ11">
            <v>62</v>
          </cell>
          <cell r="FH11" t="str">
            <v>พค.</v>
          </cell>
          <cell r="FI11">
            <v>105.99</v>
          </cell>
          <cell r="FK11">
            <v>104.75</v>
          </cell>
          <cell r="FL11">
            <v>109.55</v>
          </cell>
          <cell r="FM11">
            <v>98.99</v>
          </cell>
          <cell r="FN11">
            <v>112.83</v>
          </cell>
          <cell r="FO11">
            <v>105.2</v>
          </cell>
          <cell r="FP11">
            <v>83</v>
          </cell>
          <cell r="FQ11">
            <v>105.7</v>
          </cell>
        </row>
        <row r="12">
          <cell r="E12">
            <v>237.2</v>
          </cell>
          <cell r="F12">
            <v>220.88</v>
          </cell>
          <cell r="G12">
            <v>251.3</v>
          </cell>
          <cell r="H12">
            <v>238.1</v>
          </cell>
          <cell r="I12">
            <v>244.8</v>
          </cell>
          <cell r="J12">
            <v>239.8</v>
          </cell>
          <cell r="K12">
            <v>213</v>
          </cell>
          <cell r="N12" t="str">
            <v>มิย.</v>
          </cell>
          <cell r="O12">
            <v>142.22999999999999</v>
          </cell>
          <cell r="Q12">
            <v>145.68</v>
          </cell>
          <cell r="R12">
            <v>133.28</v>
          </cell>
          <cell r="S12">
            <v>150.35</v>
          </cell>
          <cell r="T12">
            <v>142</v>
          </cell>
          <cell r="U12">
            <v>151.4</v>
          </cell>
          <cell r="AC12" t="str">
            <v>มิย.</v>
          </cell>
          <cell r="AD12" t="e">
            <v>#REF!</v>
          </cell>
          <cell r="AF12">
            <v>380.39</v>
          </cell>
          <cell r="AG12">
            <v>380.88</v>
          </cell>
          <cell r="AH12">
            <v>380</v>
          </cell>
          <cell r="AK12">
            <v>365.1</v>
          </cell>
          <cell r="AO12" t="str">
            <v>มิย.</v>
          </cell>
          <cell r="AP12" t="e">
            <v>#REF!</v>
          </cell>
          <cell r="AR12">
            <v>167.74</v>
          </cell>
          <cell r="AS12">
            <v>162.63999999999999</v>
          </cell>
          <cell r="AT12">
            <v>175.15</v>
          </cell>
          <cell r="AU12">
            <v>158.9</v>
          </cell>
          <cell r="AV12">
            <v>168</v>
          </cell>
          <cell r="AW12">
            <v>162.5</v>
          </cell>
          <cell r="AX12">
            <v>159</v>
          </cell>
          <cell r="BB12" t="str">
            <v>มิย.</v>
          </cell>
          <cell r="BC12" t="e">
            <v>#REF!</v>
          </cell>
          <cell r="BE12">
            <v>141.79</v>
          </cell>
          <cell r="BF12">
            <v>138.19999999999999</v>
          </cell>
          <cell r="BG12">
            <v>150.12</v>
          </cell>
          <cell r="BH12">
            <v>137</v>
          </cell>
          <cell r="BI12">
            <v>147</v>
          </cell>
          <cell r="BK12">
            <v>135</v>
          </cell>
          <cell r="BO12" t="str">
            <v>มิย.</v>
          </cell>
          <cell r="BP12" t="e">
            <v>#REF!</v>
          </cell>
          <cell r="BR12">
            <v>92.77</v>
          </cell>
          <cell r="BS12">
            <v>89.77</v>
          </cell>
          <cell r="BT12">
            <v>89.67</v>
          </cell>
          <cell r="BV12">
            <v>75</v>
          </cell>
          <cell r="BW12">
            <v>94</v>
          </cell>
          <cell r="CC12" t="str">
            <v>มิย.</v>
          </cell>
          <cell r="CD12">
            <v>200.32</v>
          </cell>
          <cell r="CF12">
            <v>200.58</v>
          </cell>
          <cell r="CG12">
            <v>202.18</v>
          </cell>
          <cell r="CH12">
            <v>201.8</v>
          </cell>
          <cell r="CL12">
            <v>197</v>
          </cell>
          <cell r="CP12" t="str">
            <v>มิย.</v>
          </cell>
          <cell r="CQ12">
            <v>177.73</v>
          </cell>
          <cell r="CS12">
            <v>177.28</v>
          </cell>
          <cell r="CT12">
            <v>174.16</v>
          </cell>
          <cell r="CU12">
            <v>178</v>
          </cell>
          <cell r="CV12">
            <v>179.5</v>
          </cell>
          <cell r="CX12">
            <v>0</v>
          </cell>
          <cell r="CY12">
            <v>174.2</v>
          </cell>
          <cell r="DD12" t="str">
            <v>มิย.</v>
          </cell>
          <cell r="DE12">
            <v>138.68</v>
          </cell>
          <cell r="DG12">
            <v>138.36000000000001</v>
          </cell>
          <cell r="DH12">
            <v>138.91</v>
          </cell>
          <cell r="DI12">
            <v>139.33000000000001</v>
          </cell>
          <cell r="DK12">
            <v>139.19999999999999</v>
          </cell>
          <cell r="DL12">
            <v>137.5</v>
          </cell>
          <cell r="DM12">
            <v>137.19999999999999</v>
          </cell>
          <cell r="DQ12" t="str">
            <v>มิย.</v>
          </cell>
          <cell r="DR12">
            <v>752.74</v>
          </cell>
          <cell r="DT12">
            <v>748.45</v>
          </cell>
          <cell r="DU12">
            <v>746.18</v>
          </cell>
          <cell r="DV12">
            <v>753.35</v>
          </cell>
          <cell r="DX12">
            <v>743.5</v>
          </cell>
          <cell r="DZ12">
            <v>739</v>
          </cell>
          <cell r="EG12" t="str">
            <v>มิย.</v>
          </cell>
          <cell r="EH12">
            <v>280.64</v>
          </cell>
          <cell r="EJ12">
            <v>280.74</v>
          </cell>
          <cell r="EK12">
            <v>277.83999999999997</v>
          </cell>
          <cell r="EL12">
            <v>281.02999999999997</v>
          </cell>
          <cell r="EN12">
            <v>279.89999999999998</v>
          </cell>
          <cell r="EP12">
            <v>270</v>
          </cell>
          <cell r="ER12" t="str">
            <v>มิย.</v>
          </cell>
          <cell r="ES12">
            <v>78.06</v>
          </cell>
          <cell r="EU12">
            <v>68.400000000000006</v>
          </cell>
          <cell r="EV12">
            <v>67.87</v>
          </cell>
          <cell r="EW12">
            <v>88.35</v>
          </cell>
          <cell r="EX12">
            <v>80</v>
          </cell>
          <cell r="EY12">
            <v>76</v>
          </cell>
          <cell r="EZ12">
            <v>62</v>
          </cell>
          <cell r="FH12" t="str">
            <v>มิย.</v>
          </cell>
          <cell r="FI12">
            <v>104.78</v>
          </cell>
          <cell r="FK12">
            <v>104.2</v>
          </cell>
          <cell r="FL12">
            <v>109.36</v>
          </cell>
          <cell r="FM12">
            <v>97.88</v>
          </cell>
          <cell r="FN12">
            <v>110.75</v>
          </cell>
          <cell r="FO12">
            <v>103.4</v>
          </cell>
          <cell r="FP12">
            <v>83</v>
          </cell>
          <cell r="FQ12">
            <v>105.7</v>
          </cell>
        </row>
        <row r="13">
          <cell r="E13">
            <v>237.33</v>
          </cell>
          <cell r="F13">
            <v>225.47</v>
          </cell>
          <cell r="G13">
            <v>250.02</v>
          </cell>
          <cell r="H13">
            <v>237</v>
          </cell>
          <cell r="I13">
            <v>244.8</v>
          </cell>
          <cell r="J13">
            <v>239.8</v>
          </cell>
          <cell r="K13">
            <v>213</v>
          </cell>
          <cell r="N13" t="str">
            <v>กค.</v>
          </cell>
          <cell r="O13">
            <v>143.55000000000001</v>
          </cell>
          <cell r="Q13">
            <v>149.16</v>
          </cell>
          <cell r="R13">
            <v>138.54</v>
          </cell>
          <cell r="S13">
            <v>151.11000000000001</v>
          </cell>
          <cell r="T13">
            <v>141</v>
          </cell>
          <cell r="U13">
            <v>151.4</v>
          </cell>
          <cell r="AC13" t="str">
            <v>กค.</v>
          </cell>
          <cell r="AD13" t="e">
            <v>#REF!</v>
          </cell>
          <cell r="AF13">
            <v>380.86</v>
          </cell>
          <cell r="AG13">
            <v>385.98</v>
          </cell>
          <cell r="AH13">
            <v>379</v>
          </cell>
          <cell r="AK13">
            <v>365.1</v>
          </cell>
          <cell r="AO13" t="str">
            <v>กค.</v>
          </cell>
          <cell r="AP13" t="e">
            <v>#REF!</v>
          </cell>
          <cell r="AR13">
            <v>167.3</v>
          </cell>
          <cell r="AS13">
            <v>166.66</v>
          </cell>
          <cell r="AT13">
            <v>175.32</v>
          </cell>
          <cell r="AU13">
            <v>159.25</v>
          </cell>
          <cell r="AV13">
            <v>168</v>
          </cell>
          <cell r="AW13">
            <v>162.5</v>
          </cell>
          <cell r="AX13">
            <v>159</v>
          </cell>
          <cell r="BB13" t="str">
            <v>กค.</v>
          </cell>
          <cell r="BC13" t="e">
            <v>#REF!</v>
          </cell>
          <cell r="BE13">
            <v>142.66999999999999</v>
          </cell>
          <cell r="BF13">
            <v>148.52000000000001</v>
          </cell>
          <cell r="BG13">
            <v>150.96</v>
          </cell>
          <cell r="BH13">
            <v>138.5</v>
          </cell>
          <cell r="BI13">
            <v>147</v>
          </cell>
          <cell r="BK13">
            <v>135</v>
          </cell>
          <cell r="BO13" t="str">
            <v>กค.</v>
          </cell>
          <cell r="BP13" t="e">
            <v>#REF!</v>
          </cell>
          <cell r="BR13">
            <v>92.11</v>
          </cell>
          <cell r="BS13">
            <v>94.3</v>
          </cell>
          <cell r="BT13">
            <v>90.56</v>
          </cell>
          <cell r="BV13">
            <v>75</v>
          </cell>
          <cell r="BW13">
            <v>94</v>
          </cell>
          <cell r="CC13" t="str">
            <v>กค.</v>
          </cell>
          <cell r="CD13">
            <v>201.71</v>
          </cell>
          <cell r="CF13">
            <v>200.51</v>
          </cell>
          <cell r="CG13">
            <v>203.86</v>
          </cell>
          <cell r="CH13">
            <v>203</v>
          </cell>
          <cell r="CL13">
            <v>197</v>
          </cell>
          <cell r="CP13" t="str">
            <v>กค.</v>
          </cell>
          <cell r="CQ13">
            <v>177.3</v>
          </cell>
          <cell r="CS13">
            <v>177.7</v>
          </cell>
          <cell r="CT13">
            <v>174.19</v>
          </cell>
          <cell r="CU13">
            <v>177.5</v>
          </cell>
          <cell r="CV13">
            <v>178.05</v>
          </cell>
          <cell r="CX13">
            <v>0</v>
          </cell>
          <cell r="CY13">
            <v>174.2</v>
          </cell>
          <cell r="DD13" t="str">
            <v>กค.</v>
          </cell>
          <cell r="DE13">
            <v>139</v>
          </cell>
          <cell r="DG13">
            <v>139.74</v>
          </cell>
          <cell r="DH13">
            <v>139.09</v>
          </cell>
          <cell r="DI13">
            <v>139.79</v>
          </cell>
          <cell r="DK13">
            <v>139.19999999999999</v>
          </cell>
          <cell r="DL13">
            <v>137.68</v>
          </cell>
          <cell r="DM13">
            <v>137.19999999999999</v>
          </cell>
          <cell r="DQ13" t="str">
            <v>กค.</v>
          </cell>
          <cell r="DR13">
            <v>752.9</v>
          </cell>
          <cell r="DT13">
            <v>747.19</v>
          </cell>
          <cell r="DU13">
            <v>748.33</v>
          </cell>
          <cell r="DV13">
            <v>753.15</v>
          </cell>
          <cell r="DX13">
            <v>743.5</v>
          </cell>
          <cell r="DZ13">
            <v>739</v>
          </cell>
          <cell r="EG13" t="str">
            <v>กค.</v>
          </cell>
          <cell r="EH13">
            <v>280.70999999999998</v>
          </cell>
          <cell r="EI13">
            <v>0</v>
          </cell>
          <cell r="EJ13">
            <v>281.77999999999997</v>
          </cell>
          <cell r="EK13">
            <v>278.86</v>
          </cell>
          <cell r="EL13">
            <v>281.10000000000002</v>
          </cell>
          <cell r="EN13">
            <v>279.89999999999998</v>
          </cell>
          <cell r="EP13">
            <v>270</v>
          </cell>
          <cell r="ER13" t="str">
            <v>กค.</v>
          </cell>
          <cell r="ES13">
            <v>79.599999999999994</v>
          </cell>
          <cell r="EU13">
            <v>69.42</v>
          </cell>
          <cell r="EV13">
            <v>71.42</v>
          </cell>
          <cell r="EW13">
            <v>89.6</v>
          </cell>
          <cell r="EX13">
            <v>81.5</v>
          </cell>
          <cell r="EY13">
            <v>76</v>
          </cell>
          <cell r="EZ13">
            <v>62</v>
          </cell>
          <cell r="FH13" t="str">
            <v>กค.</v>
          </cell>
          <cell r="FI13">
            <v>103.2</v>
          </cell>
          <cell r="FK13">
            <v>105.1</v>
          </cell>
          <cell r="FL13">
            <v>107.41</v>
          </cell>
          <cell r="FM13">
            <v>97.93</v>
          </cell>
          <cell r="FN13">
            <v>108.13</v>
          </cell>
          <cell r="FO13">
            <v>100.8</v>
          </cell>
          <cell r="FP13">
            <v>83</v>
          </cell>
          <cell r="FQ13">
            <v>105.7</v>
          </cell>
        </row>
        <row r="14">
          <cell r="E14">
            <v>243.36</v>
          </cell>
          <cell r="F14">
            <v>237.26</v>
          </cell>
          <cell r="G14">
            <v>251.75</v>
          </cell>
          <cell r="H14">
            <v>238.4</v>
          </cell>
          <cell r="I14">
            <v>244.8</v>
          </cell>
          <cell r="J14">
            <v>239.8</v>
          </cell>
          <cell r="K14">
            <v>213</v>
          </cell>
          <cell r="N14" t="str">
            <v>สค.</v>
          </cell>
          <cell r="O14">
            <v>148.38</v>
          </cell>
          <cell r="Q14">
            <v>159.6</v>
          </cell>
          <cell r="R14">
            <v>153.97</v>
          </cell>
          <cell r="S14">
            <v>155.72999999999999</v>
          </cell>
          <cell r="T14">
            <v>146</v>
          </cell>
          <cell r="U14">
            <v>151.4</v>
          </cell>
          <cell r="AC14" t="str">
            <v>สค.</v>
          </cell>
          <cell r="AD14" t="e">
            <v>#REF!</v>
          </cell>
          <cell r="AF14">
            <v>390.83</v>
          </cell>
          <cell r="AG14">
            <v>397.92</v>
          </cell>
          <cell r="AH14">
            <v>386.36</v>
          </cell>
          <cell r="AK14">
            <v>365.1</v>
          </cell>
          <cell r="AO14" t="str">
            <v>สค.</v>
          </cell>
          <cell r="AP14" t="e">
            <v>#REF!</v>
          </cell>
          <cell r="AR14">
            <v>168.53</v>
          </cell>
          <cell r="AS14">
            <v>172.02</v>
          </cell>
          <cell r="AT14">
            <v>176.51</v>
          </cell>
          <cell r="AU14">
            <v>160.4</v>
          </cell>
          <cell r="AV14">
            <v>168</v>
          </cell>
          <cell r="AW14">
            <v>162.5</v>
          </cell>
          <cell r="AX14">
            <v>159</v>
          </cell>
          <cell r="BB14" t="str">
            <v>สค.</v>
          </cell>
          <cell r="BC14" t="e">
            <v>#REF!</v>
          </cell>
          <cell r="BE14">
            <v>146.96</v>
          </cell>
          <cell r="BF14">
            <v>155.37</v>
          </cell>
          <cell r="BG14">
            <v>152.1</v>
          </cell>
          <cell r="BH14">
            <v>140</v>
          </cell>
          <cell r="BI14">
            <v>147</v>
          </cell>
          <cell r="BK14">
            <v>135</v>
          </cell>
          <cell r="BO14" t="str">
            <v>สค.</v>
          </cell>
          <cell r="BP14" t="e">
            <v>#REF!</v>
          </cell>
          <cell r="BR14">
            <v>93.6</v>
          </cell>
          <cell r="BS14">
            <v>99.35</v>
          </cell>
          <cell r="BT14">
            <v>93.58</v>
          </cell>
          <cell r="BV14">
            <v>75</v>
          </cell>
          <cell r="BW14">
            <v>94</v>
          </cell>
          <cell r="CC14" t="str">
            <v>สค.</v>
          </cell>
          <cell r="CD14">
            <v>203.27</v>
          </cell>
          <cell r="CF14">
            <v>202.43</v>
          </cell>
          <cell r="CG14">
            <v>205.38</v>
          </cell>
          <cell r="CH14">
            <v>204.1</v>
          </cell>
          <cell r="CL14">
            <v>197</v>
          </cell>
          <cell r="CP14" t="str">
            <v>สค.</v>
          </cell>
          <cell r="CQ14">
            <v>177.2</v>
          </cell>
          <cell r="CS14">
            <v>178.82</v>
          </cell>
          <cell r="CT14">
            <v>173.83</v>
          </cell>
          <cell r="CU14">
            <v>177.5</v>
          </cell>
          <cell r="CV14">
            <v>176.9</v>
          </cell>
          <cell r="CX14">
            <v>0</v>
          </cell>
          <cell r="CY14">
            <v>174.2</v>
          </cell>
          <cell r="DD14" t="str">
            <v>สค.</v>
          </cell>
          <cell r="DE14">
            <v>140.03</v>
          </cell>
          <cell r="DG14">
            <v>140.08000000000001</v>
          </cell>
          <cell r="DH14">
            <v>139.43</v>
          </cell>
          <cell r="DI14">
            <v>140.65</v>
          </cell>
          <cell r="DK14">
            <v>139.19999999999999</v>
          </cell>
          <cell r="DL14">
            <v>138.53</v>
          </cell>
          <cell r="DM14">
            <v>137.19999999999999</v>
          </cell>
          <cell r="DQ14" t="str">
            <v>สค.</v>
          </cell>
          <cell r="DR14">
            <v>753.62</v>
          </cell>
          <cell r="DT14">
            <v>748.76</v>
          </cell>
          <cell r="DU14">
            <v>750.97</v>
          </cell>
          <cell r="DV14">
            <v>753.78</v>
          </cell>
          <cell r="DX14">
            <v>743.5</v>
          </cell>
          <cell r="DZ14">
            <v>739</v>
          </cell>
          <cell r="EG14" t="str">
            <v>สค.</v>
          </cell>
          <cell r="EH14">
            <v>281.55</v>
          </cell>
          <cell r="EI14">
            <v>0</v>
          </cell>
          <cell r="EJ14">
            <v>282.7</v>
          </cell>
          <cell r="EK14">
            <v>279.54000000000002</v>
          </cell>
          <cell r="EL14">
            <v>281.23</v>
          </cell>
          <cell r="EN14">
            <v>279.89999999999998</v>
          </cell>
          <cell r="EP14">
            <v>270</v>
          </cell>
          <cell r="ER14" t="str">
            <v>สค.</v>
          </cell>
          <cell r="ES14">
            <v>82.7</v>
          </cell>
          <cell r="EU14">
            <v>73.05</v>
          </cell>
          <cell r="EV14">
            <v>74.37</v>
          </cell>
          <cell r="EW14">
            <v>90.81</v>
          </cell>
          <cell r="EX14">
            <v>84.4</v>
          </cell>
          <cell r="EY14">
            <v>76</v>
          </cell>
          <cell r="EZ14">
            <v>62</v>
          </cell>
          <cell r="FH14" t="str">
            <v>สค.</v>
          </cell>
          <cell r="FI14">
            <v>102.8</v>
          </cell>
          <cell r="FK14">
            <v>106.67</v>
          </cell>
          <cell r="FL14">
            <v>104.41</v>
          </cell>
          <cell r="FM14">
            <v>97</v>
          </cell>
          <cell r="FN14">
            <v>106.15</v>
          </cell>
          <cell r="FO14">
            <v>99.6</v>
          </cell>
          <cell r="FP14">
            <v>83</v>
          </cell>
          <cell r="FQ14">
            <v>105.7</v>
          </cell>
        </row>
        <row r="15">
          <cell r="E15">
            <v>251.55</v>
          </cell>
          <cell r="F15">
            <v>246.17</v>
          </cell>
          <cell r="G15">
            <v>256.3</v>
          </cell>
          <cell r="H15">
            <v>242.2</v>
          </cell>
          <cell r="I15">
            <v>244.8</v>
          </cell>
          <cell r="J15">
            <v>239.8</v>
          </cell>
          <cell r="K15">
            <v>213</v>
          </cell>
          <cell r="N15" t="str">
            <v>กย.</v>
          </cell>
          <cell r="O15">
            <v>152.87</v>
          </cell>
          <cell r="Q15">
            <v>162</v>
          </cell>
          <cell r="R15">
            <v>159.53</v>
          </cell>
          <cell r="S15">
            <v>161.41999999999999</v>
          </cell>
          <cell r="T15">
            <v>151</v>
          </cell>
          <cell r="U15">
            <v>151.4</v>
          </cell>
          <cell r="AC15" t="str">
            <v>กย.</v>
          </cell>
          <cell r="AD15" t="e">
            <v>#REF!</v>
          </cell>
          <cell r="AF15">
            <v>396.31</v>
          </cell>
          <cell r="AG15">
            <v>395.18</v>
          </cell>
          <cell r="AH15">
            <v>395</v>
          </cell>
          <cell r="AK15">
            <v>365.1</v>
          </cell>
          <cell r="AO15" t="str">
            <v>กย.</v>
          </cell>
          <cell r="AP15" t="e">
            <v>#REF!</v>
          </cell>
          <cell r="AR15">
            <v>172.85</v>
          </cell>
          <cell r="AS15">
            <v>174.54</v>
          </cell>
          <cell r="AT15">
            <v>178.1</v>
          </cell>
          <cell r="AU15">
            <v>162.6</v>
          </cell>
          <cell r="AV15">
            <v>168</v>
          </cell>
          <cell r="AW15">
            <v>162.5</v>
          </cell>
          <cell r="AX15">
            <v>159</v>
          </cell>
          <cell r="BB15" t="str">
            <v>กย.</v>
          </cell>
          <cell r="BC15" t="e">
            <v>#REF!</v>
          </cell>
          <cell r="BE15">
            <v>151.72</v>
          </cell>
          <cell r="BF15">
            <v>155.01</v>
          </cell>
          <cell r="BG15">
            <v>153.9</v>
          </cell>
          <cell r="BH15">
            <v>142</v>
          </cell>
          <cell r="BI15">
            <v>147</v>
          </cell>
          <cell r="BK15">
            <v>135</v>
          </cell>
          <cell r="BO15" t="str">
            <v>กย.</v>
          </cell>
          <cell r="BP15" t="e">
            <v>#REF!</v>
          </cell>
          <cell r="BR15">
            <v>97.87</v>
          </cell>
          <cell r="BS15">
            <v>99.01</v>
          </cell>
          <cell r="BT15">
            <v>95.77</v>
          </cell>
          <cell r="BV15">
            <v>75</v>
          </cell>
          <cell r="BW15">
            <v>94</v>
          </cell>
          <cell r="CC15" t="str">
            <v>กย.</v>
          </cell>
          <cell r="CD15">
            <v>204</v>
          </cell>
          <cell r="CF15">
            <v>203.47</v>
          </cell>
          <cell r="CG15">
            <v>204.22</v>
          </cell>
          <cell r="CH15">
            <v>204.9</v>
          </cell>
          <cell r="CL15">
            <v>197</v>
          </cell>
          <cell r="CP15" t="str">
            <v>กย.</v>
          </cell>
          <cell r="CQ15">
            <v>178.73</v>
          </cell>
          <cell r="CS15">
            <v>180.47</v>
          </cell>
          <cell r="CT15">
            <v>178.12</v>
          </cell>
          <cell r="CU15">
            <v>179.15</v>
          </cell>
          <cell r="CV15">
            <v>176.78</v>
          </cell>
          <cell r="CX15">
            <v>0</v>
          </cell>
          <cell r="CY15">
            <v>174.2</v>
          </cell>
          <cell r="DD15" t="str">
            <v>กย.</v>
          </cell>
          <cell r="DE15">
            <v>141.15</v>
          </cell>
          <cell r="DG15">
            <v>140.85</v>
          </cell>
          <cell r="DH15">
            <v>140.91</v>
          </cell>
          <cell r="DI15">
            <v>141.88999999999999</v>
          </cell>
          <cell r="DK15">
            <v>139.19999999999999</v>
          </cell>
          <cell r="DL15">
            <v>140.58000000000001</v>
          </cell>
          <cell r="DM15">
            <v>137.19999999999999</v>
          </cell>
          <cell r="DQ15" t="str">
            <v>กย.</v>
          </cell>
          <cell r="DR15">
            <v>756.91</v>
          </cell>
          <cell r="DT15">
            <v>754.57</v>
          </cell>
          <cell r="DU15">
            <v>754.63</v>
          </cell>
          <cell r="DV15">
            <v>757.15</v>
          </cell>
          <cell r="DX15">
            <v>743.5</v>
          </cell>
          <cell r="DZ15">
            <v>739</v>
          </cell>
          <cell r="EG15" t="str">
            <v>กย.</v>
          </cell>
          <cell r="EH15">
            <v>282.64</v>
          </cell>
          <cell r="EI15">
            <v>0</v>
          </cell>
          <cell r="EJ15">
            <v>283.76</v>
          </cell>
          <cell r="EK15">
            <v>281.93</v>
          </cell>
          <cell r="EL15">
            <v>283.23</v>
          </cell>
          <cell r="EN15">
            <v>279.89999999999998</v>
          </cell>
          <cell r="EP15">
            <v>270</v>
          </cell>
          <cell r="ER15" t="str">
            <v>กย.</v>
          </cell>
          <cell r="ES15">
            <v>85.06</v>
          </cell>
          <cell r="EU15">
            <v>78.400000000000006</v>
          </cell>
          <cell r="EV15">
            <v>77.75</v>
          </cell>
          <cell r="EW15">
            <v>91.98</v>
          </cell>
          <cell r="EX15">
            <v>85.6</v>
          </cell>
          <cell r="EY15">
            <v>76</v>
          </cell>
          <cell r="EZ15">
            <v>62</v>
          </cell>
          <cell r="FH15" t="str">
            <v>กย.</v>
          </cell>
          <cell r="FI15">
            <v>101.63</v>
          </cell>
          <cell r="FK15">
            <v>104.46</v>
          </cell>
          <cell r="FL15">
            <v>100.86</v>
          </cell>
          <cell r="FM15">
            <v>96.08</v>
          </cell>
          <cell r="FN15">
            <v>105.01</v>
          </cell>
          <cell r="FO15">
            <v>98.1</v>
          </cell>
          <cell r="FP15">
            <v>83</v>
          </cell>
          <cell r="FQ15">
            <v>105.7</v>
          </cell>
        </row>
      </sheetData>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ow r="3">
          <cell r="E3">
            <v>0</v>
          </cell>
        </row>
      </sheetData>
      <sheetData sheetId="36"/>
      <sheetData sheetId="37"/>
      <sheetData sheetId="38"/>
      <sheetData sheetId="39"/>
      <sheetData sheetId="40"/>
      <sheetData sheetId="41"/>
      <sheetData sheetId="42"/>
      <sheetData sheetId="4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Link"/>
      <sheetName val="GSP-SMT LPG Inv."/>
      <sheetName val="CustomerDeli"/>
      <sheetName val="F-Total"/>
      <sheetName val="D-Total"/>
      <sheetName val="Chart5"/>
      <sheetName val="Sheet1"/>
      <sheetName val="-"/>
      <sheetName val="LevelProve"/>
      <sheetName val="Chart1"/>
      <sheetName val="Chart1 (2)"/>
      <sheetName val="--"/>
      <sheetName val="Invent."/>
      <sheetName val="Chart2"/>
      <sheetName val="Chart3"/>
      <sheetName val="DataLink-ManualINV"/>
      <sheetName val="Adj. 2007-06 Rate ให้ จจ.Rev1"/>
    </sheetNames>
    <sheetDataSet>
      <sheetData sheetId="0"/>
      <sheetData sheetId="1" refreshError="1"/>
      <sheetData sheetId="2" refreshError="1"/>
      <sheetData sheetId="3"/>
      <sheetData sheetId="4"/>
      <sheetData sheetId="5" refreshError="1"/>
      <sheetData sheetId="6"/>
      <sheetData sheetId="7"/>
      <sheetData sheetId="8"/>
      <sheetData sheetId="9" refreshError="1"/>
      <sheetData sheetId="10" refreshError="1"/>
      <sheetData sheetId="11"/>
      <sheetData sheetId="12">
        <row r="3">
          <cell r="B3" t="str">
            <v>17/ธ.ค./49.24.00น.</v>
          </cell>
          <cell r="C3">
            <v>12510</v>
          </cell>
          <cell r="D3">
            <v>2829</v>
          </cell>
          <cell r="E3">
            <v>23.5</v>
          </cell>
          <cell r="F3">
            <v>9.7899999999999991</v>
          </cell>
          <cell r="H3">
            <v>8431</v>
          </cell>
          <cell r="I3">
            <v>1613</v>
          </cell>
          <cell r="J3">
            <v>22.6</v>
          </cell>
          <cell r="K3">
            <v>7.77</v>
          </cell>
          <cell r="M3">
            <v>4484</v>
          </cell>
          <cell r="N3">
            <v>510</v>
          </cell>
          <cell r="O3">
            <v>29.6</v>
          </cell>
          <cell r="P3">
            <v>0</v>
          </cell>
          <cell r="R3">
            <v>7146</v>
          </cell>
          <cell r="S3">
            <v>1851</v>
          </cell>
          <cell r="T3">
            <v>21.9</v>
          </cell>
          <cell r="U3">
            <v>0</v>
          </cell>
          <cell r="W3">
            <v>6303</v>
          </cell>
          <cell r="X3">
            <v>1630</v>
          </cell>
          <cell r="Y3">
            <v>25.7</v>
          </cell>
          <cell r="Z3">
            <v>0</v>
          </cell>
          <cell r="AB3">
            <v>9800</v>
          </cell>
          <cell r="AC3">
            <v>2614</v>
          </cell>
          <cell r="AD3">
            <v>23</v>
          </cell>
          <cell r="AE3">
            <v>4.84</v>
          </cell>
          <cell r="AG3">
            <v>12757</v>
          </cell>
          <cell r="AH3">
            <v>3919</v>
          </cell>
          <cell r="AI3">
            <v>24.2</v>
          </cell>
          <cell r="AJ3">
            <v>5.33</v>
          </cell>
          <cell r="AL3">
            <v>0</v>
          </cell>
          <cell r="AM3">
            <v>0</v>
          </cell>
          <cell r="AN3">
            <v>0</v>
          </cell>
          <cell r="AO3">
            <v>0</v>
          </cell>
          <cell r="AQ3">
            <v>5752</v>
          </cell>
          <cell r="AR3">
            <v>1040</v>
          </cell>
          <cell r="AS3">
            <v>20.6</v>
          </cell>
          <cell r="AT3">
            <v>4.67</v>
          </cell>
          <cell r="AV3">
            <v>15257</v>
          </cell>
          <cell r="AW3">
            <v>5003</v>
          </cell>
          <cell r="AX3">
            <v>25.3</v>
          </cell>
          <cell r="AY3">
            <v>5.66</v>
          </cell>
          <cell r="BA3">
            <v>15342</v>
          </cell>
          <cell r="BB3">
            <v>5038</v>
          </cell>
          <cell r="BC3">
            <v>24.3</v>
          </cell>
          <cell r="BD3">
            <v>5.42</v>
          </cell>
          <cell r="BF3">
            <v>5102</v>
          </cell>
          <cell r="BG3">
            <v>836</v>
          </cell>
          <cell r="BH3">
            <v>26.9</v>
          </cell>
          <cell r="BI3">
            <v>5.89</v>
          </cell>
          <cell r="BK3">
            <v>16062</v>
          </cell>
          <cell r="BL3">
            <v>5329</v>
          </cell>
          <cell r="BM3">
            <v>28.7</v>
          </cell>
          <cell r="BN3">
            <v>6.25</v>
          </cell>
          <cell r="BP3">
            <v>7790</v>
          </cell>
          <cell r="BQ3">
            <v>1779</v>
          </cell>
          <cell r="BR3">
            <v>26.6</v>
          </cell>
          <cell r="BS3">
            <v>5.94</v>
          </cell>
        </row>
        <row r="6">
          <cell r="B6" t="str">
            <v>DATE</v>
          </cell>
        </row>
        <row r="7">
          <cell r="B7" t="str">
            <v>1/เม.ย./49.12.00น.</v>
          </cell>
        </row>
        <row r="8">
          <cell r="B8" t="str">
            <v>1/เม.ย./49.24.00น.</v>
          </cell>
        </row>
        <row r="9">
          <cell r="B9" t="str">
            <v>2/เม.ย./49.12.00น.</v>
          </cell>
        </row>
        <row r="10">
          <cell r="B10" t="str">
            <v>2/เม.ย./49.24.00น.</v>
          </cell>
        </row>
        <row r="11">
          <cell r="B11" t="str">
            <v>3/เม.ย./49.12.00น.</v>
          </cell>
        </row>
        <row r="12">
          <cell r="B12" t="str">
            <v>3/เม.ย./49.24.00น.</v>
          </cell>
        </row>
        <row r="13">
          <cell r="B13" t="str">
            <v>4/เม.ย./49.12.00น.</v>
          </cell>
        </row>
        <row r="14">
          <cell r="B14" t="str">
            <v>4/เม.ย./49.24.00น.</v>
          </cell>
        </row>
        <row r="15">
          <cell r="B15" t="str">
            <v>5/เม.ย./49.12.00น.</v>
          </cell>
        </row>
        <row r="16">
          <cell r="B16" t="str">
            <v>5/เม.ย./49.24.00น.</v>
          </cell>
        </row>
        <row r="17">
          <cell r="B17" t="str">
            <v>6/เม.ย./49.12.00น.</v>
          </cell>
        </row>
        <row r="18">
          <cell r="B18" t="str">
            <v>6/เม.ย./49.24.00น.</v>
          </cell>
        </row>
        <row r="19">
          <cell r="B19" t="str">
            <v>7/เม.ย./49.12.00น.</v>
          </cell>
        </row>
        <row r="20">
          <cell r="B20" t="str">
            <v>7/เม.ย./49.24.00น.</v>
          </cell>
        </row>
        <row r="21">
          <cell r="B21" t="str">
            <v>8/เม.ย./49.12.00น.</v>
          </cell>
        </row>
        <row r="22">
          <cell r="B22" t="str">
            <v>8/เม.ย./49.24.00น.</v>
          </cell>
        </row>
        <row r="23">
          <cell r="B23" t="str">
            <v>9/เม.ย./49.12.00น.</v>
          </cell>
        </row>
        <row r="24">
          <cell r="B24" t="str">
            <v>9/เม.ย./49.24.00น.</v>
          </cell>
        </row>
        <row r="25">
          <cell r="B25" t="str">
            <v>10/เม.ย./49.12.00น.</v>
          </cell>
        </row>
        <row r="26">
          <cell r="B26" t="str">
            <v>10/เม.ย./49.24.00น.</v>
          </cell>
        </row>
        <row r="27">
          <cell r="B27" t="str">
            <v>11/เม.ย./49.12.00น.</v>
          </cell>
        </row>
        <row r="28">
          <cell r="B28" t="str">
            <v>11/เม.ย./49.24.00น.</v>
          </cell>
        </row>
        <row r="29">
          <cell r="B29" t="str">
            <v>12/เม.ย./49.12.00น.</v>
          </cell>
        </row>
        <row r="30">
          <cell r="B30" t="str">
            <v>12/เม.ย./49.24.00น.</v>
          </cell>
        </row>
        <row r="31">
          <cell r="B31" t="str">
            <v>13/เม.ย./49.12.00น.</v>
          </cell>
        </row>
        <row r="32">
          <cell r="B32" t="str">
            <v>13/เม.ย./49.24.00น.</v>
          </cell>
        </row>
        <row r="33">
          <cell r="B33" t="str">
            <v>14/เม.ย./49.12.00น.</v>
          </cell>
        </row>
        <row r="34">
          <cell r="B34" t="str">
            <v>14/เม.ย./49.24.00น.</v>
          </cell>
        </row>
        <row r="35">
          <cell r="B35" t="str">
            <v>15/เม.ย./49.12.00น.</v>
          </cell>
        </row>
        <row r="36">
          <cell r="B36" t="str">
            <v>15/เม.ย./49.24.00น.</v>
          </cell>
        </row>
        <row r="37">
          <cell r="B37" t="str">
            <v>16/เม.ย./49.12.00น.</v>
          </cell>
        </row>
        <row r="38">
          <cell r="B38" t="str">
            <v>16/เม.ย./49.24.00น.</v>
          </cell>
        </row>
        <row r="39">
          <cell r="B39" t="str">
            <v>17/เม.ย./49.12.00น.</v>
          </cell>
        </row>
        <row r="40">
          <cell r="B40" t="str">
            <v>17/เม.ย./49.24.00น.</v>
          </cell>
        </row>
        <row r="41">
          <cell r="B41" t="str">
            <v>18/เม.ย./49.12.00น.</v>
          </cell>
        </row>
        <row r="42">
          <cell r="B42" t="str">
            <v>18/เม.ย./49.24.00น.</v>
          </cell>
        </row>
        <row r="43">
          <cell r="B43" t="str">
            <v>19/เม.ย./49.12.00น.</v>
          </cell>
        </row>
        <row r="44">
          <cell r="B44" t="str">
            <v>19/เม.ย./49.24.00น.</v>
          </cell>
        </row>
        <row r="45">
          <cell r="B45" t="str">
            <v>20/เม.ย./49.12.00น.</v>
          </cell>
        </row>
        <row r="46">
          <cell r="B46" t="str">
            <v>20/เม.ย./49.24.00น.</v>
          </cell>
        </row>
        <row r="47">
          <cell r="B47" t="str">
            <v>21/เม.ย./49.12.00น.</v>
          </cell>
        </row>
        <row r="48">
          <cell r="B48" t="str">
            <v>21/เม.ย./49.24.00น.</v>
          </cell>
        </row>
        <row r="49">
          <cell r="B49" t="str">
            <v>22/เม.ย./49.12.00น.</v>
          </cell>
        </row>
        <row r="50">
          <cell r="B50" t="str">
            <v>22/เม.ย./49.24.00น.</v>
          </cell>
        </row>
        <row r="51">
          <cell r="B51" t="str">
            <v>23/เม.ย./49.12.00น.</v>
          </cell>
        </row>
        <row r="52">
          <cell r="B52" t="str">
            <v>23/เม.ย./49.24.00น.</v>
          </cell>
        </row>
        <row r="53">
          <cell r="B53" t="str">
            <v>24/เม.ย./49.12.00น.</v>
          </cell>
        </row>
        <row r="54">
          <cell r="B54" t="str">
            <v>24/เม.ย./49.24.00น.</v>
          </cell>
        </row>
        <row r="55">
          <cell r="B55" t="str">
            <v>25/เม.ย./49.12.00น.</v>
          </cell>
        </row>
        <row r="56">
          <cell r="B56" t="str">
            <v>25/เม.ย./49.24.00น.</v>
          </cell>
        </row>
        <row r="57">
          <cell r="B57" t="str">
            <v>26/เม.ย./49.12.00น.</v>
          </cell>
        </row>
        <row r="58">
          <cell r="B58" t="str">
            <v>26/เม.ย./49.24.00น.</v>
          </cell>
        </row>
        <row r="59">
          <cell r="B59" t="str">
            <v>27/เม.ย./49.12.00น.</v>
          </cell>
        </row>
        <row r="60">
          <cell r="B60" t="str">
            <v>27/เม.ย./49.24.00น.</v>
          </cell>
        </row>
        <row r="61">
          <cell r="B61" t="str">
            <v>28/เม.ย./49.12.00น.</v>
          </cell>
        </row>
        <row r="62">
          <cell r="B62" t="str">
            <v>28/เม.ย./49.24.00น.</v>
          </cell>
        </row>
        <row r="63">
          <cell r="B63" t="str">
            <v>29/เม.ย./49.12.00น.</v>
          </cell>
        </row>
        <row r="64">
          <cell r="B64" t="str">
            <v>29/เม.ย./49.24.00น.</v>
          </cell>
        </row>
        <row r="65">
          <cell r="B65" t="str">
            <v>30/เม.ย./49.12.00น.</v>
          </cell>
        </row>
        <row r="66">
          <cell r="B66" t="str">
            <v>30/เม.ย./49.24.00น.</v>
          </cell>
        </row>
        <row r="67">
          <cell r="B67" t="str">
            <v>1/พ.ค./49.12.00น.</v>
          </cell>
        </row>
        <row r="68">
          <cell r="B68" t="str">
            <v>1/พ.ค./49.24.00น.</v>
          </cell>
        </row>
        <row r="69">
          <cell r="B69" t="str">
            <v>2/พ.ค./49.12.00น.</v>
          </cell>
        </row>
        <row r="70">
          <cell r="B70" t="str">
            <v>2/พ.ค./49.24.00น.</v>
          </cell>
        </row>
        <row r="71">
          <cell r="B71" t="str">
            <v>3/พ.ค./49.12.00น.</v>
          </cell>
        </row>
        <row r="72">
          <cell r="B72" t="str">
            <v>3/พ.ค./49.24.00น.</v>
          </cell>
        </row>
        <row r="73">
          <cell r="B73" t="str">
            <v>4/พ.ค./49.12.00น.</v>
          </cell>
        </row>
        <row r="74">
          <cell r="B74" t="str">
            <v>4/พ.ค./49.24.00น.</v>
          </cell>
        </row>
        <row r="75">
          <cell r="B75" t="str">
            <v>5/พ.ค./49.12.00น.</v>
          </cell>
        </row>
        <row r="76">
          <cell r="B76" t="str">
            <v>5/พ.ค./49.24.00น.</v>
          </cell>
        </row>
        <row r="77">
          <cell r="B77" t="str">
            <v>6/พ.ค./49.12.00น.</v>
          </cell>
        </row>
        <row r="78">
          <cell r="B78" t="str">
            <v>6/พ.ค./49.24.00น.</v>
          </cell>
        </row>
        <row r="79">
          <cell r="B79" t="str">
            <v>7/พ.ค./49.12.00น.</v>
          </cell>
        </row>
        <row r="80">
          <cell r="B80" t="str">
            <v>7/พ.ค./49.24.00น.</v>
          </cell>
        </row>
        <row r="81">
          <cell r="B81" t="str">
            <v>8/พ.ค./49.12.00น.</v>
          </cell>
        </row>
        <row r="82">
          <cell r="B82" t="str">
            <v>8/พ.ค./49.24.00น.</v>
          </cell>
        </row>
        <row r="83">
          <cell r="B83" t="str">
            <v>9/พ.ค./49.12.00น.</v>
          </cell>
        </row>
        <row r="84">
          <cell r="B84" t="str">
            <v>9/พ.ค./49.24.00น.</v>
          </cell>
        </row>
        <row r="85">
          <cell r="B85" t="str">
            <v>10/พ.ค./49.12.00น.</v>
          </cell>
        </row>
        <row r="86">
          <cell r="B86" t="str">
            <v>10/พ.ค./49.24.00น.</v>
          </cell>
        </row>
        <row r="87">
          <cell r="B87" t="str">
            <v>11/พ.ค./49.12.00น.</v>
          </cell>
        </row>
        <row r="88">
          <cell r="B88" t="str">
            <v>11/พ.ค./49.24.00น.</v>
          </cell>
        </row>
        <row r="89">
          <cell r="B89" t="str">
            <v>12/พ.ค./49.12.00น.</v>
          </cell>
        </row>
        <row r="90">
          <cell r="B90" t="str">
            <v>12/พ.ค./49.24.00น.</v>
          </cell>
        </row>
        <row r="91">
          <cell r="B91" t="str">
            <v>13/พ.ค./49.12.00น.</v>
          </cell>
        </row>
        <row r="92">
          <cell r="B92" t="str">
            <v>13/พ.ค./49.24.00น.</v>
          </cell>
        </row>
        <row r="93">
          <cell r="B93" t="str">
            <v>14/พ.ค./49.12.00น.</v>
          </cell>
        </row>
        <row r="94">
          <cell r="B94" t="str">
            <v>14/พ.ค./49.24.00น.</v>
          </cell>
        </row>
        <row r="95">
          <cell r="B95" t="str">
            <v>15/พ.ค./49.12.00น.</v>
          </cell>
        </row>
        <row r="96">
          <cell r="B96" t="str">
            <v>15/พ.ค./49.24.00น.</v>
          </cell>
        </row>
        <row r="97">
          <cell r="B97" t="str">
            <v>16/พ.ค./49.12.00น.</v>
          </cell>
        </row>
        <row r="98">
          <cell r="B98" t="str">
            <v>16/พ.ค./49.24.00น.</v>
          </cell>
        </row>
        <row r="99">
          <cell r="B99" t="str">
            <v>17/พ.ค./49.12.00น.</v>
          </cell>
        </row>
        <row r="100">
          <cell r="B100" t="str">
            <v>17/พ.ค./49.24.00น.</v>
          </cell>
        </row>
        <row r="101">
          <cell r="B101" t="str">
            <v>18/พ.ค./49.12.00น.</v>
          </cell>
        </row>
        <row r="102">
          <cell r="B102" t="str">
            <v>18/พ.ค./49.24.00น.</v>
          </cell>
        </row>
        <row r="103">
          <cell r="B103" t="str">
            <v>19/พ.ค./49.12.00น.</v>
          </cell>
        </row>
        <row r="104">
          <cell r="B104" t="str">
            <v>19/พ.ค./49.24.00น.</v>
          </cell>
        </row>
        <row r="105">
          <cell r="B105" t="str">
            <v>20/พ.ค./49.12.00น.</v>
          </cell>
        </row>
        <row r="106">
          <cell r="B106" t="str">
            <v>20/พ.ค./49.24.00น.</v>
          </cell>
        </row>
        <row r="107">
          <cell r="B107" t="str">
            <v>21/พ.ค./49.12.00น.</v>
          </cell>
        </row>
        <row r="108">
          <cell r="B108" t="str">
            <v>21/พ.ค./49.24.00น.</v>
          </cell>
        </row>
        <row r="109">
          <cell r="B109" t="str">
            <v>22/พ.ค./49.12.00น.</v>
          </cell>
        </row>
        <row r="110">
          <cell r="B110" t="str">
            <v>22/พ.ค./49.24.00น.</v>
          </cell>
        </row>
        <row r="111">
          <cell r="B111" t="str">
            <v>23/พ.ค./49.12.00น.</v>
          </cell>
        </row>
        <row r="112">
          <cell r="B112" t="str">
            <v>23/พ.ค./49.24.00น.</v>
          </cell>
        </row>
        <row r="113">
          <cell r="B113" t="str">
            <v>24/พ.ค./49.12.00น.</v>
          </cell>
        </row>
        <row r="114">
          <cell r="B114" t="str">
            <v>24/พ.ค./49.24.00น.</v>
          </cell>
        </row>
        <row r="115">
          <cell r="B115" t="str">
            <v>25/พ.ค./49.12.00น.</v>
          </cell>
        </row>
        <row r="116">
          <cell r="B116" t="str">
            <v>25/พ.ค./49.24.00น.</v>
          </cell>
        </row>
        <row r="117">
          <cell r="B117" t="str">
            <v>26/พ.ค./49.12.00น.</v>
          </cell>
        </row>
        <row r="118">
          <cell r="B118" t="str">
            <v>26/พ.ค./49.24.00น.</v>
          </cell>
        </row>
        <row r="119">
          <cell r="B119" t="str">
            <v>27/พ.ค./49.12.00น.</v>
          </cell>
        </row>
        <row r="120">
          <cell r="B120" t="str">
            <v>27/พ.ค./49.24.00น.</v>
          </cell>
        </row>
        <row r="121">
          <cell r="B121" t="str">
            <v>28/พ.ค./49.12.00น.</v>
          </cell>
        </row>
        <row r="122">
          <cell r="B122" t="str">
            <v>28/พ.ค./49.24.00น.</v>
          </cell>
        </row>
        <row r="123">
          <cell r="B123" t="str">
            <v>29/พ.ค./49.12.00น.</v>
          </cell>
        </row>
        <row r="124">
          <cell r="B124" t="str">
            <v>29/พ.ค./49.24.00น.</v>
          </cell>
        </row>
        <row r="125">
          <cell r="B125" t="str">
            <v>30/พ.ค./49.12.00น.</v>
          </cell>
        </row>
        <row r="126">
          <cell r="B126" t="str">
            <v>30/พ.ค./49.24.00น.</v>
          </cell>
        </row>
        <row r="127">
          <cell r="B127" t="str">
            <v>31/พ.ค./49.12.00น.</v>
          </cell>
        </row>
        <row r="128">
          <cell r="B128" t="str">
            <v>31/พ.ค./49.24.00น.</v>
          </cell>
        </row>
        <row r="129">
          <cell r="B129" t="str">
            <v>1/มิ.ย./49.12.00น.</v>
          </cell>
        </row>
        <row r="130">
          <cell r="B130" t="str">
            <v>1/มิ.ย./49.24.00น.</v>
          </cell>
        </row>
        <row r="131">
          <cell r="B131" t="str">
            <v>2/มิ.ย./49.12.00น.</v>
          </cell>
        </row>
        <row r="132">
          <cell r="B132" t="str">
            <v>2/มิ.ย./49.24.00น.</v>
          </cell>
        </row>
        <row r="133">
          <cell r="B133" t="str">
            <v>3/มิ.ย./49.12.00น.</v>
          </cell>
        </row>
        <row r="134">
          <cell r="B134" t="str">
            <v>3/มิ.ย./49.24.00น.</v>
          </cell>
        </row>
        <row r="135">
          <cell r="B135" t="str">
            <v>4/มิ.ย./49.12.00น.</v>
          </cell>
        </row>
        <row r="136">
          <cell r="B136" t="str">
            <v>4/มิ.ย./49.24.00น.</v>
          </cell>
        </row>
        <row r="137">
          <cell r="B137" t="str">
            <v>5/มิ.ย./49.12.00น.</v>
          </cell>
        </row>
        <row r="138">
          <cell r="B138" t="str">
            <v>5/มิ.ย./49.24.00น.</v>
          </cell>
        </row>
        <row r="139">
          <cell r="B139" t="str">
            <v>6/มิ.ย./49.12.00น.</v>
          </cell>
        </row>
        <row r="140">
          <cell r="B140" t="str">
            <v>6/มิ.ย./49.24.00น.</v>
          </cell>
        </row>
        <row r="141">
          <cell r="B141" t="str">
            <v>7/มิ.ย./49.12.00น.</v>
          </cell>
        </row>
        <row r="142">
          <cell r="B142" t="str">
            <v>7/มิ.ย./49.24.00น.</v>
          </cell>
        </row>
        <row r="143">
          <cell r="B143" t="str">
            <v>8/มิ.ย./49.12.00น.</v>
          </cell>
        </row>
        <row r="144">
          <cell r="B144" t="str">
            <v>8/มิ.ย./49.24.00น.</v>
          </cell>
        </row>
        <row r="145">
          <cell r="B145" t="str">
            <v>9/มิ.ย./49.12.00น.</v>
          </cell>
        </row>
        <row r="146">
          <cell r="B146" t="str">
            <v>9/มิ.ย./49.24.00น.</v>
          </cell>
        </row>
        <row r="147">
          <cell r="B147" t="str">
            <v>10/มิ.ย./49.12.00น.</v>
          </cell>
        </row>
        <row r="148">
          <cell r="B148" t="str">
            <v>10/มิ.ย./49.24.00น.</v>
          </cell>
        </row>
        <row r="149">
          <cell r="B149" t="str">
            <v>11/มิ.ย./49.12.00น.</v>
          </cell>
        </row>
        <row r="150">
          <cell r="B150" t="str">
            <v>11/มิ.ย./49.24.00น.</v>
          </cell>
        </row>
        <row r="151">
          <cell r="B151" t="str">
            <v>12/มิ.ย./49.24.00น.</v>
          </cell>
        </row>
        <row r="152">
          <cell r="B152" t="str">
            <v>12/มิ.ย./49.12.00น.</v>
          </cell>
        </row>
        <row r="153">
          <cell r="B153" t="str">
            <v>13/มิ.ย./49.12.00น.</v>
          </cell>
        </row>
        <row r="154">
          <cell r="B154" t="str">
            <v>13/มิ.ย./49.24.00น.</v>
          </cell>
        </row>
        <row r="155">
          <cell r="B155" t="str">
            <v>14/มิ.ย./49.12.00น.</v>
          </cell>
        </row>
        <row r="156">
          <cell r="B156" t="str">
            <v>14/มิ.ย./49.24.00น.</v>
          </cell>
        </row>
        <row r="157">
          <cell r="B157" t="str">
            <v>15/มิ.ย./49.12.00น.</v>
          </cell>
        </row>
        <row r="158">
          <cell r="B158" t="str">
            <v>15/มิ.ย./49.24.00น.</v>
          </cell>
        </row>
        <row r="159">
          <cell r="B159" t="str">
            <v>16/มิ.ย./49.12.00น.</v>
          </cell>
        </row>
        <row r="160">
          <cell r="B160" t="str">
            <v>16/มิ.ย./49.24.00น.</v>
          </cell>
        </row>
        <row r="161">
          <cell r="B161" t="str">
            <v>17/มิ.ย./49.12.00น.</v>
          </cell>
        </row>
        <row r="162">
          <cell r="B162" t="str">
            <v>17/มิ.ย./49.24.00น.</v>
          </cell>
        </row>
        <row r="163">
          <cell r="B163" t="str">
            <v>18/มิ.ย./49.12.00น.</v>
          </cell>
        </row>
        <row r="164">
          <cell r="B164" t="str">
            <v>18/มิ.ย./49.24.00น.</v>
          </cell>
        </row>
        <row r="165">
          <cell r="B165" t="str">
            <v>19/มิ.ย./49.12.00น.</v>
          </cell>
        </row>
        <row r="166">
          <cell r="B166" t="str">
            <v>19/มิ.ย./49.24.00น.</v>
          </cell>
        </row>
        <row r="167">
          <cell r="B167" t="str">
            <v>20/มิ.ย./49.12.00น.</v>
          </cell>
        </row>
        <row r="168">
          <cell r="B168" t="str">
            <v>20/มิ.ย./49.24.00น.</v>
          </cell>
        </row>
        <row r="169">
          <cell r="B169" t="str">
            <v>21/มิ.ย./49.12.00น.</v>
          </cell>
        </row>
        <row r="170">
          <cell r="B170" t="str">
            <v>21/มิ.ย./49.24.00น.</v>
          </cell>
        </row>
        <row r="171">
          <cell r="B171" t="str">
            <v>22/มิ.ย./49.12.00น.</v>
          </cell>
        </row>
        <row r="172">
          <cell r="B172" t="str">
            <v>22/มิ.ย./49.24.00น.</v>
          </cell>
        </row>
        <row r="173">
          <cell r="B173" t="str">
            <v>23/มิ.ย./49.12.00น.</v>
          </cell>
        </row>
        <row r="174">
          <cell r="B174" t="str">
            <v>23/มิ.ย./49.24.00น.</v>
          </cell>
        </row>
        <row r="175">
          <cell r="B175" t="str">
            <v>24/มิ.ย./49.12.00น.</v>
          </cell>
        </row>
        <row r="176">
          <cell r="B176" t="str">
            <v>24/มิ.ย./49.24.00น.</v>
          </cell>
        </row>
        <row r="177">
          <cell r="B177" t="str">
            <v>25/มิ.ย./49.12.00น.</v>
          </cell>
        </row>
        <row r="178">
          <cell r="B178" t="str">
            <v>25/มิ.ย./49.24.00น.</v>
          </cell>
        </row>
        <row r="179">
          <cell r="B179" t="str">
            <v>26/มิ.ย./49.12.00น.</v>
          </cell>
        </row>
        <row r="180">
          <cell r="B180" t="str">
            <v>26/มิ.ย./49.24.00น.</v>
          </cell>
        </row>
        <row r="181">
          <cell r="B181" t="str">
            <v>27/มิ.ย./49.12.00น.</v>
          </cell>
        </row>
        <row r="182">
          <cell r="B182" t="str">
            <v>27/มิ.ย./49.24.00น.</v>
          </cell>
        </row>
        <row r="183">
          <cell r="B183" t="str">
            <v>28/มิ.ย./49.12.00น.</v>
          </cell>
        </row>
        <row r="184">
          <cell r="B184" t="str">
            <v>28/มิ.ย./49.24.00น.</v>
          </cell>
        </row>
        <row r="185">
          <cell r="B185" t="str">
            <v>29/มิ.ย./49.12.00น.</v>
          </cell>
        </row>
        <row r="186">
          <cell r="B186" t="str">
            <v>29/มิ.ย./49.24.00น.</v>
          </cell>
        </row>
        <row r="187">
          <cell r="B187" t="str">
            <v>30/มิ.ย./49.12.00น.</v>
          </cell>
        </row>
        <row r="188">
          <cell r="B188" t="str">
            <v>30/มิ.ย./49.24.00น.</v>
          </cell>
        </row>
        <row r="189">
          <cell r="B189" t="str">
            <v>1/ ก.ค./49.12.00น.</v>
          </cell>
        </row>
        <row r="190">
          <cell r="B190" t="str">
            <v>1/ ก.ค./49.24.00น.</v>
          </cell>
        </row>
        <row r="191">
          <cell r="B191" t="str">
            <v>2/ ก.ค./49.12.00น.</v>
          </cell>
        </row>
        <row r="192">
          <cell r="B192" t="str">
            <v>2/ ก.ค./49.24.00น.</v>
          </cell>
        </row>
        <row r="193">
          <cell r="B193" t="str">
            <v>3/ ก.ค./49.12.00น.</v>
          </cell>
        </row>
        <row r="194">
          <cell r="B194" t="str">
            <v>3/ ก.ค./49.24.00น.</v>
          </cell>
        </row>
        <row r="195">
          <cell r="B195" t="str">
            <v>4/ ก.ค./49.12.00น.</v>
          </cell>
        </row>
        <row r="196">
          <cell r="B196" t="str">
            <v>4/ ก.ค./49.24.00น.</v>
          </cell>
        </row>
        <row r="197">
          <cell r="B197" t="str">
            <v>5/ ก.ค./49.12.00น.</v>
          </cell>
        </row>
        <row r="198">
          <cell r="B198" t="str">
            <v>5/ ก.ค./49.24.00น.</v>
          </cell>
        </row>
        <row r="199">
          <cell r="B199" t="str">
            <v>6/ ก.ค./49.12.00น.</v>
          </cell>
        </row>
        <row r="200">
          <cell r="B200" t="str">
            <v>6/ ก.ค./49.24.00น.</v>
          </cell>
        </row>
        <row r="201">
          <cell r="B201" t="str">
            <v>7/ ก.ค./49.12.00น.</v>
          </cell>
        </row>
        <row r="202">
          <cell r="B202" t="str">
            <v>7/ ก.ค./49.24.00น.</v>
          </cell>
        </row>
        <row r="203">
          <cell r="B203" t="str">
            <v>8/ ก.ค./49.12.00น.</v>
          </cell>
        </row>
        <row r="204">
          <cell r="B204" t="str">
            <v>8/ ก.ค./49.24.00น.</v>
          </cell>
        </row>
        <row r="205">
          <cell r="B205" t="str">
            <v>9/ ก.ค./49.12.00น.</v>
          </cell>
        </row>
        <row r="206">
          <cell r="B206" t="str">
            <v>9/ ก.ค./49.24.00น.</v>
          </cell>
        </row>
        <row r="207">
          <cell r="B207" t="str">
            <v>10/ ก.ค./49.12.00น.</v>
          </cell>
        </row>
        <row r="208">
          <cell r="B208" t="str">
            <v>10/ ก.ค./49.24.00น.</v>
          </cell>
        </row>
        <row r="209">
          <cell r="B209" t="str">
            <v>11/ ก.ค./49.12.00น.</v>
          </cell>
        </row>
        <row r="210">
          <cell r="B210" t="str">
            <v>11/ ก.ค./49.24.00น.</v>
          </cell>
        </row>
        <row r="211">
          <cell r="B211" t="str">
            <v>12/ก.ค./49.12.00น.</v>
          </cell>
        </row>
        <row r="212">
          <cell r="B212" t="str">
            <v>12/ก.ค./49.24.00น.</v>
          </cell>
        </row>
        <row r="213">
          <cell r="B213" t="str">
            <v>13/ก.ค./49.12.00น.</v>
          </cell>
        </row>
        <row r="214">
          <cell r="B214" t="str">
            <v>13/ก.ค./49.24.00น.</v>
          </cell>
        </row>
        <row r="215">
          <cell r="B215" t="str">
            <v>14/ก.ค./49.12.00น.</v>
          </cell>
        </row>
        <row r="216">
          <cell r="B216" t="str">
            <v>14/ก.ค./49.24.00น.</v>
          </cell>
        </row>
        <row r="217">
          <cell r="B217" t="str">
            <v>15/ก.ค./49.12.00น.</v>
          </cell>
        </row>
        <row r="218">
          <cell r="B218" t="str">
            <v>15/ก.ค./49.24.00น.</v>
          </cell>
        </row>
        <row r="219">
          <cell r="B219" t="str">
            <v>16/ก.ค./49.12.00น.</v>
          </cell>
        </row>
        <row r="220">
          <cell r="B220" t="str">
            <v>16/ก.ค./49.24.00น.</v>
          </cell>
        </row>
        <row r="221">
          <cell r="B221" t="str">
            <v>17/ก.ค./49.12.00น.</v>
          </cell>
        </row>
        <row r="222">
          <cell r="B222" t="str">
            <v>17/ก.ค./49.24.00น.</v>
          </cell>
        </row>
        <row r="223">
          <cell r="B223" t="str">
            <v>18/ก.ค./49.12.00น.</v>
          </cell>
        </row>
        <row r="224">
          <cell r="B224" t="str">
            <v>18/ก.ค./49.24.00น.</v>
          </cell>
        </row>
        <row r="225">
          <cell r="B225" t="str">
            <v>19/ก.ค./49.12.00น.</v>
          </cell>
        </row>
        <row r="226">
          <cell r="B226" t="str">
            <v>19/ก.ค./49.24.00น.</v>
          </cell>
        </row>
        <row r="227">
          <cell r="B227" t="str">
            <v>20/ก.ค./49.12.00น.</v>
          </cell>
        </row>
        <row r="228">
          <cell r="B228" t="str">
            <v>20/ก.ค./49.24.00น.</v>
          </cell>
        </row>
        <row r="229">
          <cell r="B229" t="str">
            <v>21/ก.ค./49.12.00น.</v>
          </cell>
        </row>
        <row r="230">
          <cell r="B230" t="str">
            <v>21/ก.ค./49.24.00น.</v>
          </cell>
        </row>
        <row r="231">
          <cell r="B231" t="str">
            <v>22/ก.ค./49.12.00น.</v>
          </cell>
        </row>
        <row r="232">
          <cell r="B232" t="str">
            <v>22/ก.ค./49.24.00น.</v>
          </cell>
        </row>
        <row r="233">
          <cell r="B233" t="str">
            <v>23/ก.ค./49.12.00น.</v>
          </cell>
        </row>
        <row r="234">
          <cell r="B234" t="str">
            <v>23/ก.ค./49.24.00น.</v>
          </cell>
        </row>
        <row r="235">
          <cell r="B235" t="str">
            <v>24/ก.ค./49.12.00น.</v>
          </cell>
        </row>
        <row r="236">
          <cell r="B236" t="str">
            <v>24/ก.ค./49.24.00น.</v>
          </cell>
        </row>
        <row r="237">
          <cell r="B237" t="str">
            <v>25/ก.ค./49.12.00น.</v>
          </cell>
        </row>
        <row r="238">
          <cell r="B238" t="str">
            <v>25/ก.ค./49.24.00น.</v>
          </cell>
        </row>
        <row r="239">
          <cell r="B239" t="str">
            <v>26/ก.ค./49.12.00น.</v>
          </cell>
        </row>
        <row r="240">
          <cell r="B240" t="str">
            <v>26/ก.ค./49.24.00น.</v>
          </cell>
        </row>
        <row r="241">
          <cell r="B241" t="str">
            <v>27/ก.ค./49.12.00น.</v>
          </cell>
        </row>
        <row r="242">
          <cell r="B242" t="str">
            <v>27/ก.ค./49.24.00น.</v>
          </cell>
        </row>
        <row r="243">
          <cell r="B243" t="str">
            <v>28/ก.ค./49.12.00น.</v>
          </cell>
        </row>
        <row r="244">
          <cell r="B244" t="str">
            <v>28/ก.ค./49.24.00น.</v>
          </cell>
        </row>
        <row r="245">
          <cell r="B245" t="str">
            <v>29/ก.ค./49.12.00น.</v>
          </cell>
        </row>
        <row r="246">
          <cell r="B246" t="str">
            <v>29/ก.ค./49.24.00น.</v>
          </cell>
        </row>
        <row r="247">
          <cell r="B247" t="str">
            <v>30/ก.ค./49.12.00น.</v>
          </cell>
        </row>
        <row r="248">
          <cell r="B248" t="str">
            <v>30/ก.ค./49.24.00น.</v>
          </cell>
        </row>
        <row r="249">
          <cell r="B249" t="str">
            <v>31/ก.ค./49.12.00น.</v>
          </cell>
        </row>
        <row r="250">
          <cell r="B250" t="str">
            <v>31/ก.ค./49.24.00น.</v>
          </cell>
        </row>
        <row r="251">
          <cell r="B251" t="str">
            <v>1/ส.ค./49.12.00น.</v>
          </cell>
        </row>
        <row r="252">
          <cell r="B252" t="str">
            <v>1/ส.ค./49.24.00น.</v>
          </cell>
        </row>
        <row r="253">
          <cell r="B253" t="str">
            <v>2/ส.ค./49.12.00น.</v>
          </cell>
        </row>
        <row r="254">
          <cell r="B254" t="str">
            <v>2/ส.ค./49.24.00น.</v>
          </cell>
        </row>
        <row r="255">
          <cell r="B255" t="str">
            <v>3/ส.ค./49.12.00น.</v>
          </cell>
        </row>
        <row r="256">
          <cell r="B256" t="str">
            <v>3/ส.ค./49.24.00น.</v>
          </cell>
        </row>
        <row r="257">
          <cell r="B257" t="str">
            <v>4/ส.ค./49.12.00น.</v>
          </cell>
        </row>
        <row r="258">
          <cell r="B258" t="str">
            <v>4/ส.ค./49.24.00น.</v>
          </cell>
        </row>
        <row r="259">
          <cell r="B259" t="str">
            <v>5/ส.ค./49.12.00น.</v>
          </cell>
        </row>
        <row r="260">
          <cell r="B260" t="str">
            <v>5/ส.ค./49.24.00น.</v>
          </cell>
        </row>
        <row r="261">
          <cell r="B261" t="str">
            <v>6/ส.ค./49.12.00น.</v>
          </cell>
        </row>
        <row r="262">
          <cell r="B262" t="str">
            <v>6/ส.ค./49.24.00น.</v>
          </cell>
        </row>
        <row r="263">
          <cell r="B263" t="str">
            <v>7/ส.ค./49.12.00น.</v>
          </cell>
        </row>
        <row r="264">
          <cell r="B264" t="str">
            <v>7/ส.ค./49.24.00น.</v>
          </cell>
        </row>
        <row r="265">
          <cell r="B265" t="str">
            <v>8/ส.ค./49.12.00น.</v>
          </cell>
        </row>
        <row r="266">
          <cell r="B266" t="str">
            <v>8/ส.ค./49.24.00น.</v>
          </cell>
        </row>
        <row r="267">
          <cell r="B267" t="str">
            <v>9/ส.ค./49.12.00น.</v>
          </cell>
        </row>
        <row r="268">
          <cell r="B268" t="str">
            <v>9/ส.ค./49.24.00น.</v>
          </cell>
        </row>
        <row r="269">
          <cell r="B269" t="str">
            <v>10/ส.ค./49.12.00น.</v>
          </cell>
        </row>
        <row r="270">
          <cell r="B270" t="str">
            <v>10/ส.ค./49.24.00น.</v>
          </cell>
        </row>
        <row r="271">
          <cell r="B271" t="str">
            <v>11/ส.ค./49.12.00น.</v>
          </cell>
        </row>
        <row r="272">
          <cell r="B272" t="str">
            <v>11/ส.ค./49.24.00น.</v>
          </cell>
        </row>
        <row r="273">
          <cell r="B273" t="str">
            <v>12/ส.ค./49.12.00น.</v>
          </cell>
        </row>
        <row r="274">
          <cell r="B274" t="str">
            <v>12/ส.ค./49.24.00น.</v>
          </cell>
        </row>
        <row r="275">
          <cell r="B275" t="str">
            <v>13/ส.ค./49.12.00น.</v>
          </cell>
        </row>
        <row r="276">
          <cell r="B276" t="str">
            <v>13/ส.ค./49.24.00น.</v>
          </cell>
        </row>
        <row r="277">
          <cell r="B277" t="str">
            <v>14/ส.ค./49.12.00น.</v>
          </cell>
        </row>
        <row r="278">
          <cell r="B278" t="str">
            <v>14/ส.ค./49.24.00น.</v>
          </cell>
        </row>
        <row r="279">
          <cell r="B279" t="str">
            <v>15/ส.ค./49.12.00น.</v>
          </cell>
        </row>
        <row r="280">
          <cell r="B280" t="str">
            <v>15/ส.ค./49.24.00น.</v>
          </cell>
        </row>
        <row r="281">
          <cell r="B281" t="str">
            <v>16/ส.ค./49.12.00น.</v>
          </cell>
        </row>
        <row r="282">
          <cell r="B282" t="str">
            <v>16/ส.ค./49.24.00น.</v>
          </cell>
        </row>
        <row r="283">
          <cell r="B283" t="str">
            <v>17/ส.ค./49.12.00น.</v>
          </cell>
        </row>
        <row r="284">
          <cell r="B284" t="str">
            <v>17/ส.ค./49.24.00น.</v>
          </cell>
        </row>
        <row r="285">
          <cell r="B285" t="str">
            <v>18/ส.ค./49.12.00น.</v>
          </cell>
        </row>
        <row r="286">
          <cell r="B286" t="str">
            <v>18/ส.ค./49.24.00น.</v>
          </cell>
        </row>
        <row r="287">
          <cell r="B287" t="str">
            <v>19/ส.ค./49.12.00น.</v>
          </cell>
        </row>
        <row r="288">
          <cell r="B288" t="str">
            <v>19/ส.ค./49.24.00น.</v>
          </cell>
        </row>
        <row r="289">
          <cell r="B289" t="str">
            <v>20/ส.ค./49.12.00น.</v>
          </cell>
        </row>
        <row r="290">
          <cell r="B290" t="str">
            <v>20/ส.ค./49.24.00น.</v>
          </cell>
        </row>
        <row r="291">
          <cell r="B291" t="str">
            <v>21/ส.ค./49.12.00น.</v>
          </cell>
        </row>
        <row r="292">
          <cell r="B292" t="str">
            <v>21/ส.ค./49.24.00น.</v>
          </cell>
        </row>
        <row r="293">
          <cell r="B293" t="str">
            <v>22/ส.ค./49.12.00น.</v>
          </cell>
        </row>
        <row r="294">
          <cell r="B294" t="str">
            <v>22/ส.ค./49.24.00น.</v>
          </cell>
        </row>
        <row r="295">
          <cell r="B295" t="str">
            <v>23/ส.ค./49.12.00น.</v>
          </cell>
        </row>
        <row r="296">
          <cell r="B296" t="str">
            <v>23/ส.ค./49.24.00น.</v>
          </cell>
        </row>
        <row r="297">
          <cell r="B297" t="str">
            <v>24/ส.ค./49.12.00น.</v>
          </cell>
        </row>
        <row r="298">
          <cell r="B298" t="str">
            <v>24/ส.ค./49.24.00น.</v>
          </cell>
        </row>
        <row r="299">
          <cell r="B299" t="str">
            <v>25/ส.ค./49.12.00น.</v>
          </cell>
        </row>
        <row r="300">
          <cell r="B300" t="str">
            <v>25/ส.ค./49.24.00น.</v>
          </cell>
        </row>
        <row r="301">
          <cell r="B301" t="str">
            <v>26/ส.ค./49.12.00น.</v>
          </cell>
        </row>
        <row r="302">
          <cell r="B302" t="str">
            <v>26/ส.ค./49.24.00น.</v>
          </cell>
        </row>
        <row r="303">
          <cell r="B303" t="str">
            <v>27/ส.ค./49.12.00น.</v>
          </cell>
        </row>
        <row r="304">
          <cell r="B304" t="str">
            <v>27/ส.ค./49.24.00น.</v>
          </cell>
        </row>
        <row r="305">
          <cell r="B305" t="str">
            <v>28/ส.ค./49.12.00น.</v>
          </cell>
        </row>
        <row r="306">
          <cell r="B306" t="str">
            <v>28/ส.ค./49.24.00น.</v>
          </cell>
        </row>
        <row r="307">
          <cell r="B307" t="str">
            <v>29/ส.ค./49.12.00น.</v>
          </cell>
        </row>
        <row r="308">
          <cell r="B308" t="str">
            <v>29/ส.ค./49.24.00น.</v>
          </cell>
        </row>
        <row r="309">
          <cell r="B309" t="str">
            <v>30/ส.ค./49.12.00น.</v>
          </cell>
        </row>
        <row r="310">
          <cell r="B310" t="str">
            <v>30/ส.ค./49.24.00น.</v>
          </cell>
        </row>
        <row r="311">
          <cell r="B311" t="str">
            <v>31/ส.ค./49.12.00น.</v>
          </cell>
        </row>
        <row r="312">
          <cell r="B312" t="str">
            <v>31/ส.ค./49.24.00น.</v>
          </cell>
        </row>
        <row r="313">
          <cell r="B313" t="str">
            <v>1/ก.ย./49.12.00น.</v>
          </cell>
        </row>
        <row r="314">
          <cell r="B314" t="str">
            <v>1/ก.ย./49.24.00น.</v>
          </cell>
        </row>
        <row r="315">
          <cell r="B315" t="str">
            <v>2/ก.ย./49.12.00น.</v>
          </cell>
        </row>
        <row r="316">
          <cell r="B316" t="str">
            <v>2/ก.ย./49.24.00น.</v>
          </cell>
        </row>
        <row r="317">
          <cell r="B317" t="str">
            <v>3/ก.ย./49.12.00น.</v>
          </cell>
        </row>
        <row r="318">
          <cell r="B318" t="str">
            <v>3/ก.ย./49.24.00น.</v>
          </cell>
        </row>
        <row r="319">
          <cell r="B319" t="str">
            <v>4/ก.ย./49.12.00น.</v>
          </cell>
        </row>
        <row r="320">
          <cell r="B320" t="str">
            <v>4/ก.ย./49.24.00น.</v>
          </cell>
        </row>
        <row r="321">
          <cell r="B321" t="str">
            <v>5/ก.ย./49.12.00น.</v>
          </cell>
        </row>
        <row r="322">
          <cell r="B322" t="str">
            <v>5/ก.ย./49.24.00น.</v>
          </cell>
        </row>
        <row r="323">
          <cell r="B323" t="str">
            <v>6/ก.ย./49.12.00น.</v>
          </cell>
        </row>
        <row r="324">
          <cell r="B324" t="str">
            <v>6/ก.ย./49.24.00น.</v>
          </cell>
        </row>
        <row r="325">
          <cell r="B325" t="str">
            <v>7/ก.ย./49.12.00น.</v>
          </cell>
        </row>
        <row r="326">
          <cell r="B326" t="str">
            <v>7/ก.ย./49.24.00น.</v>
          </cell>
        </row>
        <row r="327">
          <cell r="B327" t="str">
            <v>8/ก.ย./49.12.00น.</v>
          </cell>
        </row>
        <row r="328">
          <cell r="B328" t="str">
            <v>8/ก.ย./49.24.00น.</v>
          </cell>
        </row>
        <row r="329">
          <cell r="B329" t="str">
            <v>9/ก.ย./49.12.00น.</v>
          </cell>
        </row>
        <row r="330">
          <cell r="B330" t="str">
            <v>9/ก.ย./49.24.00น.</v>
          </cell>
        </row>
        <row r="331">
          <cell r="B331" t="str">
            <v>10/ก.ย./49.12.00น.</v>
          </cell>
        </row>
        <row r="332">
          <cell r="B332" t="str">
            <v>10/ก.ย./49.24.00น.</v>
          </cell>
        </row>
        <row r="333">
          <cell r="B333" t="str">
            <v>11/ก.ย./49.12.00น.</v>
          </cell>
        </row>
        <row r="334">
          <cell r="B334" t="str">
            <v>11/ก.ย./49.24.00น.</v>
          </cell>
        </row>
        <row r="335">
          <cell r="B335" t="str">
            <v>12/ก.ย./49.12.00น.</v>
          </cell>
        </row>
        <row r="336">
          <cell r="B336" t="str">
            <v>12/ก.ย./49.24.00น.</v>
          </cell>
        </row>
        <row r="337">
          <cell r="B337" t="str">
            <v>13/ก.ย./49.12.00น.</v>
          </cell>
        </row>
        <row r="338">
          <cell r="B338" t="str">
            <v>13/ก.ย./49.24.00น.</v>
          </cell>
        </row>
        <row r="339">
          <cell r="B339" t="str">
            <v>14/ก.ย./49.12.00น.</v>
          </cell>
        </row>
        <row r="340">
          <cell r="B340" t="str">
            <v>14/ก.ย./49.24.00น.</v>
          </cell>
        </row>
        <row r="341">
          <cell r="B341" t="str">
            <v>15/ก.ย./49.12.00น.</v>
          </cell>
        </row>
        <row r="342">
          <cell r="B342" t="str">
            <v>15/ก.ย./49.24.00น.</v>
          </cell>
        </row>
        <row r="343">
          <cell r="B343" t="str">
            <v>16/ก.ย./49.12.00น.</v>
          </cell>
        </row>
        <row r="344">
          <cell r="B344" t="str">
            <v>16/ก.ย./49.24.00น.</v>
          </cell>
        </row>
        <row r="345">
          <cell r="B345" t="str">
            <v>17/ก.ย./49.12.00น.</v>
          </cell>
        </row>
        <row r="346">
          <cell r="B346" t="str">
            <v>17/ก.ย./49.24.00น.</v>
          </cell>
        </row>
        <row r="347">
          <cell r="B347" t="str">
            <v>18/ก.ย./49.12.00น.</v>
          </cell>
        </row>
        <row r="348">
          <cell r="B348" t="str">
            <v>18/ก.ย./49.24.00น.</v>
          </cell>
        </row>
        <row r="349">
          <cell r="B349" t="str">
            <v>19/ก.ย./49.12.00น.</v>
          </cell>
        </row>
        <row r="350">
          <cell r="B350" t="str">
            <v>19/ก.ย./49.24.00น.</v>
          </cell>
        </row>
        <row r="351">
          <cell r="B351" t="str">
            <v>20/ก.ย./49.12.00น.</v>
          </cell>
        </row>
        <row r="352">
          <cell r="B352" t="str">
            <v>20/ก.ย./49.24.00น.</v>
          </cell>
        </row>
        <row r="353">
          <cell r="B353" t="str">
            <v>21/ก.ย./49.12.00น.</v>
          </cell>
        </row>
        <row r="354">
          <cell r="B354" t="str">
            <v>21/ก.ย./49.24.00น.</v>
          </cell>
        </row>
        <row r="355">
          <cell r="B355" t="str">
            <v>22/ก.ย./49.12.00น.</v>
          </cell>
        </row>
        <row r="356">
          <cell r="B356" t="str">
            <v>22/ก.ย./49.24.00น.</v>
          </cell>
        </row>
        <row r="357">
          <cell r="B357" t="str">
            <v>23/ก.ย./49.12.00น.</v>
          </cell>
        </row>
        <row r="358">
          <cell r="B358" t="str">
            <v>23/ก.ย./49.24.00น.</v>
          </cell>
        </row>
        <row r="359">
          <cell r="B359" t="str">
            <v>24/ก.ย./49.12.00น.</v>
          </cell>
        </row>
        <row r="360">
          <cell r="B360" t="str">
            <v>24/ก.ย./49.24.00น.</v>
          </cell>
        </row>
        <row r="361">
          <cell r="B361" t="str">
            <v>25/ก.ย./49.12.00น.</v>
          </cell>
        </row>
        <row r="362">
          <cell r="B362" t="str">
            <v>25/ก.ย./49.24.00น.</v>
          </cell>
        </row>
        <row r="363">
          <cell r="B363" t="str">
            <v>26/ก.ย./49.12.00น.</v>
          </cell>
        </row>
        <row r="364">
          <cell r="B364" t="str">
            <v>26/ก.ย./49.24.00น.</v>
          </cell>
        </row>
        <row r="365">
          <cell r="B365" t="str">
            <v>27/ก.ย./49.12.00น.</v>
          </cell>
        </row>
        <row r="366">
          <cell r="B366" t="str">
            <v>27/ก.ย./49.24.00น.</v>
          </cell>
        </row>
        <row r="367">
          <cell r="B367" t="str">
            <v>28/ก.ย./49.12.00น.</v>
          </cell>
        </row>
        <row r="368">
          <cell r="B368" t="str">
            <v>28/ก.ย./49.24.00น.</v>
          </cell>
        </row>
        <row r="369">
          <cell r="B369" t="str">
            <v>29/ก.ย./49.12.00น.</v>
          </cell>
        </row>
        <row r="370">
          <cell r="B370" t="str">
            <v>29/ก.ย./49.24.00น.</v>
          </cell>
        </row>
        <row r="371">
          <cell r="B371" t="str">
            <v>30/ก.ย./49.12.00น.</v>
          </cell>
        </row>
        <row r="372">
          <cell r="B372" t="str">
            <v>30/ก.ย./49.24.00น.</v>
          </cell>
        </row>
        <row r="373">
          <cell r="B373" t="str">
            <v>1/ต.ค./49.12.00น.</v>
          </cell>
        </row>
        <row r="374">
          <cell r="B374" t="str">
            <v>1/ต.ค./49.24.00น.</v>
          </cell>
        </row>
        <row r="375">
          <cell r="B375" t="str">
            <v>2/ต.ค./49.12.00น.</v>
          </cell>
        </row>
        <row r="376">
          <cell r="B376" t="str">
            <v>2/ต.ค./49.24.00น.</v>
          </cell>
        </row>
        <row r="377">
          <cell r="B377" t="str">
            <v>3/ต.ค./49.12.00น.</v>
          </cell>
        </row>
        <row r="378">
          <cell r="B378" t="str">
            <v>3/ต.ค./49.24.00น.</v>
          </cell>
        </row>
        <row r="379">
          <cell r="B379" t="str">
            <v>4/ต.ค./49.12.00น.</v>
          </cell>
        </row>
        <row r="380">
          <cell r="B380" t="str">
            <v>4/ต.ค./49.24.00น.</v>
          </cell>
        </row>
        <row r="381">
          <cell r="B381" t="str">
            <v>5/ต.ค./49.12.00น.</v>
          </cell>
        </row>
        <row r="382">
          <cell r="B382" t="str">
            <v>5/ต.ค./49.24.00น.</v>
          </cell>
        </row>
        <row r="383">
          <cell r="B383" t="str">
            <v>6/ต.ค./49.12.00น.</v>
          </cell>
        </row>
        <row r="384">
          <cell r="B384" t="str">
            <v>6/ต.ค./49.24.00น.</v>
          </cell>
        </row>
        <row r="385">
          <cell r="B385" t="str">
            <v>7/ต.ค./49.12.00น.</v>
          </cell>
        </row>
        <row r="386">
          <cell r="B386" t="str">
            <v>7/ต.ค./49.24.00น.</v>
          </cell>
        </row>
        <row r="387">
          <cell r="B387" t="str">
            <v>8/ต.ค./49.12.00น.</v>
          </cell>
        </row>
        <row r="388">
          <cell r="B388" t="str">
            <v>8/ต.ค./49.24.00น.</v>
          </cell>
        </row>
        <row r="389">
          <cell r="B389" t="str">
            <v>9/ต.ค./49.12.00น.</v>
          </cell>
        </row>
        <row r="390">
          <cell r="B390" t="str">
            <v>9/ต.ค./49.24.00น.</v>
          </cell>
        </row>
        <row r="391">
          <cell r="B391" t="str">
            <v>10/ต.ค./49.12.00น.</v>
          </cell>
        </row>
        <row r="392">
          <cell r="B392" t="str">
            <v>10/ต.ค./49.24.00น.</v>
          </cell>
        </row>
        <row r="393">
          <cell r="B393" t="str">
            <v>11/ต.ค./49.12.00น.</v>
          </cell>
        </row>
        <row r="394">
          <cell r="B394" t="str">
            <v>11/ต.ค./49.24.00น.</v>
          </cell>
        </row>
        <row r="395">
          <cell r="B395" t="str">
            <v>12/ต.ค./49.12.00น.</v>
          </cell>
        </row>
        <row r="396">
          <cell r="B396" t="str">
            <v>12/ต.ค./49.24.00น.</v>
          </cell>
        </row>
        <row r="397">
          <cell r="B397" t="str">
            <v>13/ต.ค./49.12.00น.</v>
          </cell>
        </row>
        <row r="398">
          <cell r="B398" t="str">
            <v>13/ต.ค./49.24.00น.</v>
          </cell>
        </row>
        <row r="399">
          <cell r="B399" t="str">
            <v>14/ต.ค./49.12.00น.</v>
          </cell>
        </row>
        <row r="400">
          <cell r="B400" t="str">
            <v>14/ต.ค./49.24.00น.</v>
          </cell>
        </row>
        <row r="401">
          <cell r="B401" t="str">
            <v>15/ต.ค./49.12.00น.</v>
          </cell>
        </row>
        <row r="402">
          <cell r="B402" t="str">
            <v>15/ต.ค./49.24.00น.</v>
          </cell>
        </row>
        <row r="403">
          <cell r="B403" t="str">
            <v>16/ต.ค./49.12.00น.</v>
          </cell>
        </row>
        <row r="404">
          <cell r="B404" t="str">
            <v>16/ต.ค./49.24.00น.</v>
          </cell>
        </row>
        <row r="405">
          <cell r="B405" t="str">
            <v>17/ต.ค./49.12.00น.</v>
          </cell>
        </row>
        <row r="406">
          <cell r="B406" t="str">
            <v>17/ต.ค./49.24.00น.</v>
          </cell>
        </row>
        <row r="407">
          <cell r="B407" t="str">
            <v>18/ต.ค./49.12.00น.</v>
          </cell>
        </row>
        <row r="408">
          <cell r="B408" t="str">
            <v>18/ต.ค./49.24.00น.</v>
          </cell>
        </row>
        <row r="409">
          <cell r="B409" t="str">
            <v>19/ต.ค./49.12.00น.</v>
          </cell>
        </row>
        <row r="410">
          <cell r="B410" t="str">
            <v>19/ต.ค./49.24.00น.</v>
          </cell>
        </row>
        <row r="411">
          <cell r="B411" t="str">
            <v>20/ต.ค./49.12.00น.</v>
          </cell>
        </row>
        <row r="412">
          <cell r="B412" t="str">
            <v>20/ต.ค./49.24.00น.</v>
          </cell>
        </row>
        <row r="413">
          <cell r="B413" t="str">
            <v>21/ต.ค./49.12.00น.</v>
          </cell>
        </row>
        <row r="414">
          <cell r="B414" t="str">
            <v>21/ต.ค./49.24.00น.</v>
          </cell>
        </row>
        <row r="415">
          <cell r="B415" t="str">
            <v>22/ต.ค./49.12.00น.</v>
          </cell>
        </row>
        <row r="416">
          <cell r="B416" t="str">
            <v>22/ต.ค./49.24.00น.</v>
          </cell>
        </row>
        <row r="417">
          <cell r="B417" t="str">
            <v>23/ต.ค./49.12.00น.</v>
          </cell>
        </row>
        <row r="418">
          <cell r="B418" t="str">
            <v>23/ต.ค./49.24.00น.</v>
          </cell>
        </row>
        <row r="419">
          <cell r="B419" t="str">
            <v>24/ต.ค./49.12.00น.</v>
          </cell>
        </row>
        <row r="420">
          <cell r="B420" t="str">
            <v>24/ต.ค./49.24.00น.</v>
          </cell>
        </row>
        <row r="421">
          <cell r="B421" t="str">
            <v>25/ต.ค./49.12.00น.</v>
          </cell>
        </row>
        <row r="422">
          <cell r="B422" t="str">
            <v>25/ต.ค./49.24.00น.</v>
          </cell>
        </row>
        <row r="423">
          <cell r="B423" t="str">
            <v>26/ต.ค./49.12.00น.</v>
          </cell>
        </row>
        <row r="424">
          <cell r="B424" t="str">
            <v>26/ต.ค./49.24.00น.</v>
          </cell>
        </row>
        <row r="425">
          <cell r="B425" t="str">
            <v>27/ต.ค./49.12.00น.</v>
          </cell>
        </row>
        <row r="426">
          <cell r="B426" t="str">
            <v>27/ต.ค./49.24.00น.</v>
          </cell>
        </row>
        <row r="427">
          <cell r="B427" t="str">
            <v>28/ต.ค./49.12.00น.</v>
          </cell>
        </row>
        <row r="428">
          <cell r="B428" t="str">
            <v>28/ต.ค./49.24.00น.</v>
          </cell>
        </row>
        <row r="429">
          <cell r="B429" t="str">
            <v>29/ต.ค./49.12.00น.</v>
          </cell>
        </row>
        <row r="430">
          <cell r="B430" t="str">
            <v>29/ต.ค./49.24.00น.</v>
          </cell>
        </row>
        <row r="431">
          <cell r="B431" t="str">
            <v>30/ต.ค./49.12.00น.</v>
          </cell>
        </row>
        <row r="432">
          <cell r="B432" t="str">
            <v>30/ต.ค./49.24.00น.</v>
          </cell>
        </row>
        <row r="433">
          <cell r="B433" t="str">
            <v>31/ต.ค./49.12.00น.</v>
          </cell>
        </row>
        <row r="434">
          <cell r="B434" t="str">
            <v>31/ต.ค./49.24.00น.</v>
          </cell>
        </row>
        <row r="435">
          <cell r="B435" t="str">
            <v>1/พ.ย./49.12.00น.</v>
          </cell>
        </row>
        <row r="436">
          <cell r="B436" t="str">
            <v>1/พ.ย./49.24.00น.</v>
          </cell>
        </row>
        <row r="437">
          <cell r="B437" t="str">
            <v>2/พ.ย./49.12.00น.</v>
          </cell>
        </row>
        <row r="438">
          <cell r="B438" t="str">
            <v>2/พ.ย./49.24.00น.</v>
          </cell>
        </row>
        <row r="439">
          <cell r="B439" t="str">
            <v>3/พ.ย./49.12.00น.</v>
          </cell>
        </row>
        <row r="440">
          <cell r="B440" t="str">
            <v>3/พ.ย./49.24.00น.</v>
          </cell>
        </row>
        <row r="441">
          <cell r="B441" t="str">
            <v>4/พ.ย./49.12.00น.</v>
          </cell>
        </row>
        <row r="442">
          <cell r="B442" t="str">
            <v>4/พ.ย./49.24.00น.</v>
          </cell>
        </row>
        <row r="443">
          <cell r="B443" t="str">
            <v>5/พ.ย./49.12.00น.</v>
          </cell>
        </row>
        <row r="444">
          <cell r="B444" t="str">
            <v>5/พ.ย./49.24.00น.</v>
          </cell>
        </row>
        <row r="445">
          <cell r="B445" t="str">
            <v>6/พ.ย./49.12.00น.</v>
          </cell>
        </row>
        <row r="446">
          <cell r="B446" t="str">
            <v>6/พ.ย./49.24.00น.</v>
          </cell>
        </row>
        <row r="447">
          <cell r="B447" t="str">
            <v>7/พ.ย./49.12.00น.</v>
          </cell>
        </row>
        <row r="448">
          <cell r="B448" t="str">
            <v>7/พ.ย./49.24.00น.</v>
          </cell>
        </row>
        <row r="449">
          <cell r="B449" t="str">
            <v>8/พ.ย./49.12.00น.</v>
          </cell>
        </row>
        <row r="450">
          <cell r="B450" t="str">
            <v>8/พ.ย./49.24.00น.</v>
          </cell>
        </row>
        <row r="451">
          <cell r="B451" t="str">
            <v>9/พ.ย./49.12.00น.</v>
          </cell>
        </row>
        <row r="452">
          <cell r="B452" t="str">
            <v>9/พ.ย./49.24.00น.</v>
          </cell>
        </row>
        <row r="453">
          <cell r="B453" t="str">
            <v>10/พ.ย./49.12.00น.</v>
          </cell>
        </row>
        <row r="454">
          <cell r="B454" t="str">
            <v>10/พ.ย./49.24.00น.</v>
          </cell>
        </row>
        <row r="455">
          <cell r="B455" t="str">
            <v>11/พ.ย./49.12.00น.</v>
          </cell>
        </row>
        <row r="456">
          <cell r="B456" t="str">
            <v>11/พ.ย./49.24.00น.</v>
          </cell>
        </row>
        <row r="457">
          <cell r="B457" t="str">
            <v>12/พ.ย./49.12.00น.</v>
          </cell>
        </row>
        <row r="458">
          <cell r="B458" t="str">
            <v>12/พ.ย./49.24.00น.</v>
          </cell>
        </row>
        <row r="459">
          <cell r="B459" t="str">
            <v>13/พ.ย./49.12.00น.</v>
          </cell>
        </row>
        <row r="460">
          <cell r="B460" t="str">
            <v>13/พ.ย./49.24.00น.</v>
          </cell>
        </row>
        <row r="461">
          <cell r="B461" t="str">
            <v>14/พ.ย./49.12.00น.</v>
          </cell>
        </row>
        <row r="462">
          <cell r="B462" t="str">
            <v>14/พ.ย./49.24.00น.</v>
          </cell>
        </row>
        <row r="463">
          <cell r="B463" t="str">
            <v>15/พ.ย./49.12.00น.</v>
          </cell>
        </row>
        <row r="464">
          <cell r="B464" t="str">
            <v>15/พ.ย./49.24.00น.</v>
          </cell>
        </row>
        <row r="465">
          <cell r="B465" t="str">
            <v>16/พ.ย./49.12.00น.</v>
          </cell>
        </row>
        <row r="466">
          <cell r="B466" t="str">
            <v>16/พ.ย./49.24.00น.</v>
          </cell>
        </row>
        <row r="467">
          <cell r="B467" t="str">
            <v>17/พ.ย./49.12.00น.</v>
          </cell>
        </row>
        <row r="468">
          <cell r="B468" t="str">
            <v>17/พ.ย./49.24.00น.</v>
          </cell>
        </row>
        <row r="469">
          <cell r="B469" t="str">
            <v>18/พ.ย./49.12.00น.</v>
          </cell>
        </row>
        <row r="470">
          <cell r="B470" t="str">
            <v>18/พ.ย./49.24.00น.</v>
          </cell>
        </row>
        <row r="471">
          <cell r="B471" t="str">
            <v>19/พ.ย./49.12.00น.</v>
          </cell>
        </row>
        <row r="472">
          <cell r="B472" t="str">
            <v>19/พ.ย./49.24.00น.</v>
          </cell>
        </row>
        <row r="473">
          <cell r="B473" t="str">
            <v>20/พ.ย./49.12.00น.</v>
          </cell>
        </row>
        <row r="474">
          <cell r="B474" t="str">
            <v>20/พ.ย./49.24.00น.</v>
          </cell>
        </row>
        <row r="475">
          <cell r="B475" t="str">
            <v>21/พ.ย./49.12.00น.</v>
          </cell>
        </row>
        <row r="476">
          <cell r="B476" t="str">
            <v>21/พ.ย./49.24.00น.</v>
          </cell>
        </row>
        <row r="477">
          <cell r="B477" t="str">
            <v>22/พ.ย./49.12.00น.</v>
          </cell>
        </row>
        <row r="478">
          <cell r="B478" t="str">
            <v>22/พ.ย./49.24.00น.</v>
          </cell>
        </row>
        <row r="479">
          <cell r="B479" t="str">
            <v>23/พ.ย./49.12.00น.</v>
          </cell>
        </row>
        <row r="480">
          <cell r="B480" t="str">
            <v>23/พ.ย./49.24.00น.</v>
          </cell>
        </row>
        <row r="481">
          <cell r="B481" t="str">
            <v>24/พ.ย./49.12.00น.</v>
          </cell>
        </row>
        <row r="482">
          <cell r="B482" t="str">
            <v>24/พ.ย./49.24.00น.</v>
          </cell>
        </row>
        <row r="483">
          <cell r="B483" t="str">
            <v>25/พ.ย./49.12.00น.</v>
          </cell>
        </row>
        <row r="484">
          <cell r="B484" t="str">
            <v>25/พ.ย./49.24.00น.</v>
          </cell>
        </row>
        <row r="485">
          <cell r="B485" t="str">
            <v>26/พ.ย./49.12.00น.</v>
          </cell>
        </row>
        <row r="486">
          <cell r="B486" t="str">
            <v>26/พ.ย./49.24.00น.</v>
          </cell>
        </row>
        <row r="487">
          <cell r="B487" t="str">
            <v>27/พ.ย./49.12.00น.</v>
          </cell>
        </row>
        <row r="488">
          <cell r="B488" t="str">
            <v>27/พ.ย./49.24.00น.</v>
          </cell>
        </row>
        <row r="489">
          <cell r="B489" t="str">
            <v>28/พ.ย./49.12.00น.</v>
          </cell>
        </row>
        <row r="490">
          <cell r="B490" t="str">
            <v>28/พ.ย./49.24.00น.</v>
          </cell>
        </row>
        <row r="491">
          <cell r="B491" t="str">
            <v>29/พ.ย./49.12.00น.</v>
          </cell>
        </row>
        <row r="492">
          <cell r="B492" t="str">
            <v>29/พ.ย./49.24.00น.</v>
          </cell>
        </row>
        <row r="493">
          <cell r="B493" t="str">
            <v>30/พ.ย./49.12.00น.</v>
          </cell>
        </row>
        <row r="494">
          <cell r="B494" t="str">
            <v>30/พ.ย./49.24.00น.</v>
          </cell>
        </row>
        <row r="495">
          <cell r="B495" t="str">
            <v>1/ธ.ค./49.12.00น.</v>
          </cell>
        </row>
        <row r="496">
          <cell r="B496" t="str">
            <v>1/ธ.ค./49.24.00น.</v>
          </cell>
        </row>
        <row r="497">
          <cell r="B497" t="str">
            <v>2/ธ.ค./49.12.00น.</v>
          </cell>
        </row>
        <row r="498">
          <cell r="B498" t="str">
            <v>2/ธ.ค./49.24.00น.</v>
          </cell>
        </row>
        <row r="499">
          <cell r="B499" t="str">
            <v>3/ธ.ค./49.12.00น.</v>
          </cell>
        </row>
        <row r="500">
          <cell r="B500" t="str">
            <v>3/ธ.ค./49.24.00น.</v>
          </cell>
        </row>
        <row r="501">
          <cell r="B501" t="str">
            <v>4/ธ.ค./49.12.00น.</v>
          </cell>
        </row>
        <row r="502">
          <cell r="B502" t="str">
            <v>4/ธ.ค./49.24.00น.</v>
          </cell>
        </row>
        <row r="503">
          <cell r="B503" t="str">
            <v>5/ธ.ค./49.12.00น.</v>
          </cell>
        </row>
        <row r="504">
          <cell r="B504" t="str">
            <v>5/ธ.ค./49.24.00น.</v>
          </cell>
        </row>
        <row r="505">
          <cell r="B505" t="str">
            <v>6/ธ.ค./49.12.00น.</v>
          </cell>
        </row>
        <row r="506">
          <cell r="B506" t="str">
            <v>6/ธ.ค./49.24.00น.</v>
          </cell>
        </row>
        <row r="507">
          <cell r="B507" t="str">
            <v>7/ธ.ค./49.12.00น.</v>
          </cell>
        </row>
        <row r="508">
          <cell r="B508" t="str">
            <v>7/ธ.ค./49.24.00น.</v>
          </cell>
        </row>
        <row r="509">
          <cell r="B509" t="str">
            <v>8/ธ.ค./49.12.00น.</v>
          </cell>
        </row>
        <row r="510">
          <cell r="B510" t="str">
            <v>8/ธ.ค./49.24.00น.</v>
          </cell>
        </row>
        <row r="511">
          <cell r="B511" t="str">
            <v>9/ธ.ค./49.12.00น.</v>
          </cell>
        </row>
        <row r="512">
          <cell r="B512" t="str">
            <v>9/ธ.ค./49.24.00น.</v>
          </cell>
        </row>
        <row r="513">
          <cell r="B513" t="str">
            <v>10/ธ.ค./49.12.00น.</v>
          </cell>
        </row>
        <row r="514">
          <cell r="B514" t="str">
            <v>10/ธ.ค./49.24.00น.</v>
          </cell>
        </row>
        <row r="515">
          <cell r="B515" t="str">
            <v>11/ธ.ค./49.12.00น.</v>
          </cell>
        </row>
        <row r="516">
          <cell r="B516" t="str">
            <v>11/ธ.ค./49.24.00น.</v>
          </cell>
        </row>
        <row r="517">
          <cell r="B517" t="str">
            <v>12/ธ.ค./49.12.00น.</v>
          </cell>
        </row>
        <row r="518">
          <cell r="B518" t="str">
            <v>12/ธ.ค./49.24.00น.</v>
          </cell>
        </row>
        <row r="519">
          <cell r="B519" t="str">
            <v>13/ธ.ค./49.12.00น.</v>
          </cell>
        </row>
        <row r="520">
          <cell r="B520" t="str">
            <v>13/ธ.ค./49.24.00น.</v>
          </cell>
        </row>
        <row r="521">
          <cell r="B521" t="str">
            <v>14/ธ.ค./49.12.00น.</v>
          </cell>
        </row>
        <row r="522">
          <cell r="B522" t="str">
            <v>14/ธ.ค./49.24.00น.</v>
          </cell>
        </row>
        <row r="523">
          <cell r="B523" t="str">
            <v>15/ธ.ค./49.12.00น.</v>
          </cell>
        </row>
        <row r="524">
          <cell r="B524" t="str">
            <v>15/ธ.ค./49.24.00น.</v>
          </cell>
        </row>
        <row r="525">
          <cell r="B525" t="str">
            <v>16/ธ.ค./49.12.00น.</v>
          </cell>
        </row>
        <row r="526">
          <cell r="B526" t="str">
            <v>16/ธ.ค./49.24.00น.</v>
          </cell>
        </row>
        <row r="527">
          <cell r="B527" t="str">
            <v>17/ธ.ค./49.12.00น.</v>
          </cell>
        </row>
        <row r="528">
          <cell r="B528" t="str">
            <v>17/ธ.ค./49.24.00น.</v>
          </cell>
        </row>
        <row r="529">
          <cell r="B529" t="str">
            <v>18/ธ.ค./49.12.00น.</v>
          </cell>
        </row>
        <row r="530">
          <cell r="B530" t="str">
            <v>18/ธ.ค./49.24.00น.</v>
          </cell>
        </row>
        <row r="531">
          <cell r="B531" t="str">
            <v>19/ธ.ค./49.12.00น.</v>
          </cell>
        </row>
        <row r="532">
          <cell r="B532" t="str">
            <v>19/ธ.ค./49.24.00น.</v>
          </cell>
        </row>
        <row r="533">
          <cell r="B533" t="str">
            <v>20/ธ.ค./49.12.00น.</v>
          </cell>
        </row>
        <row r="534">
          <cell r="B534" t="str">
            <v>20/ธ.ค./49.24.00น.</v>
          </cell>
        </row>
        <row r="535">
          <cell r="B535" t="str">
            <v>21/ธ.ค./49.12.00น.</v>
          </cell>
        </row>
        <row r="536">
          <cell r="B536" t="str">
            <v>21/ธ.ค./49.24.00น.</v>
          </cell>
        </row>
        <row r="537">
          <cell r="B537" t="str">
            <v>22/ธ.ค./49.12.00น.</v>
          </cell>
        </row>
        <row r="538">
          <cell r="B538" t="str">
            <v>22/ธ.ค./49.24.00น.</v>
          </cell>
        </row>
        <row r="539">
          <cell r="B539" t="str">
            <v>23/ธ.ค./49.12.00น.</v>
          </cell>
        </row>
        <row r="540">
          <cell r="B540" t="str">
            <v>23/ธ.ค./49.24.00น.</v>
          </cell>
        </row>
        <row r="541">
          <cell r="B541" t="str">
            <v>24/ธ.ค./49.12.00น.</v>
          </cell>
        </row>
        <row r="542">
          <cell r="B542" t="str">
            <v>24/ธ.ค./49.24.00น.</v>
          </cell>
        </row>
        <row r="543">
          <cell r="B543" t="str">
            <v>25/ธ.ค./49.12.00น.</v>
          </cell>
        </row>
        <row r="544">
          <cell r="B544" t="str">
            <v>25/ธ.ค./49.24.00น.</v>
          </cell>
        </row>
        <row r="545">
          <cell r="B545" t="str">
            <v>26/ธ.ค./49.12.00น.</v>
          </cell>
        </row>
        <row r="546">
          <cell r="B546" t="str">
            <v>26/ธ.ค./49.24.00น.</v>
          </cell>
        </row>
        <row r="547">
          <cell r="B547" t="str">
            <v>27/ธ.ค./49.12.00น.</v>
          </cell>
        </row>
        <row r="548">
          <cell r="B548" t="str">
            <v>27/ธ.ค./49.24.00น.</v>
          </cell>
        </row>
        <row r="549">
          <cell r="B549" t="str">
            <v>28/ธ.ค./49.12.00น.</v>
          </cell>
        </row>
        <row r="550">
          <cell r="B550" t="str">
            <v>28/ธ.ค./49.24.00น.</v>
          </cell>
        </row>
        <row r="551">
          <cell r="B551" t="str">
            <v>29/ธ.ค./49.12.00น.</v>
          </cell>
        </row>
        <row r="552">
          <cell r="B552" t="str">
            <v>29/ธ.ค./49.24.00น.</v>
          </cell>
        </row>
        <row r="553">
          <cell r="B553" t="str">
            <v>30/ธ.ค./49.12.00น.</v>
          </cell>
        </row>
        <row r="554">
          <cell r="B554" t="str">
            <v>30/ธ.ค./49.24.00น.</v>
          </cell>
        </row>
        <row r="555">
          <cell r="B555" t="str">
            <v>31/ธ.ค./49.12.00น.</v>
          </cell>
        </row>
        <row r="556">
          <cell r="B556" t="str">
            <v>31/ธ.ค./49.24.00น.</v>
          </cell>
        </row>
        <row r="557">
          <cell r="B557" t="str">
            <v>1/ม.ค./50.12.00น.</v>
          </cell>
        </row>
        <row r="558">
          <cell r="B558" t="str">
            <v>1/ม.ค./50.24.00น.</v>
          </cell>
        </row>
        <row r="559">
          <cell r="B559" t="str">
            <v>2/ม.ค./50.12.00น.</v>
          </cell>
        </row>
        <row r="560">
          <cell r="B560" t="str">
            <v>2/ม.ค./50.24.00น.</v>
          </cell>
        </row>
        <row r="561">
          <cell r="B561" t="str">
            <v>3/ม.ค./50.12.00น.</v>
          </cell>
        </row>
        <row r="562">
          <cell r="B562" t="str">
            <v>3/ม.ค./50.24.00น.</v>
          </cell>
        </row>
        <row r="563">
          <cell r="B563" t="str">
            <v>4/ม.ค./50.12.00น.</v>
          </cell>
        </row>
        <row r="564">
          <cell r="B564" t="str">
            <v>4/ม.ค./50.24.00น.</v>
          </cell>
        </row>
        <row r="565">
          <cell r="B565" t="str">
            <v>5/ม.ค./50.12.00น.</v>
          </cell>
        </row>
        <row r="566">
          <cell r="B566" t="str">
            <v>5/ม.ค./50.24.00น.</v>
          </cell>
        </row>
        <row r="567">
          <cell r="B567" t="str">
            <v>6/ม.ค./50.12.00น.</v>
          </cell>
        </row>
        <row r="568">
          <cell r="B568" t="str">
            <v>6/ม.ค./50.24.00น.</v>
          </cell>
        </row>
        <row r="569">
          <cell r="B569" t="str">
            <v>7/ม.ค./50.12.00น.</v>
          </cell>
        </row>
        <row r="570">
          <cell r="B570" t="str">
            <v>7/ม.ค./50.24.00น.</v>
          </cell>
        </row>
        <row r="571">
          <cell r="B571" t="str">
            <v>8/ม.ค./50.12.00น.</v>
          </cell>
        </row>
        <row r="572">
          <cell r="B572" t="str">
            <v>8/ม.ค./50.24.00น.</v>
          </cell>
        </row>
        <row r="573">
          <cell r="B573" t="str">
            <v>9/ม.ค./50.12.00น.</v>
          </cell>
        </row>
        <row r="574">
          <cell r="B574" t="str">
            <v>9/ม.ค./50.24.00น.</v>
          </cell>
        </row>
        <row r="575">
          <cell r="B575" t="str">
            <v>10/ม.ค./50.12.00น.</v>
          </cell>
        </row>
        <row r="576">
          <cell r="B576" t="str">
            <v>10/ม.ค./50.24.00น.</v>
          </cell>
        </row>
        <row r="577">
          <cell r="B577" t="str">
            <v>11/ม.ค./50.12.00น.</v>
          </cell>
        </row>
        <row r="578">
          <cell r="B578" t="str">
            <v>11/ม.ค./50.24.00น.</v>
          </cell>
        </row>
        <row r="579">
          <cell r="B579" t="str">
            <v>12/ม.ค./50.12.00น.</v>
          </cell>
        </row>
        <row r="580">
          <cell r="B580" t="str">
            <v>12/ม.ค./50.24.00น.</v>
          </cell>
        </row>
        <row r="581">
          <cell r="B581" t="str">
            <v>13/ม.ค./50.12.00น.</v>
          </cell>
        </row>
        <row r="582">
          <cell r="B582" t="str">
            <v>13/ม.ค./50.24.00น.</v>
          </cell>
        </row>
        <row r="583">
          <cell r="B583" t="str">
            <v>14/ม.ค./50.12.00น.</v>
          </cell>
        </row>
        <row r="584">
          <cell r="B584" t="str">
            <v>14/ม.ค./50.24.00น.</v>
          </cell>
        </row>
        <row r="585">
          <cell r="B585" t="str">
            <v>15/ม.ค./50.12.00น.</v>
          </cell>
        </row>
        <row r="586">
          <cell r="B586" t="str">
            <v>15/ม.ค./50.24.00น.</v>
          </cell>
        </row>
        <row r="587">
          <cell r="B587" t="str">
            <v>16/ม.ค./50.12.00น.</v>
          </cell>
        </row>
        <row r="588">
          <cell r="B588" t="str">
            <v>16/ม.ค./50.24.00น.</v>
          </cell>
        </row>
        <row r="589">
          <cell r="B589" t="str">
            <v>17/ม.ค./50.12.00น.</v>
          </cell>
        </row>
        <row r="590">
          <cell r="B590" t="str">
            <v>17/ม.ค./50.24.00น.</v>
          </cell>
        </row>
        <row r="591">
          <cell r="B591" t="str">
            <v>18/ม.ค./50.12.00น.</v>
          </cell>
        </row>
        <row r="592">
          <cell r="B592" t="str">
            <v>18/ม.ค./50.24.00น.</v>
          </cell>
        </row>
        <row r="593">
          <cell r="B593" t="str">
            <v>19/ม.ค./50.12.00น.</v>
          </cell>
        </row>
        <row r="594">
          <cell r="B594" t="str">
            <v>19/ม.ค./50.24.00น.</v>
          </cell>
        </row>
        <row r="595">
          <cell r="B595" t="str">
            <v>20/ม.ค./50.12.00น.</v>
          </cell>
        </row>
        <row r="596">
          <cell r="B596" t="str">
            <v>20/ม.ค./50.24.00น.</v>
          </cell>
        </row>
        <row r="597">
          <cell r="B597" t="str">
            <v>21/ม.ค./50.12.00น.</v>
          </cell>
        </row>
        <row r="598">
          <cell r="B598" t="str">
            <v>21/ม.ค./50.24.00น.</v>
          </cell>
        </row>
        <row r="599">
          <cell r="B599" t="str">
            <v>22/ม.ค./50.12.00น.</v>
          </cell>
        </row>
        <row r="600">
          <cell r="B600" t="str">
            <v>22/ม.ค./50.24.00น.</v>
          </cell>
        </row>
        <row r="601">
          <cell r="B601" t="str">
            <v>23/ม.ค./50.12.00น.</v>
          </cell>
        </row>
        <row r="602">
          <cell r="B602" t="str">
            <v>23/ม.ค./50.24.00น.</v>
          </cell>
        </row>
        <row r="603">
          <cell r="B603" t="str">
            <v>24/ม.ค./50.12.00น.</v>
          </cell>
        </row>
        <row r="604">
          <cell r="B604" t="str">
            <v>24/ม.ค./50.24.00น.</v>
          </cell>
        </row>
        <row r="605">
          <cell r="B605" t="str">
            <v>25/ม.ค./50.12.00น.</v>
          </cell>
        </row>
        <row r="606">
          <cell r="B606" t="str">
            <v>25/ม.ค./50.24.00น.</v>
          </cell>
        </row>
        <row r="607">
          <cell r="B607" t="str">
            <v>26/ม.ค./50.12.00น.</v>
          </cell>
        </row>
        <row r="608">
          <cell r="B608" t="str">
            <v>26/ม.ค./50.24.00น.</v>
          </cell>
        </row>
        <row r="609">
          <cell r="B609" t="str">
            <v>27/ม.ค./50.12.00น.</v>
          </cell>
        </row>
        <row r="610">
          <cell r="B610" t="str">
            <v>27/ม.ค./50.24.00น.</v>
          </cell>
        </row>
        <row r="611">
          <cell r="B611" t="str">
            <v>28/ม.ค./50.12.00น.</v>
          </cell>
        </row>
        <row r="612">
          <cell r="B612" t="str">
            <v>28/ม.ค./50.24.00น.</v>
          </cell>
        </row>
        <row r="613">
          <cell r="B613" t="str">
            <v>29/ม.ค./50.12.00น.</v>
          </cell>
        </row>
        <row r="614">
          <cell r="B614" t="str">
            <v>29/ม.ค./50.24.00น.</v>
          </cell>
        </row>
        <row r="615">
          <cell r="B615" t="str">
            <v>30/ม.ค./50.12.00น.</v>
          </cell>
        </row>
        <row r="616">
          <cell r="B616" t="str">
            <v>30/ม.ค./50.24.00น.</v>
          </cell>
        </row>
        <row r="617">
          <cell r="B617" t="str">
            <v>31/ม.ค./50.12.00น.</v>
          </cell>
        </row>
        <row r="618">
          <cell r="B618" t="str">
            <v>31/ม.ค./50.24.00น.</v>
          </cell>
        </row>
        <row r="619">
          <cell r="B619" t="str">
            <v>1/ก.พ./50.12.00น.</v>
          </cell>
        </row>
        <row r="620">
          <cell r="B620" t="str">
            <v>1/ก.พ./50.24.00น.</v>
          </cell>
        </row>
        <row r="621">
          <cell r="B621" t="str">
            <v>2/ก.พ/50.12.00น.</v>
          </cell>
        </row>
        <row r="622">
          <cell r="B622" t="str">
            <v>2/ก.พ/50.24.00น.</v>
          </cell>
        </row>
        <row r="623">
          <cell r="B623" t="str">
            <v>3/ก.พ/50.12.00น.</v>
          </cell>
        </row>
        <row r="624">
          <cell r="B624" t="str">
            <v>3/ก.พ/50.24.00น.</v>
          </cell>
        </row>
        <row r="625">
          <cell r="B625" t="str">
            <v>4/ก.พ/50.12.00น.</v>
          </cell>
        </row>
        <row r="626">
          <cell r="B626" t="str">
            <v>4/ก.พ/50.24.00น.</v>
          </cell>
        </row>
        <row r="627">
          <cell r="B627" t="str">
            <v>5/ก.พ/50.12.00น.</v>
          </cell>
        </row>
        <row r="628">
          <cell r="B628" t="str">
            <v>5/ก.พ/50.24.00น.</v>
          </cell>
        </row>
        <row r="629">
          <cell r="B629" t="str">
            <v>6/ก.พ/50.12.00น.</v>
          </cell>
        </row>
        <row r="630">
          <cell r="B630" t="str">
            <v>6/ก.พ/50.24.00น.</v>
          </cell>
        </row>
        <row r="631">
          <cell r="B631" t="str">
            <v>7/ก.พ/50.12.00น.</v>
          </cell>
        </row>
        <row r="632">
          <cell r="B632" t="str">
            <v>7/ก.พ/50.24.00น.</v>
          </cell>
        </row>
        <row r="633">
          <cell r="B633" t="str">
            <v>8ก.พ/50.12.00น.</v>
          </cell>
        </row>
        <row r="634">
          <cell r="B634" t="str">
            <v>8ก.พ/50.24.00น.</v>
          </cell>
        </row>
        <row r="635">
          <cell r="B635" t="str">
            <v>9ก.พ/50.12.00น.</v>
          </cell>
        </row>
        <row r="636">
          <cell r="B636" t="str">
            <v>9ก.พ/50.24.00น.</v>
          </cell>
        </row>
        <row r="637">
          <cell r="B637" t="str">
            <v>10/ก.พ/50.12.00น.</v>
          </cell>
        </row>
        <row r="638">
          <cell r="B638" t="str">
            <v>10/ก.พ/50.24.00น.</v>
          </cell>
        </row>
        <row r="639">
          <cell r="B639" t="str">
            <v>11/ก.พ/50.12.00น.</v>
          </cell>
        </row>
        <row r="640">
          <cell r="B640" t="str">
            <v>11/ก.พ/50.24.00น.</v>
          </cell>
        </row>
        <row r="641">
          <cell r="B641" t="str">
            <v>12/ก.พ/50.12.00น.</v>
          </cell>
        </row>
        <row r="642">
          <cell r="B642" t="str">
            <v>12/ก.พ/50.24.00น.</v>
          </cell>
        </row>
        <row r="643">
          <cell r="B643" t="str">
            <v>13/ก.พ/50.12.00น.</v>
          </cell>
        </row>
        <row r="644">
          <cell r="B644" t="str">
            <v>13/ก.พ/50.24.00น.</v>
          </cell>
        </row>
        <row r="645">
          <cell r="B645" t="str">
            <v>14/ก.พ/50.12.00น.</v>
          </cell>
        </row>
        <row r="646">
          <cell r="B646" t="str">
            <v>14/ก.พ/50.24.00น.</v>
          </cell>
        </row>
        <row r="647">
          <cell r="B647" t="str">
            <v>15/ก.พ/50.12.00น.</v>
          </cell>
        </row>
        <row r="648">
          <cell r="B648" t="str">
            <v>15/ก.พ/50.24.00น.</v>
          </cell>
        </row>
        <row r="649">
          <cell r="B649" t="str">
            <v>16ก.พ/50.12.00น.</v>
          </cell>
        </row>
        <row r="650">
          <cell r="B650" t="str">
            <v>16ก.พ/50.24.00น.</v>
          </cell>
        </row>
        <row r="651">
          <cell r="B651" t="str">
            <v>17ก.พ/50.12.00น.</v>
          </cell>
        </row>
        <row r="652">
          <cell r="B652" t="str">
            <v>17ก.พ/50.24.00น.</v>
          </cell>
        </row>
        <row r="653">
          <cell r="B653" t="str">
            <v>18/ก.พ/50.12.00น.</v>
          </cell>
        </row>
        <row r="654">
          <cell r="B654" t="str">
            <v>18/ก.พ/50.24.00น.</v>
          </cell>
        </row>
        <row r="655">
          <cell r="B655" t="str">
            <v>19/ก.พ/50.12.00น.</v>
          </cell>
        </row>
        <row r="656">
          <cell r="B656" t="str">
            <v>19/ก.พ/50.24.00น.</v>
          </cell>
        </row>
        <row r="657">
          <cell r="B657" t="str">
            <v>20ก.พ/50.12.00น.</v>
          </cell>
        </row>
        <row r="658">
          <cell r="B658" t="str">
            <v>20ก.พ/50.24.00น.</v>
          </cell>
        </row>
        <row r="659">
          <cell r="B659" t="str">
            <v>21/ก.พ/50.12.00น.</v>
          </cell>
        </row>
        <row r="660">
          <cell r="B660" t="str">
            <v>21/ก.พ/50.24.00น.</v>
          </cell>
        </row>
        <row r="661">
          <cell r="B661" t="str">
            <v>22/ก.พ/50.12.00น.</v>
          </cell>
        </row>
        <row r="662">
          <cell r="B662" t="str">
            <v>22/ก.พ/50.24.00น.</v>
          </cell>
        </row>
        <row r="663">
          <cell r="B663" t="str">
            <v>23/ก.พ/50.12.00น.</v>
          </cell>
        </row>
        <row r="664">
          <cell r="B664" t="str">
            <v>23/ก.พ/50.24.00น.</v>
          </cell>
        </row>
        <row r="665">
          <cell r="B665" t="str">
            <v>24/ก.พ/50.12.00น.</v>
          </cell>
        </row>
        <row r="666">
          <cell r="B666" t="str">
            <v>24/ก.พ/50.24.00น.</v>
          </cell>
        </row>
        <row r="667">
          <cell r="B667" t="str">
            <v>25/ก.พ/50.12.00น.</v>
          </cell>
        </row>
        <row r="668">
          <cell r="B668" t="str">
            <v>25/ก.พ/50.24.00น.</v>
          </cell>
        </row>
        <row r="669">
          <cell r="B669" t="str">
            <v>26/ก.พ/50.12.00น.</v>
          </cell>
        </row>
        <row r="670">
          <cell r="B670" t="str">
            <v>26/ก.พ/50.24.00น.</v>
          </cell>
        </row>
        <row r="671">
          <cell r="B671" t="str">
            <v>27/ก.พ/50.12.00น.</v>
          </cell>
        </row>
        <row r="672">
          <cell r="B672" t="str">
            <v>27/ก.พ/50.24.00น.</v>
          </cell>
        </row>
        <row r="673">
          <cell r="B673" t="str">
            <v>28/ก.พ/50.12.00น.</v>
          </cell>
        </row>
        <row r="674">
          <cell r="B674" t="str">
            <v>28/ก.พ/50.24.00น.</v>
          </cell>
        </row>
        <row r="675">
          <cell r="B675" t="str">
            <v>1/มี.ค./50.12.00น.</v>
          </cell>
        </row>
        <row r="676">
          <cell r="B676" t="str">
            <v>1/มี.ค./50.24.00น.</v>
          </cell>
        </row>
        <row r="677">
          <cell r="B677" t="str">
            <v>2/มี.ค./50.12.00น.</v>
          </cell>
        </row>
        <row r="678">
          <cell r="B678" t="str">
            <v>2/มี.ค./50.24.00น.</v>
          </cell>
        </row>
        <row r="679">
          <cell r="B679" t="str">
            <v>3/มี.ค./50.12.00น.</v>
          </cell>
        </row>
        <row r="680">
          <cell r="B680" t="str">
            <v>3/มี.ค./50.24.00น.</v>
          </cell>
        </row>
        <row r="681">
          <cell r="B681" t="str">
            <v>4/มี.ค./50.12.00น.</v>
          </cell>
        </row>
        <row r="682">
          <cell r="B682" t="str">
            <v>4/มี.ค./50.24.00น.</v>
          </cell>
        </row>
        <row r="683">
          <cell r="B683" t="str">
            <v>5/มี.ค./50.12.00น.</v>
          </cell>
        </row>
        <row r="684">
          <cell r="B684" t="str">
            <v>5/มี.ค./50.24.00น.</v>
          </cell>
        </row>
        <row r="685">
          <cell r="B685" t="str">
            <v>6/มี.ค./50.12.00น.</v>
          </cell>
        </row>
        <row r="686">
          <cell r="B686" t="str">
            <v>6/มี.ค./50.24.00น.</v>
          </cell>
        </row>
        <row r="687">
          <cell r="B687" t="str">
            <v>7/มี.ค./50.12.00น.</v>
          </cell>
        </row>
        <row r="688">
          <cell r="B688" t="str">
            <v>7/มี.ค./50.24.00น.</v>
          </cell>
        </row>
        <row r="689">
          <cell r="B689" t="str">
            <v>8/มี.ค./50.12.00น.</v>
          </cell>
        </row>
        <row r="690">
          <cell r="B690" t="str">
            <v>8/มี.ค./50.24.00น.</v>
          </cell>
        </row>
        <row r="691">
          <cell r="B691" t="str">
            <v>9/มี.ค./50.12.00น.</v>
          </cell>
        </row>
        <row r="692">
          <cell r="B692" t="str">
            <v>9/มี.ค./50.24.00น.</v>
          </cell>
        </row>
        <row r="693">
          <cell r="B693" t="str">
            <v>10/มี.ค./50.12.00น.</v>
          </cell>
        </row>
        <row r="694">
          <cell r="B694" t="str">
            <v>10/มี.ค./50.24.00น.</v>
          </cell>
        </row>
        <row r="695">
          <cell r="B695" t="str">
            <v>11/มี.ค./50.12.00น.</v>
          </cell>
        </row>
        <row r="696">
          <cell r="B696" t="str">
            <v>11/มี.ค./50.24.00น.</v>
          </cell>
        </row>
        <row r="697">
          <cell r="B697" t="str">
            <v>12/มี.ค./50.12.00น.</v>
          </cell>
        </row>
        <row r="698">
          <cell r="B698" t="str">
            <v>12/มี.ค./50.24.00น.</v>
          </cell>
        </row>
        <row r="699">
          <cell r="B699" t="str">
            <v>13/มี.ค./50.12.00น.</v>
          </cell>
        </row>
        <row r="700">
          <cell r="B700" t="str">
            <v>13/มี.ค./50.24.00น.</v>
          </cell>
        </row>
        <row r="701">
          <cell r="B701" t="str">
            <v>14/มี.ค./50.12.00น.</v>
          </cell>
        </row>
        <row r="702">
          <cell r="B702" t="str">
            <v>14/มี.ค./50.24.00น.</v>
          </cell>
        </row>
        <row r="703">
          <cell r="B703" t="str">
            <v>15/มี.ค./50.12.00น.</v>
          </cell>
        </row>
        <row r="704">
          <cell r="B704" t="str">
            <v>15/มี.ค./50.24.00น.</v>
          </cell>
        </row>
        <row r="705">
          <cell r="B705" t="str">
            <v>16/มี.ค./50.12.00น.</v>
          </cell>
        </row>
        <row r="706">
          <cell r="B706" t="str">
            <v>16/มี.ค./50.24.00น.</v>
          </cell>
        </row>
        <row r="707">
          <cell r="B707" t="str">
            <v>17/มี.ค./50.12.00น.</v>
          </cell>
        </row>
        <row r="708">
          <cell r="B708" t="str">
            <v>17/มี.ค./50.24.00น.</v>
          </cell>
        </row>
        <row r="709">
          <cell r="B709" t="str">
            <v>18/มี.ค./50.12.00น.</v>
          </cell>
        </row>
        <row r="710">
          <cell r="B710" t="str">
            <v>18/มี.ค./50.24.00น.</v>
          </cell>
        </row>
        <row r="711">
          <cell r="B711" t="str">
            <v>19/มี.ค./50.12.00น.</v>
          </cell>
        </row>
        <row r="712">
          <cell r="B712" t="str">
            <v>19/มี.ค./50.24.00น.</v>
          </cell>
        </row>
        <row r="713">
          <cell r="B713" t="str">
            <v>20/มี.ค./50.12.00น.</v>
          </cell>
        </row>
        <row r="714">
          <cell r="B714" t="str">
            <v>20/มี.ค./50.24.00น.</v>
          </cell>
        </row>
        <row r="715">
          <cell r="B715" t="str">
            <v>21/มี.ค./50.12.00น.</v>
          </cell>
        </row>
        <row r="716">
          <cell r="B716" t="str">
            <v>21/มี.ค./50.24.00น.</v>
          </cell>
        </row>
        <row r="717">
          <cell r="B717" t="str">
            <v>22/มี.ค./50.12.00น.</v>
          </cell>
        </row>
        <row r="718">
          <cell r="B718" t="str">
            <v>22/มี.ค./50.24.00น.</v>
          </cell>
        </row>
        <row r="719">
          <cell r="B719" t="str">
            <v>23/มี.ค./50.12.00น.</v>
          </cell>
        </row>
        <row r="720">
          <cell r="B720" t="str">
            <v>23/มี.ค./50.24.00น.</v>
          </cell>
        </row>
        <row r="721">
          <cell r="B721" t="str">
            <v>24/มี.ค./50.12.00น.</v>
          </cell>
        </row>
        <row r="722">
          <cell r="B722" t="str">
            <v>24/มี.ค./50.24.00น.</v>
          </cell>
        </row>
        <row r="723">
          <cell r="B723" t="str">
            <v>25/มี.ค./50.12.00น.</v>
          </cell>
        </row>
        <row r="724">
          <cell r="B724" t="str">
            <v>25/มี.ค./50.24.00น.</v>
          </cell>
        </row>
        <row r="725">
          <cell r="B725" t="str">
            <v>26/มี.ค./50.12.00น.</v>
          </cell>
        </row>
        <row r="726">
          <cell r="B726" t="str">
            <v>26/มี.ค./50.24.00น.</v>
          </cell>
        </row>
        <row r="727">
          <cell r="B727" t="str">
            <v>27/มี.ค./50.12.00น.</v>
          </cell>
        </row>
        <row r="728">
          <cell r="B728" t="str">
            <v>27/มี.ค./50.24.00น.</v>
          </cell>
        </row>
        <row r="729">
          <cell r="B729" t="str">
            <v>28/มี.ค./50.12.00น.</v>
          </cell>
        </row>
        <row r="730">
          <cell r="B730" t="str">
            <v>28/มี.ค./50.24.00น.</v>
          </cell>
        </row>
        <row r="731">
          <cell r="B731" t="str">
            <v>29/มี.ค./50.12.00น.</v>
          </cell>
        </row>
        <row r="732">
          <cell r="B732" t="str">
            <v>29/มี.ค./50.24.00น.</v>
          </cell>
        </row>
        <row r="733">
          <cell r="B733" t="str">
            <v>30/มี.ค./50.12.00น.</v>
          </cell>
        </row>
        <row r="734">
          <cell r="B734" t="str">
            <v>30/มี.ค./50.24.00น.</v>
          </cell>
        </row>
        <row r="735">
          <cell r="B735" t="str">
            <v>31/มี.ค./50.12.00น.</v>
          </cell>
        </row>
        <row r="736">
          <cell r="B736" t="str">
            <v>31/มี.ค./50.24.00น.</v>
          </cell>
        </row>
        <row r="737">
          <cell r="B737" t="str">
            <v>1/เม.ย./50.12.00น.</v>
          </cell>
        </row>
        <row r="738">
          <cell r="B738" t="str">
            <v>1/เม.ย./50.24.00น.</v>
          </cell>
        </row>
        <row r="739">
          <cell r="B739" t="str">
            <v>2/เม.ย./50.12.00น.</v>
          </cell>
        </row>
        <row r="740">
          <cell r="B740" t="str">
            <v>2/เม.ย./50.24.00น.</v>
          </cell>
        </row>
        <row r="741">
          <cell r="B741" t="str">
            <v>3/เม.ย./50.12.00น.</v>
          </cell>
        </row>
        <row r="742">
          <cell r="B742" t="str">
            <v>3/เม.ย./50.24.00น.</v>
          </cell>
        </row>
        <row r="743">
          <cell r="B743" t="str">
            <v>4/เม.ย./50.12.00น.</v>
          </cell>
        </row>
        <row r="744">
          <cell r="B744" t="str">
            <v>4/เม.ย./50.24.00น.</v>
          </cell>
        </row>
        <row r="745">
          <cell r="B745" t="str">
            <v>5/เม.ย./50.12.00น.</v>
          </cell>
        </row>
        <row r="746">
          <cell r="B746" t="str">
            <v>5/เม.ย./50.24.00น.</v>
          </cell>
        </row>
        <row r="747">
          <cell r="B747" t="str">
            <v>6/เม.ย./50.12.00น.</v>
          </cell>
        </row>
        <row r="748">
          <cell r="B748" t="str">
            <v>6/เม.ย./50.24.00น.</v>
          </cell>
        </row>
        <row r="749">
          <cell r="B749" t="str">
            <v>7/เม.ย./50.12.00น.</v>
          </cell>
        </row>
        <row r="750">
          <cell r="B750" t="str">
            <v>7/เม.ย./50.24.00น.</v>
          </cell>
        </row>
        <row r="751">
          <cell r="B751" t="str">
            <v>8/เม.ย./50.12.00น.</v>
          </cell>
        </row>
        <row r="752">
          <cell r="B752" t="str">
            <v>8/เม.ย./50.24.00น.</v>
          </cell>
        </row>
        <row r="753">
          <cell r="B753" t="str">
            <v>9/เม.ย./50.12.00น.</v>
          </cell>
        </row>
        <row r="754">
          <cell r="B754" t="str">
            <v>9/เม.ย./50.24.00น.</v>
          </cell>
        </row>
        <row r="755">
          <cell r="B755" t="str">
            <v>10/เม.ย./50.12.00น.</v>
          </cell>
        </row>
        <row r="756">
          <cell r="B756" t="str">
            <v>10/เม.ย./50.24.00น.</v>
          </cell>
        </row>
        <row r="757">
          <cell r="B757" t="str">
            <v>11/เม.ย./50.12.00น.</v>
          </cell>
        </row>
        <row r="758">
          <cell r="B758" t="str">
            <v>11/เม.ย./50.24.00น.</v>
          </cell>
        </row>
        <row r="759">
          <cell r="B759" t="str">
            <v>12/เม.ย./50.12.00น.</v>
          </cell>
        </row>
        <row r="760">
          <cell r="B760" t="str">
            <v>12/เม.ย./50.24.00น.</v>
          </cell>
        </row>
        <row r="761">
          <cell r="B761" t="str">
            <v>13/เม.ย./50.12.00น.</v>
          </cell>
        </row>
        <row r="762">
          <cell r="B762" t="str">
            <v>13/เม.ย./50.24.00น.</v>
          </cell>
        </row>
        <row r="763">
          <cell r="B763" t="str">
            <v>14/เม.ย./50.12.00น.</v>
          </cell>
        </row>
        <row r="764">
          <cell r="B764" t="str">
            <v>14/เม.ย./50.24.00น.</v>
          </cell>
        </row>
        <row r="765">
          <cell r="B765" t="str">
            <v>15/เม.ย./50.12.00น.</v>
          </cell>
        </row>
        <row r="766">
          <cell r="B766" t="str">
            <v>15/เม.ย./50.24.00น.</v>
          </cell>
        </row>
        <row r="767">
          <cell r="B767" t="str">
            <v>16/เม.ย./50.12.00น.</v>
          </cell>
        </row>
        <row r="768">
          <cell r="B768" t="str">
            <v>16/เม.ย./50.24.00น.</v>
          </cell>
        </row>
        <row r="769">
          <cell r="B769" t="str">
            <v>17/เม.ย./50.12.00น.</v>
          </cell>
        </row>
        <row r="770">
          <cell r="B770" t="str">
            <v>17/เม.ย./50.24.00น.</v>
          </cell>
        </row>
        <row r="771">
          <cell r="B771" t="str">
            <v>18/เม.ย./50.12.00น.</v>
          </cell>
        </row>
        <row r="772">
          <cell r="B772" t="str">
            <v>18/เม.ย./50.24.00น.</v>
          </cell>
        </row>
        <row r="773">
          <cell r="B773" t="str">
            <v>19/เม.ย./50.12.00น.</v>
          </cell>
        </row>
        <row r="774">
          <cell r="B774" t="str">
            <v>19/เม.ย./50.24.00น.</v>
          </cell>
        </row>
        <row r="775">
          <cell r="B775" t="str">
            <v>20/เม.ย./50.12.00น.</v>
          </cell>
        </row>
        <row r="776">
          <cell r="B776" t="str">
            <v>20/เม.ย./50.24.00น.</v>
          </cell>
        </row>
        <row r="777">
          <cell r="B777" t="str">
            <v>21/เม.ย./50.12.00น.</v>
          </cell>
        </row>
        <row r="778">
          <cell r="B778" t="str">
            <v>21/เม.ย./50.24.00น.</v>
          </cell>
        </row>
        <row r="779">
          <cell r="B779" t="str">
            <v>22/เม.ย./50.12.00น.</v>
          </cell>
        </row>
        <row r="780">
          <cell r="B780" t="str">
            <v>22/เม.ย./50.24.00น.</v>
          </cell>
        </row>
        <row r="781">
          <cell r="B781" t="str">
            <v>23/เม.ย./50.12.00น.</v>
          </cell>
        </row>
        <row r="782">
          <cell r="B782" t="str">
            <v>23/เม.ย./50.24.00น.</v>
          </cell>
        </row>
        <row r="783">
          <cell r="B783" t="str">
            <v>24/เม.ย./50.12.00น.</v>
          </cell>
        </row>
        <row r="784">
          <cell r="B784" t="str">
            <v>24/เม.ย./50.24.00น.</v>
          </cell>
        </row>
        <row r="785">
          <cell r="B785" t="str">
            <v>25/เม.ย./50.12.00น.</v>
          </cell>
        </row>
        <row r="786">
          <cell r="B786" t="str">
            <v>25/เม.ย./50.24.00น.</v>
          </cell>
        </row>
        <row r="787">
          <cell r="B787" t="str">
            <v>26/เม.ย./50.12.00น.</v>
          </cell>
        </row>
        <row r="788">
          <cell r="B788" t="str">
            <v>26/เม.ย./50.24.00น.</v>
          </cell>
        </row>
        <row r="789">
          <cell r="B789" t="str">
            <v>27/เม.ย./50.12.00น.</v>
          </cell>
        </row>
        <row r="790">
          <cell r="B790" t="str">
            <v>27/เม.ย./50.24.00น.</v>
          </cell>
        </row>
        <row r="791">
          <cell r="B791" t="str">
            <v>28/เม.ย./50.12.00น.</v>
          </cell>
        </row>
        <row r="792">
          <cell r="B792" t="str">
            <v>28/เม.ย./50.24.00น.</v>
          </cell>
        </row>
        <row r="793">
          <cell r="B793" t="str">
            <v>29/เม.ย./50.12.00น.</v>
          </cell>
        </row>
        <row r="794">
          <cell r="B794" t="str">
            <v>29/เม.ย./50.24.00น.</v>
          </cell>
        </row>
        <row r="795">
          <cell r="B795" t="str">
            <v>30/เม.ย./50.12.00น.</v>
          </cell>
        </row>
        <row r="796">
          <cell r="B796" t="str">
            <v>30/เม.ย./50.24.00น.</v>
          </cell>
        </row>
        <row r="797">
          <cell r="B797" t="str">
            <v>1/พ.ค./50.12.00น.</v>
          </cell>
        </row>
        <row r="798">
          <cell r="B798" t="str">
            <v>1/พ.ค./50.24.00น.</v>
          </cell>
        </row>
        <row r="799">
          <cell r="B799" t="str">
            <v>2/พ.ค./50.12.00น.</v>
          </cell>
        </row>
        <row r="800">
          <cell r="B800" t="str">
            <v>2/พ.ค./50.24.00น.</v>
          </cell>
        </row>
        <row r="801">
          <cell r="B801" t="str">
            <v>3/พ.ค./50.12.00น.</v>
          </cell>
        </row>
        <row r="802">
          <cell r="B802" t="str">
            <v>3 พ.ค. 50.24.00น.</v>
          </cell>
        </row>
        <row r="803">
          <cell r="B803" t="str">
            <v>4 พ.ค. 50.12.00น.</v>
          </cell>
        </row>
        <row r="804">
          <cell r="B804" t="str">
            <v>4 พ.ค. 50.24.00น.</v>
          </cell>
        </row>
        <row r="805">
          <cell r="B805" t="str">
            <v>5 พ.ค. 50.12.00น.</v>
          </cell>
        </row>
        <row r="806">
          <cell r="B806" t="str">
            <v>5 พ.ค. 50.24.00น.</v>
          </cell>
        </row>
        <row r="807">
          <cell r="B807" t="str">
            <v>6 พ.ค. 50.12.00น.</v>
          </cell>
        </row>
        <row r="808">
          <cell r="B808" t="str">
            <v>6 พ.ค. 50.24.00น.</v>
          </cell>
        </row>
        <row r="809">
          <cell r="B809" t="str">
            <v>7 พ.ค. 50.12.00น.</v>
          </cell>
        </row>
        <row r="810">
          <cell r="B810" t="str">
            <v>7 พ.ค. 50.24.00น.</v>
          </cell>
        </row>
        <row r="811">
          <cell r="B811" t="str">
            <v>8 พ.ค. 50.12.00น.</v>
          </cell>
        </row>
        <row r="812">
          <cell r="B812" t="str">
            <v>8 พ.ค. 50.24.00น.</v>
          </cell>
        </row>
        <row r="813">
          <cell r="B813" t="str">
            <v>9 พ.ค. 50.12.00น.</v>
          </cell>
        </row>
        <row r="814">
          <cell r="B814" t="str">
            <v>9 พ.ค. 50.24.00น.</v>
          </cell>
        </row>
        <row r="815">
          <cell r="B815" t="str">
            <v>10 พ.ค. 50.12.00น.</v>
          </cell>
        </row>
        <row r="816">
          <cell r="B816" t="str">
            <v>10 พ.ค. 50.24.00น.</v>
          </cell>
        </row>
        <row r="817">
          <cell r="B817" t="str">
            <v>11 พ.ค. 50.12.00น.</v>
          </cell>
        </row>
        <row r="818">
          <cell r="B818" t="str">
            <v>11 พ.ค. 50.24.00น.</v>
          </cell>
        </row>
        <row r="819">
          <cell r="B819" t="str">
            <v>12 พ.ค. 50.12.00น.</v>
          </cell>
        </row>
        <row r="820">
          <cell r="B820" t="str">
            <v>12 พ.ค. 50.24.00น.</v>
          </cell>
        </row>
        <row r="821">
          <cell r="B821" t="str">
            <v>13 พ.ค. 50.12.00น.</v>
          </cell>
        </row>
        <row r="822">
          <cell r="B822" t="str">
            <v>13 พ.ค. 50.24.00น.</v>
          </cell>
        </row>
        <row r="823">
          <cell r="B823" t="str">
            <v>14 พ.ค. 50.12.00น.</v>
          </cell>
        </row>
        <row r="824">
          <cell r="B824" t="str">
            <v>14 พ.ค. 50.24.00น.</v>
          </cell>
        </row>
        <row r="825">
          <cell r="B825" t="str">
            <v>15 พ.ค. 50.12.00น.</v>
          </cell>
        </row>
        <row r="826">
          <cell r="B826" t="str">
            <v>15 พ.ค. 50.24.00น.</v>
          </cell>
        </row>
        <row r="827">
          <cell r="B827" t="str">
            <v>16 พ.ค. 50.12.00น.</v>
          </cell>
        </row>
        <row r="828">
          <cell r="B828" t="str">
            <v>16 พ.ค. 50.24.00น.</v>
          </cell>
        </row>
        <row r="829">
          <cell r="B829" t="str">
            <v>17 พ.ค. 50.12.00น.</v>
          </cell>
        </row>
        <row r="830">
          <cell r="B830" t="str">
            <v>17 พ.ค. 50.24.00น.</v>
          </cell>
        </row>
        <row r="831">
          <cell r="B831" t="str">
            <v>18 พ.ค. 50.12.00น.</v>
          </cell>
        </row>
        <row r="832">
          <cell r="B832" t="str">
            <v>18 พ.ค. 50.24.00น.</v>
          </cell>
        </row>
        <row r="833">
          <cell r="B833" t="str">
            <v>19 พ.ค. 50.12.00น.</v>
          </cell>
        </row>
        <row r="834">
          <cell r="B834" t="str">
            <v>19 พ.ค. 50.24.00น.</v>
          </cell>
        </row>
        <row r="835">
          <cell r="B835" t="str">
            <v>20 พ.ค. 50.12.00น.</v>
          </cell>
        </row>
        <row r="836">
          <cell r="B836" t="str">
            <v>20 พ.ค. 50.24.00น.</v>
          </cell>
        </row>
        <row r="837">
          <cell r="B837" t="str">
            <v>21 พ.ค. 50.12.00น.</v>
          </cell>
        </row>
        <row r="838">
          <cell r="B838" t="str">
            <v>21 พ.ค. 50.24.00น.</v>
          </cell>
        </row>
        <row r="839">
          <cell r="B839" t="str">
            <v>22 พ.ค. 50.12.00น.</v>
          </cell>
        </row>
        <row r="840">
          <cell r="B840" t="str">
            <v>22 พ.ค. 50.24.00น.</v>
          </cell>
        </row>
        <row r="841">
          <cell r="B841" t="str">
            <v>23 พ.ค. 50.12.00น.</v>
          </cell>
        </row>
        <row r="842">
          <cell r="B842" t="str">
            <v>23 พ.ค. 50.24.00น.</v>
          </cell>
        </row>
        <row r="843">
          <cell r="B843" t="str">
            <v>24 พ.ค. 50.12.00น.</v>
          </cell>
        </row>
        <row r="844">
          <cell r="B844" t="str">
            <v>24 พ.ค. 50.24.00น.</v>
          </cell>
        </row>
        <row r="845">
          <cell r="B845" t="str">
            <v>25 พ.ค. 50.12.00น.</v>
          </cell>
        </row>
        <row r="846">
          <cell r="B846" t="str">
            <v>25 พ.ค. 50.24.00น.</v>
          </cell>
        </row>
        <row r="847">
          <cell r="B847" t="str">
            <v>26 พ.ค. 50.12.00น.</v>
          </cell>
        </row>
        <row r="848">
          <cell r="B848" t="str">
            <v>26 พ.ค. 50.24.00น.</v>
          </cell>
        </row>
        <row r="849">
          <cell r="B849" t="str">
            <v>27 พ.ค. 50.12.00น.</v>
          </cell>
        </row>
        <row r="850">
          <cell r="B850" t="str">
            <v>27 พ.ค. 50.24.00น.</v>
          </cell>
        </row>
        <row r="851">
          <cell r="B851" t="str">
            <v>28 พ.ค. 50.12.00น.</v>
          </cell>
        </row>
        <row r="852">
          <cell r="B852" t="str">
            <v>28 พ.ค. 50.24.00น.</v>
          </cell>
        </row>
        <row r="853">
          <cell r="B853" t="str">
            <v>29 พ.ค. 50.12.00น.</v>
          </cell>
        </row>
        <row r="854">
          <cell r="B854" t="str">
            <v>29 พ.ค. 50.24.00น.</v>
          </cell>
        </row>
        <row r="855">
          <cell r="B855" t="str">
            <v>30 พ.ค. 50.12.00น.</v>
          </cell>
        </row>
        <row r="856">
          <cell r="B856" t="str">
            <v>30 พ.ค. 50.24.00น.</v>
          </cell>
        </row>
        <row r="857">
          <cell r="B857" t="str">
            <v>31 พ.ค. 50.12.00น.</v>
          </cell>
        </row>
        <row r="858">
          <cell r="B858" t="str">
            <v>31 พ.ค. 50.24.00น.</v>
          </cell>
        </row>
        <row r="859">
          <cell r="B859" t="str">
            <v>1 มิ.ย. 50.12.00น.</v>
          </cell>
        </row>
        <row r="860">
          <cell r="B860" t="str">
            <v>1 มิ.ย. 50.24.00น.</v>
          </cell>
        </row>
        <row r="861">
          <cell r="B861" t="str">
            <v>2 มิ.ย. 50.12.00น.</v>
          </cell>
        </row>
        <row r="862">
          <cell r="B862" t="str">
            <v>2 มิ.ย. 50.24.00น.</v>
          </cell>
        </row>
        <row r="863">
          <cell r="B863" t="str">
            <v>3 มิ.ย. 50.12.00น.</v>
          </cell>
        </row>
        <row r="864">
          <cell r="B864" t="str">
            <v>3 มิ.ย. 50.24.00น.</v>
          </cell>
        </row>
        <row r="865">
          <cell r="B865" t="str">
            <v>4 มิ.ย. 50.12.00น.</v>
          </cell>
        </row>
        <row r="866">
          <cell r="B866" t="str">
            <v>4 มิ.ย. 50.24.00น.</v>
          </cell>
        </row>
        <row r="867">
          <cell r="B867" t="str">
            <v>5 มิ.ย. 50.12.00น.</v>
          </cell>
        </row>
        <row r="868">
          <cell r="B868" t="str">
            <v>5 มิ.ย. 50.24.00น.</v>
          </cell>
        </row>
        <row r="869">
          <cell r="B869" t="str">
            <v>6 มิ.ย. 50.12.00น.</v>
          </cell>
        </row>
        <row r="870">
          <cell r="B870" t="str">
            <v>6 มิ.ย. 50.24.00น.</v>
          </cell>
        </row>
        <row r="871">
          <cell r="B871" t="str">
            <v>7 มิ.ย. 50.12.00น.</v>
          </cell>
        </row>
        <row r="872">
          <cell r="B872" t="str">
            <v>7 มิ.ย. 50.24.00น.</v>
          </cell>
        </row>
        <row r="873">
          <cell r="B873" t="str">
            <v>8 มิ.ย. 50.12.00น.</v>
          </cell>
        </row>
        <row r="874">
          <cell r="B874" t="str">
            <v>8 มิ.ย. 50.24.00น.</v>
          </cell>
        </row>
        <row r="875">
          <cell r="B875" t="str">
            <v>9 มิ.ย. 50.12.00น.</v>
          </cell>
        </row>
        <row r="876">
          <cell r="B876" t="str">
            <v>9 มิ.ย. 50.24.00น.</v>
          </cell>
        </row>
        <row r="877">
          <cell r="B877" t="str">
            <v>10 มิ.ย. 50.12.00น.</v>
          </cell>
        </row>
        <row r="878">
          <cell r="B878" t="str">
            <v>10 มิ.ย. 50.24.00น.</v>
          </cell>
        </row>
        <row r="879">
          <cell r="B879" t="str">
            <v>11 มิ.ย. 50.12.00น.</v>
          </cell>
        </row>
        <row r="880">
          <cell r="B880" t="str">
            <v>11 มิ.ย. 50.24.00น.</v>
          </cell>
        </row>
        <row r="881">
          <cell r="B881" t="str">
            <v>12 มิ.ย. 50.12.00น.</v>
          </cell>
        </row>
        <row r="882">
          <cell r="B882" t="str">
            <v>12 มิ.ย. 50.24.00น.</v>
          </cell>
        </row>
        <row r="883">
          <cell r="B883" t="str">
            <v>13 มิ.ย. 50.12.00น.</v>
          </cell>
        </row>
        <row r="884">
          <cell r="B884" t="str">
            <v>13 มิ.ย. 50.24.00น.</v>
          </cell>
        </row>
        <row r="885">
          <cell r="B885" t="str">
            <v>14 มิ.ย. 50.12.00น.</v>
          </cell>
        </row>
        <row r="886">
          <cell r="B886" t="str">
            <v>14 มิ.ย. 50.24.00น.</v>
          </cell>
        </row>
        <row r="887">
          <cell r="B887" t="str">
            <v>15 มิ.ย. 50.12.00น.</v>
          </cell>
        </row>
        <row r="888">
          <cell r="B888" t="str">
            <v>15 มิ.ย. 50.24.00น.</v>
          </cell>
        </row>
        <row r="889">
          <cell r="B889" t="str">
            <v>16 มิ.ย. 50.12.00น.</v>
          </cell>
        </row>
        <row r="890">
          <cell r="B890" t="str">
            <v>16 มิ.ย. 50.24.00น.</v>
          </cell>
        </row>
        <row r="891">
          <cell r="B891" t="str">
            <v>17 มิ.ย. 50.12.00น.</v>
          </cell>
        </row>
        <row r="892">
          <cell r="B892" t="str">
            <v>17 มิ.ย. 50.24.00น.</v>
          </cell>
        </row>
      </sheetData>
      <sheetData sheetId="13" refreshError="1"/>
      <sheetData sheetId="14" refreshError="1"/>
      <sheetData sheetId="15"/>
      <sheetData sheetId="1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ST"/>
    </sheetNames>
    <definedNames>
      <definedName name="OneStepChart"/>
    </defined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00B0F0"/>
  </sheetPr>
  <dimension ref="A1:AE69"/>
  <sheetViews>
    <sheetView zoomScale="85" zoomScaleNormal="85" workbookViewId="0">
      <pane xSplit="2" ySplit="6" topLeftCell="M19" activePane="bottomRight" state="frozen"/>
      <selection pane="topRight" activeCell="C1" sqref="C1"/>
      <selection pane="bottomLeft" activeCell="A7" sqref="A7"/>
      <selection pane="bottomRight" activeCell="R27" sqref="R27"/>
    </sheetView>
  </sheetViews>
  <sheetFormatPr defaultRowHeight="14.5"/>
  <cols>
    <col min="1" max="1" width="42.1796875" style="483" bestFit="1" customWidth="1"/>
    <col min="3" max="3" width="10.36328125" customWidth="1"/>
    <col min="4" max="5" width="10.453125" customWidth="1"/>
    <col min="6" max="10" width="10.453125" bestFit="1" customWidth="1"/>
    <col min="11" max="11" width="11.1796875" bestFit="1" customWidth="1"/>
    <col min="12" max="12" width="11.90625" bestFit="1" customWidth="1"/>
    <col min="13" max="16" width="9.453125" bestFit="1" customWidth="1"/>
    <col min="17" max="17" width="9.54296875" bestFit="1" customWidth="1"/>
    <col min="18" max="26" width="9.453125" bestFit="1" customWidth="1"/>
    <col min="27" max="27" width="11.08984375" style="3" bestFit="1" customWidth="1"/>
    <col min="28" max="28" width="15.90625" bestFit="1" customWidth="1"/>
    <col min="29" max="29" width="10.6328125" bestFit="1" customWidth="1"/>
  </cols>
  <sheetData>
    <row r="1" spans="1:28">
      <c r="A1" s="476" t="s">
        <v>249</v>
      </c>
      <c r="B1" s="2" t="s">
        <v>43</v>
      </c>
      <c r="C1" s="297">
        <v>200.00475408799599</v>
      </c>
      <c r="D1" s="297">
        <v>180.7371222570533</v>
      </c>
      <c r="E1" s="297">
        <v>202.46136608303385</v>
      </c>
      <c r="F1" s="297">
        <v>187.53</v>
      </c>
      <c r="G1" s="297">
        <v>203.11200000000002</v>
      </c>
      <c r="H1" s="297">
        <v>196.68700000000001</v>
      </c>
      <c r="I1" s="297">
        <v>150.75173545437815</v>
      </c>
      <c r="J1" s="297">
        <v>193.0435882228262</v>
      </c>
      <c r="K1" s="297">
        <v>180.5803865250665</v>
      </c>
      <c r="L1" s="297">
        <v>167.46549672759602</v>
      </c>
      <c r="M1" s="297">
        <v>175.30449797540246</v>
      </c>
      <c r="N1" s="297">
        <v>180.25136899614046</v>
      </c>
      <c r="O1" s="297">
        <v>187.40292479523455</v>
      </c>
      <c r="P1" s="297">
        <v>166.67045266644413</v>
      </c>
      <c r="Q1" s="297">
        <v>182.10643650126158</v>
      </c>
      <c r="R1" s="297">
        <v>175.80582842724979</v>
      </c>
      <c r="S1" s="297">
        <v>130.99314213624893</v>
      </c>
      <c r="T1" s="297">
        <v>158.72730025231286</v>
      </c>
      <c r="U1" s="297">
        <v>164.01821026072327</v>
      </c>
      <c r="V1" s="297">
        <v>155.49641715727503</v>
      </c>
      <c r="W1" s="297">
        <v>173.17700588730025</v>
      </c>
      <c r="X1" s="297">
        <v>178.94957275021028</v>
      </c>
      <c r="Y1" s="297">
        <v>173.86042052144666</v>
      </c>
      <c r="Z1" s="297">
        <v>165.53555761143821</v>
      </c>
      <c r="AA1" s="490"/>
      <c r="AB1" t="s">
        <v>253</v>
      </c>
    </row>
    <row r="2" spans="1:28">
      <c r="A2" s="483" t="s">
        <v>172</v>
      </c>
      <c r="B2" s="2" t="s">
        <v>43</v>
      </c>
      <c r="C2" s="209">
        <f t="shared" ref="C2:Q2" si="0">C7-C1</f>
        <v>-0.99693893053157012</v>
      </c>
      <c r="D2" s="209">
        <f t="shared" si="0"/>
        <v>1.5036723472260292</v>
      </c>
      <c r="E2" s="209">
        <f t="shared" si="0"/>
        <v>1.4694360233963266</v>
      </c>
      <c r="F2" s="209">
        <f t="shared" si="0"/>
        <v>-3.1503056426332421</v>
      </c>
      <c r="G2" s="209">
        <f t="shared" si="0"/>
        <v>0.50199999999998113</v>
      </c>
      <c r="H2" s="209">
        <f t="shared" si="0"/>
        <v>-0.42500000000001137</v>
      </c>
      <c r="I2" s="209">
        <f t="shared" si="0"/>
        <v>-3.7527586206896331</v>
      </c>
      <c r="J2" s="209">
        <f t="shared" si="0"/>
        <v>0</v>
      </c>
      <c r="K2" s="209">
        <f t="shared" si="0"/>
        <v>-2.842110858993351</v>
      </c>
      <c r="L2" s="209">
        <f t="shared" si="0"/>
        <v>-1.288127477695042</v>
      </c>
      <c r="M2" s="209">
        <f t="shared" si="0"/>
        <v>-0.31660357798037353</v>
      </c>
      <c r="N2" s="209">
        <f t="shared" si="0"/>
        <v>0</v>
      </c>
      <c r="O2" s="209">
        <f t="shared" si="0"/>
        <v>0</v>
      </c>
      <c r="P2" s="209">
        <f t="shared" si="0"/>
        <v>0</v>
      </c>
      <c r="Q2" s="209">
        <f t="shared" si="0"/>
        <v>0</v>
      </c>
      <c r="R2" s="209">
        <f t="shared" ref="R2:T2" si="1">R7-R1</f>
        <v>0</v>
      </c>
      <c r="S2" s="209">
        <f t="shared" ref="S2" si="2">S7-S1</f>
        <v>0</v>
      </c>
      <c r="T2" s="209">
        <f t="shared" si="1"/>
        <v>0</v>
      </c>
      <c r="U2" s="209">
        <f t="shared" ref="U2:V2" si="3">U7-U1</f>
        <v>0</v>
      </c>
      <c r="V2" s="209">
        <f t="shared" si="3"/>
        <v>0</v>
      </c>
      <c r="W2" s="209">
        <f t="shared" ref="W2:X2" si="4">W7-W1</f>
        <v>0</v>
      </c>
      <c r="X2" s="209">
        <f t="shared" si="4"/>
        <v>0</v>
      </c>
      <c r="Y2" s="209">
        <f t="shared" ref="Y2:Z2" si="5">Y7-Y1</f>
        <v>0</v>
      </c>
      <c r="Z2" s="209">
        <f t="shared" si="5"/>
        <v>0</v>
      </c>
      <c r="AA2" s="490"/>
      <c r="AB2" t="s">
        <v>254</v>
      </c>
    </row>
    <row r="3" spans="1:28">
      <c r="A3" s="483" t="s">
        <v>167</v>
      </c>
      <c r="B3" s="2" t="s">
        <v>43</v>
      </c>
      <c r="C3" s="297">
        <v>46.417000000000002</v>
      </c>
      <c r="D3" s="297">
        <v>44.466758620689653</v>
      </c>
      <c r="E3" s="297">
        <v>48.368068965517239</v>
      </c>
      <c r="F3" s="297">
        <v>45.692999999999998</v>
      </c>
      <c r="G3" s="297">
        <v>48.36</v>
      </c>
      <c r="H3" s="297">
        <v>46.930999999999997</v>
      </c>
      <c r="I3" s="297">
        <v>47.648999923620792</v>
      </c>
      <c r="J3" s="297">
        <v>45.688551724137902</v>
      </c>
      <c r="K3" s="297">
        <v>46.027724137931045</v>
      </c>
      <c r="L3" s="297">
        <v>46.397861654910244</v>
      </c>
      <c r="M3" s="297">
        <v>46.152999999999999</v>
      </c>
      <c r="N3" s="297">
        <v>42.618620689655167</v>
      </c>
      <c r="O3" s="297">
        <v>48.05</v>
      </c>
      <c r="P3" s="297">
        <v>42.473103448275864</v>
      </c>
      <c r="Q3" s="297">
        <v>43.357241379310366</v>
      </c>
      <c r="R3" s="297">
        <v>43.572413793103472</v>
      </c>
      <c r="S3" s="297">
        <v>38.462068965517219</v>
      </c>
      <c r="T3" s="297">
        <v>29.048275862068941</v>
      </c>
      <c r="U3" s="297">
        <v>30.016551724137905</v>
      </c>
      <c r="V3" s="297">
        <v>29.182758620689636</v>
      </c>
      <c r="W3" s="297">
        <v>45.993103448275861</v>
      </c>
      <c r="X3" s="297">
        <v>47.526206896551727</v>
      </c>
      <c r="Y3" s="297">
        <v>45.993103448275861</v>
      </c>
      <c r="Z3" s="297">
        <v>38.929655172413796</v>
      </c>
    </row>
    <row r="4" spans="1:28">
      <c r="A4" s="483" t="s">
        <v>172</v>
      </c>
      <c r="B4" s="2" t="s">
        <v>43</v>
      </c>
      <c r="C4" s="209">
        <f>C9-C3</f>
        <v>-0.28151834684843635</v>
      </c>
      <c r="D4" s="209">
        <f t="shared" ref="D4:Q4" si="6">D9-D3</f>
        <v>-1.0419212381248784</v>
      </c>
      <c r="E4" s="209">
        <f t="shared" si="6"/>
        <v>1.4799310344827603</v>
      </c>
      <c r="F4" s="209">
        <f t="shared" si="6"/>
        <v>-0.23889655172413882</v>
      </c>
      <c r="G4" s="209">
        <f t="shared" si="6"/>
        <v>0.11599999999999966</v>
      </c>
      <c r="H4" s="209">
        <f t="shared" si="6"/>
        <v>0.42300000000000182</v>
      </c>
      <c r="I4" s="209">
        <f t="shared" si="6"/>
        <v>-0.33675862068965046</v>
      </c>
      <c r="J4" s="209">
        <f t="shared" si="6"/>
        <v>0</v>
      </c>
      <c r="K4" s="209">
        <f t="shared" si="6"/>
        <v>0.22451724137930285</v>
      </c>
      <c r="L4" s="209">
        <f t="shared" si="6"/>
        <v>1.6371383450897525</v>
      </c>
      <c r="M4" s="209">
        <f t="shared" si="6"/>
        <v>5.1999999999999602E-2</v>
      </c>
      <c r="N4" s="209">
        <f t="shared" si="6"/>
        <v>0</v>
      </c>
      <c r="O4" s="209">
        <f t="shared" si="6"/>
        <v>0</v>
      </c>
      <c r="P4" s="209">
        <f t="shared" si="6"/>
        <v>0</v>
      </c>
      <c r="Q4" s="209">
        <f t="shared" si="6"/>
        <v>0</v>
      </c>
      <c r="R4" s="209">
        <f t="shared" ref="R4:T4" si="7">R9-R3</f>
        <v>0</v>
      </c>
      <c r="S4" s="209">
        <f t="shared" ref="S4" si="8">S9-S3</f>
        <v>0</v>
      </c>
      <c r="T4" s="209">
        <f t="shared" si="7"/>
        <v>0</v>
      </c>
      <c r="U4" s="209">
        <f t="shared" ref="U4:V4" si="9">U9-U3</f>
        <v>0</v>
      </c>
      <c r="V4" s="209">
        <f t="shared" si="9"/>
        <v>0</v>
      </c>
      <c r="W4" s="209">
        <f t="shared" ref="W4:X4" si="10">W9-W3</f>
        <v>0</v>
      </c>
      <c r="X4" s="209">
        <f t="shared" si="10"/>
        <v>0</v>
      </c>
      <c r="Y4" s="209">
        <f t="shared" ref="Y4:Z4" si="11">Y9-Y3</f>
        <v>0</v>
      </c>
      <c r="Z4" s="209">
        <f t="shared" si="11"/>
        <v>0</v>
      </c>
    </row>
    <row r="5" spans="1:28">
      <c r="A5" s="470"/>
      <c r="B5" s="211"/>
      <c r="C5" s="471">
        <v>31</v>
      </c>
      <c r="D5" s="535">
        <v>28</v>
      </c>
      <c r="E5" s="535">
        <v>31</v>
      </c>
      <c r="F5" s="535">
        <v>30</v>
      </c>
      <c r="G5" s="535">
        <v>31</v>
      </c>
      <c r="H5" s="535">
        <v>30</v>
      </c>
      <c r="I5" s="535">
        <v>31</v>
      </c>
      <c r="J5" s="535">
        <v>31</v>
      </c>
      <c r="K5" s="535">
        <v>30</v>
      </c>
      <c r="L5" s="535">
        <v>31</v>
      </c>
      <c r="M5" s="535">
        <v>30</v>
      </c>
      <c r="N5" s="535">
        <v>31</v>
      </c>
      <c r="O5" s="535">
        <v>31</v>
      </c>
      <c r="P5" s="535">
        <v>28</v>
      </c>
      <c r="Q5" s="535">
        <v>31</v>
      </c>
      <c r="R5" s="535">
        <v>30</v>
      </c>
      <c r="S5" s="535">
        <v>31</v>
      </c>
      <c r="T5" s="535">
        <v>30</v>
      </c>
      <c r="U5" s="535">
        <v>31</v>
      </c>
      <c r="V5" s="535">
        <v>31</v>
      </c>
      <c r="W5" s="535">
        <v>30</v>
      </c>
      <c r="X5" s="535">
        <v>31</v>
      </c>
      <c r="Y5" s="535">
        <v>30</v>
      </c>
      <c r="Z5" s="535">
        <v>31</v>
      </c>
      <c r="AA5" s="491"/>
      <c r="AB5" s="471"/>
    </row>
    <row r="6" spans="1:28">
      <c r="A6" s="472" t="s">
        <v>165</v>
      </c>
      <c r="B6" s="472" t="s">
        <v>72</v>
      </c>
      <c r="C6" s="473">
        <v>44198</v>
      </c>
      <c r="D6" s="473">
        <v>44229</v>
      </c>
      <c r="E6" s="473">
        <v>44257</v>
      </c>
      <c r="F6" s="473">
        <v>44288</v>
      </c>
      <c r="G6" s="473">
        <v>44318</v>
      </c>
      <c r="H6" s="473">
        <v>44349</v>
      </c>
      <c r="I6" s="473">
        <v>44379</v>
      </c>
      <c r="J6" s="473">
        <v>44410</v>
      </c>
      <c r="K6" s="473">
        <v>44441</v>
      </c>
      <c r="L6" s="474">
        <v>44471</v>
      </c>
      <c r="M6" s="474">
        <v>44502</v>
      </c>
      <c r="N6" s="474">
        <v>44532</v>
      </c>
      <c r="O6" s="474">
        <v>44563</v>
      </c>
      <c r="P6" s="474">
        <v>44594</v>
      </c>
      <c r="Q6" s="474">
        <v>44622</v>
      </c>
      <c r="R6" s="474">
        <v>44653</v>
      </c>
      <c r="S6" s="474">
        <v>44683</v>
      </c>
      <c r="T6" s="474">
        <v>44714</v>
      </c>
      <c r="U6" s="474">
        <v>44744</v>
      </c>
      <c r="V6" s="474">
        <v>44775</v>
      </c>
      <c r="W6" s="474">
        <v>44806</v>
      </c>
      <c r="X6" s="474">
        <v>44836</v>
      </c>
      <c r="Y6" s="474">
        <v>44867</v>
      </c>
      <c r="Z6" s="474">
        <v>44897</v>
      </c>
      <c r="AA6" s="487"/>
      <c r="AB6" s="475" t="s">
        <v>121</v>
      </c>
    </row>
    <row r="7" spans="1:28">
      <c r="A7" s="476" t="s">
        <v>255</v>
      </c>
      <c r="B7" s="477" t="s">
        <v>43</v>
      </c>
      <c r="C7" s="485">
        <v>199.00781515746442</v>
      </c>
      <c r="D7" s="478">
        <v>182.24079460427933</v>
      </c>
      <c r="E7" s="478">
        <v>203.93080210643018</v>
      </c>
      <c r="F7" s="478">
        <v>184.37969435736676</v>
      </c>
      <c r="G7" s="478">
        <v>203.614</v>
      </c>
      <c r="H7" s="478">
        <v>196.262</v>
      </c>
      <c r="I7" s="478">
        <v>146.99897683368852</v>
      </c>
      <c r="J7" s="478">
        <v>193.0435882228262</v>
      </c>
      <c r="K7" s="478">
        <v>177.73827566607315</v>
      </c>
      <c r="L7" s="478">
        <v>166.17736924990098</v>
      </c>
      <c r="M7" s="478">
        <v>174.98789439742208</v>
      </c>
      <c r="N7" s="478">
        <v>180.25136899614046</v>
      </c>
      <c r="O7" s="478">
        <v>187.40292479523455</v>
      </c>
      <c r="P7" s="478">
        <v>166.67045266644413</v>
      </c>
      <c r="Q7" s="478">
        <v>182.10643650126158</v>
      </c>
      <c r="R7" s="478">
        <v>175.80582842724979</v>
      </c>
      <c r="S7" s="478">
        <v>130.99314213624893</v>
      </c>
      <c r="T7" s="478">
        <v>158.72730025231286</v>
      </c>
      <c r="U7" s="478">
        <v>164.01821026072327</v>
      </c>
      <c r="V7" s="478">
        <v>155.49641715727503</v>
      </c>
      <c r="W7" s="478">
        <v>173.17700588730025</v>
      </c>
      <c r="X7" s="478">
        <v>178.94957275021028</v>
      </c>
      <c r="Y7" s="478">
        <v>173.86042052144666</v>
      </c>
      <c r="Z7" s="478">
        <v>165.53555761143821</v>
      </c>
      <c r="AA7" s="486"/>
      <c r="AB7" s="579">
        <f>SUM(C7:N7)</f>
        <v>2208.6325795915918</v>
      </c>
    </row>
    <row r="8" spans="1:28">
      <c r="A8" s="470" t="str">
        <f>A7</f>
        <v>Total C2 (Ability 12rev5_23Nov'21)</v>
      </c>
      <c r="B8" s="477" t="s">
        <v>166</v>
      </c>
      <c r="C8" s="479">
        <f>C7/24/C5*1000</f>
        <v>267.48362252347368</v>
      </c>
      <c r="D8" s="479">
        <f t="shared" ref="D8:Q8" si="12">D7/24/D5*1000</f>
        <v>271.19165863732042</v>
      </c>
      <c r="E8" s="479">
        <f t="shared" si="12"/>
        <v>274.10054046563198</v>
      </c>
      <c r="F8" s="479">
        <f t="shared" si="12"/>
        <v>256.08290882967606</v>
      </c>
      <c r="G8" s="479">
        <f t="shared" si="12"/>
        <v>273.67473118279571</v>
      </c>
      <c r="H8" s="479">
        <f t="shared" si="12"/>
        <v>272.58611111111111</v>
      </c>
      <c r="I8" s="479">
        <f t="shared" si="12"/>
        <v>197.57926993775337</v>
      </c>
      <c r="J8" s="479">
        <f>J7/24/J5*1000</f>
        <v>259.46718847154062</v>
      </c>
      <c r="K8" s="479">
        <f t="shared" si="12"/>
        <v>246.85871620287935</v>
      </c>
      <c r="L8" s="479">
        <f t="shared" si="12"/>
        <v>223.35667909932926</v>
      </c>
      <c r="M8" s="479">
        <f t="shared" si="12"/>
        <v>243.0387422186418</v>
      </c>
      <c r="N8" s="479">
        <f t="shared" si="12"/>
        <v>242.27334542491997</v>
      </c>
      <c r="O8" s="479">
        <f t="shared" si="12"/>
        <v>251.88565160649807</v>
      </c>
      <c r="P8" s="479">
        <f t="shared" si="12"/>
        <v>248.02150694411333</v>
      </c>
      <c r="Q8" s="479">
        <f t="shared" si="12"/>
        <v>244.76671572750215</v>
      </c>
      <c r="R8" s="479">
        <f t="shared" ref="R8:T8" si="13">R7/24/R5*1000</f>
        <v>244.1747617045136</v>
      </c>
      <c r="S8" s="479">
        <f t="shared" ref="S8" si="14">S7/24/S5*1000</f>
        <v>176.06605125839911</v>
      </c>
      <c r="T8" s="479">
        <f t="shared" si="13"/>
        <v>220.45458368376785</v>
      </c>
      <c r="U8" s="479">
        <f t="shared" ref="U8:V8" si="15">U7/24/U5*1000</f>
        <v>220.45458368376782</v>
      </c>
      <c r="V8" s="479">
        <f t="shared" si="15"/>
        <v>209.00056069526215</v>
      </c>
      <c r="W8" s="479">
        <f t="shared" ref="W8:X8" si="16">W7/24/W5*1000</f>
        <v>240.52361928791703</v>
      </c>
      <c r="X8" s="479">
        <f t="shared" si="16"/>
        <v>240.52361928791706</v>
      </c>
      <c r="Y8" s="479">
        <f t="shared" ref="Y8:Z8" si="17">Y7/24/Y5*1000</f>
        <v>241.47280627978702</v>
      </c>
      <c r="Z8" s="479">
        <f t="shared" si="17"/>
        <v>222.49402904763198</v>
      </c>
      <c r="AA8" s="429"/>
      <c r="AB8" s="580"/>
    </row>
    <row r="9" spans="1:28">
      <c r="A9" s="507" t="s">
        <v>167</v>
      </c>
      <c r="B9" s="477" t="s">
        <v>43</v>
      </c>
      <c r="C9" s="485">
        <v>46.135481653151565</v>
      </c>
      <c r="D9" s="485">
        <v>43.424837382564775</v>
      </c>
      <c r="E9" s="485">
        <v>49.847999999999999</v>
      </c>
      <c r="F9" s="485">
        <v>45.454103448275859</v>
      </c>
      <c r="G9" s="485">
        <v>48.475999999999999</v>
      </c>
      <c r="H9" s="485">
        <v>47.353999999999999</v>
      </c>
      <c r="I9" s="485">
        <v>47.312241302931142</v>
      </c>
      <c r="J9" s="485">
        <v>45.688551724137902</v>
      </c>
      <c r="K9" s="485">
        <v>46.252241379310348</v>
      </c>
      <c r="L9" s="485">
        <v>48.034999999999997</v>
      </c>
      <c r="M9" s="485">
        <v>46.204999999999998</v>
      </c>
      <c r="N9" s="485">
        <v>42.618620689655167</v>
      </c>
      <c r="O9" s="485">
        <v>48.05</v>
      </c>
      <c r="P9" s="485">
        <v>42.473103448275864</v>
      </c>
      <c r="Q9" s="485">
        <v>43.357241379310366</v>
      </c>
      <c r="R9" s="485">
        <v>43.572413793103472</v>
      </c>
      <c r="S9" s="485">
        <v>38.462068965517219</v>
      </c>
      <c r="T9" s="485">
        <v>29.048275862068941</v>
      </c>
      <c r="U9" s="485">
        <v>30.016551724137905</v>
      </c>
      <c r="V9" s="485">
        <v>29.182758620689636</v>
      </c>
      <c r="W9" s="485">
        <v>45.993103448275861</v>
      </c>
      <c r="X9" s="485">
        <v>47.526206896551727</v>
      </c>
      <c r="Y9" s="485">
        <v>45.993103448275861</v>
      </c>
      <c r="Z9" s="485">
        <v>38.929655172413796</v>
      </c>
      <c r="AA9" s="415"/>
      <c r="AB9" s="579">
        <f>SUM(C9:N9)</f>
        <v>556.80407758002673</v>
      </c>
    </row>
    <row r="10" spans="1:28">
      <c r="A10" s="470" t="s">
        <v>167</v>
      </c>
      <c r="B10" s="477" t="s">
        <v>166</v>
      </c>
      <c r="C10" s="480">
        <f>C9/24/C5*1000</f>
        <v>62.010055985418774</v>
      </c>
      <c r="D10" s="480">
        <f t="shared" ref="D10:Q10" si="18">D9/24/D5*1000</f>
        <v>64.620293724054733</v>
      </c>
      <c r="E10" s="480">
        <f t="shared" si="18"/>
        <v>67</v>
      </c>
      <c r="F10" s="480">
        <f t="shared" si="18"/>
        <v>63.130699233716477</v>
      </c>
      <c r="G10" s="480">
        <f t="shared" si="18"/>
        <v>65.15591397849461</v>
      </c>
      <c r="H10" s="480">
        <f t="shared" si="18"/>
        <v>65.769444444444446</v>
      </c>
      <c r="I10" s="480">
        <f>I9/24/I5*1000</f>
        <v>63.591722181359053</v>
      </c>
      <c r="J10" s="480">
        <f t="shared" si="18"/>
        <v>61.409343715239118</v>
      </c>
      <c r="K10" s="480">
        <f t="shared" si="18"/>
        <v>64.239224137931046</v>
      </c>
      <c r="L10" s="480">
        <f t="shared" si="18"/>
        <v>64.563172043010752</v>
      </c>
      <c r="M10" s="480">
        <f t="shared" si="18"/>
        <v>64.173611111111114</v>
      </c>
      <c r="N10" s="480">
        <f t="shared" si="18"/>
        <v>57.283092324805331</v>
      </c>
      <c r="O10" s="480">
        <f t="shared" si="18"/>
        <v>64.583333333333329</v>
      </c>
      <c r="P10" s="480">
        <f t="shared" si="18"/>
        <v>63.204022988505749</v>
      </c>
      <c r="Q10" s="480">
        <f t="shared" si="18"/>
        <v>58.275862068965544</v>
      </c>
      <c r="R10" s="480">
        <f t="shared" ref="R10:T10" si="19">R9/24/R5*1000</f>
        <v>60.517241379310377</v>
      </c>
      <c r="S10" s="480">
        <f t="shared" ref="S10" si="20">S9/24/S5*1000</f>
        <v>51.696329254727445</v>
      </c>
      <c r="T10" s="480">
        <f t="shared" si="19"/>
        <v>40.344827586206861</v>
      </c>
      <c r="U10" s="480">
        <f t="shared" ref="U10:V10" si="21">U9/24/U5*1000</f>
        <v>40.344827586206861</v>
      </c>
      <c r="V10" s="480">
        <f t="shared" si="21"/>
        <v>39.224137931034456</v>
      </c>
      <c r="W10" s="480">
        <f t="shared" ref="W10:X10" si="22">W9/24/W5*1000</f>
        <v>63.87931034482758</v>
      </c>
      <c r="X10" s="480">
        <f t="shared" si="22"/>
        <v>63.879310344827594</v>
      </c>
      <c r="Y10" s="480">
        <f t="shared" ref="Y10:Z10" si="23">Y9/24/Y5*1000</f>
        <v>63.87931034482758</v>
      </c>
      <c r="Z10" s="480">
        <f t="shared" si="23"/>
        <v>52.324805339265851</v>
      </c>
      <c r="AA10" s="492"/>
      <c r="AB10" s="580"/>
    </row>
    <row r="11" spans="1:28">
      <c r="A11" s="470"/>
      <c r="B11" s="477"/>
      <c r="C11" s="480"/>
      <c r="D11" s="480"/>
      <c r="E11" s="480"/>
      <c r="F11" s="480"/>
      <c r="G11" s="480"/>
      <c r="H11" s="480"/>
      <c r="I11" s="480"/>
      <c r="J11" s="480"/>
      <c r="K11" s="670"/>
      <c r="L11" s="480"/>
      <c r="M11" s="480"/>
      <c r="N11" s="480"/>
      <c r="O11" s="480"/>
      <c r="P11" s="480"/>
      <c r="Q11" s="480"/>
      <c r="R11" s="480"/>
      <c r="S11" s="480"/>
      <c r="T11" s="480"/>
      <c r="U11" s="480"/>
      <c r="V11" s="480"/>
      <c r="W11" s="480"/>
      <c r="X11" s="480"/>
      <c r="Y11" s="480"/>
      <c r="Z11" s="480"/>
      <c r="AA11" s="492"/>
      <c r="AB11" s="580"/>
    </row>
    <row r="12" spans="1:28">
      <c r="A12" s="470" t="s">
        <v>168</v>
      </c>
      <c r="B12" s="477"/>
      <c r="C12" s="480"/>
      <c r="D12" s="480"/>
      <c r="E12" s="480"/>
      <c r="F12" s="480"/>
      <c r="G12" s="480"/>
      <c r="H12" s="480"/>
      <c r="I12" s="480"/>
      <c r="J12" s="480"/>
      <c r="K12" s="480"/>
      <c r="L12" s="480"/>
      <c r="M12" s="480"/>
      <c r="N12" s="480"/>
      <c r="O12" s="480"/>
      <c r="P12" s="480"/>
      <c r="Q12" s="480"/>
      <c r="R12" s="480"/>
      <c r="S12" s="480"/>
      <c r="T12" s="480"/>
      <c r="U12" s="480"/>
      <c r="V12" s="480"/>
      <c r="W12" s="480"/>
      <c r="X12" s="480"/>
      <c r="Y12" s="480"/>
      <c r="Z12" s="480"/>
      <c r="AA12" s="492"/>
      <c r="AB12" s="483" t="s">
        <v>212</v>
      </c>
    </row>
    <row r="13" spans="1:28">
      <c r="A13" s="470" t="s">
        <v>196</v>
      </c>
      <c r="B13" s="477" t="s">
        <v>166</v>
      </c>
      <c r="C13" s="480"/>
      <c r="D13" s="209">
        <v>260</v>
      </c>
      <c r="E13" s="209">
        <v>260</v>
      </c>
      <c r="F13" s="209">
        <v>260</v>
      </c>
      <c r="G13" s="209">
        <v>260</v>
      </c>
      <c r="H13" s="209">
        <v>260</v>
      </c>
      <c r="I13" s="209">
        <v>260</v>
      </c>
      <c r="J13" s="209">
        <v>260</v>
      </c>
      <c r="K13" s="209">
        <v>260</v>
      </c>
      <c r="L13" s="209">
        <v>260</v>
      </c>
      <c r="M13" s="209">
        <v>260</v>
      </c>
      <c r="N13" s="209">
        <v>260</v>
      </c>
      <c r="O13" s="209">
        <v>260</v>
      </c>
      <c r="P13" s="209">
        <v>260</v>
      </c>
      <c r="Q13" s="209">
        <v>260</v>
      </c>
      <c r="R13" s="209">
        <v>260</v>
      </c>
      <c r="S13" s="209">
        <v>260</v>
      </c>
      <c r="T13" s="209">
        <v>260</v>
      </c>
      <c r="U13" s="209">
        <v>260</v>
      </c>
      <c r="V13" s="209">
        <v>260</v>
      </c>
      <c r="W13" s="209">
        <v>260</v>
      </c>
      <c r="X13" s="209">
        <v>260</v>
      </c>
      <c r="Y13" s="209">
        <v>260</v>
      </c>
      <c r="Z13" s="209">
        <v>260</v>
      </c>
      <c r="AA13" s="490"/>
      <c r="AB13" s="580"/>
    </row>
    <row r="14" spans="1:28">
      <c r="A14" s="470" t="s">
        <v>201</v>
      </c>
      <c r="B14" s="477" t="s">
        <v>166</v>
      </c>
      <c r="C14" s="480"/>
      <c r="D14" s="209">
        <v>15</v>
      </c>
      <c r="E14" s="209">
        <v>15</v>
      </c>
      <c r="F14" s="209">
        <v>15</v>
      </c>
      <c r="G14" s="209">
        <v>15</v>
      </c>
      <c r="H14" s="209">
        <v>15</v>
      </c>
      <c r="I14" s="209">
        <v>15</v>
      </c>
      <c r="J14" s="209">
        <v>15</v>
      </c>
      <c r="K14" s="209">
        <v>15</v>
      </c>
      <c r="L14" s="209">
        <v>15</v>
      </c>
      <c r="M14" s="209">
        <v>15</v>
      </c>
      <c r="N14" s="209">
        <v>15</v>
      </c>
      <c r="O14" s="209">
        <v>15</v>
      </c>
      <c r="P14" s="209">
        <v>15</v>
      </c>
      <c r="Q14" s="209">
        <v>15</v>
      </c>
      <c r="R14" s="209">
        <v>15</v>
      </c>
      <c r="S14" s="209">
        <v>15</v>
      </c>
      <c r="T14" s="209">
        <v>15</v>
      </c>
      <c r="U14" s="209">
        <v>15</v>
      </c>
      <c r="V14" s="209">
        <v>15</v>
      </c>
      <c r="W14" s="209">
        <v>15</v>
      </c>
      <c r="X14" s="209">
        <v>15</v>
      </c>
      <c r="Y14" s="209">
        <v>15</v>
      </c>
      <c r="Z14" s="209">
        <v>15</v>
      </c>
      <c r="AA14" s="490"/>
      <c r="AB14" s="580"/>
    </row>
    <row r="15" spans="1:28">
      <c r="A15" s="470"/>
      <c r="B15" s="477"/>
      <c r="C15" s="480"/>
      <c r="D15" s="480"/>
      <c r="E15" s="480"/>
      <c r="F15" s="480"/>
      <c r="G15" s="480"/>
      <c r="H15" s="480"/>
      <c r="I15" s="480"/>
      <c r="J15" s="480"/>
      <c r="K15" s="480"/>
      <c r="L15" s="480"/>
      <c r="M15" s="480"/>
      <c r="N15" s="480"/>
      <c r="O15" s="480"/>
      <c r="P15" s="480"/>
      <c r="Q15" s="480"/>
      <c r="R15" s="480"/>
      <c r="S15" s="480"/>
      <c r="T15" s="480"/>
      <c r="U15" s="480"/>
      <c r="V15" s="480"/>
      <c r="W15" s="480"/>
      <c r="X15" s="480"/>
      <c r="Y15" s="480"/>
      <c r="Z15" s="480"/>
      <c r="AA15" s="492"/>
      <c r="AB15" s="580"/>
    </row>
    <row r="16" spans="1:28">
      <c r="A16" s="470" t="s">
        <v>195</v>
      </c>
      <c r="B16" s="477" t="s">
        <v>166</v>
      </c>
      <c r="C16" s="481"/>
      <c r="D16" s="481"/>
      <c r="E16" s="481">
        <f t="shared" ref="E16:P16" si="24">E8-275</f>
        <v>-0.89945953436802029</v>
      </c>
      <c r="F16" s="481">
        <f t="shared" si="24"/>
        <v>-18.917091170323943</v>
      </c>
      <c r="G16" s="481">
        <f t="shared" si="24"/>
        <v>-1.3252688172042895</v>
      </c>
      <c r="H16" s="481">
        <f t="shared" si="24"/>
        <v>-2.4138888888888914</v>
      </c>
      <c r="I16" s="481">
        <f t="shared" si="24"/>
        <v>-77.420730062246633</v>
      </c>
      <c r="J16" s="481">
        <f t="shared" si="24"/>
        <v>-15.532811528459376</v>
      </c>
      <c r="K16" s="481">
        <f t="shared" si="24"/>
        <v>-28.14128379712065</v>
      </c>
      <c r="L16" s="481">
        <f t="shared" si="24"/>
        <v>-51.643320900670744</v>
      </c>
      <c r="M16" s="481">
        <f t="shared" si="24"/>
        <v>-31.961257781358199</v>
      </c>
      <c r="N16" s="481">
        <f t="shared" si="24"/>
        <v>-32.726654575080033</v>
      </c>
      <c r="O16" s="481">
        <f t="shared" si="24"/>
        <v>-23.114348393501928</v>
      </c>
      <c r="P16" s="481">
        <f t="shared" si="24"/>
        <v>-26.978493055886673</v>
      </c>
      <c r="Q16" s="481">
        <f t="shared" ref="Q16:R16" si="25">Q8-275</f>
        <v>-30.233284272497855</v>
      </c>
      <c r="R16" s="481">
        <f t="shared" si="25"/>
        <v>-30.8252382954864</v>
      </c>
      <c r="S16" s="481">
        <f>S8-275</f>
        <v>-98.933948741600886</v>
      </c>
      <c r="T16" s="481">
        <f t="shared" ref="T16" si="26">T8-275</f>
        <v>-54.545416316232149</v>
      </c>
      <c r="U16" s="481">
        <f t="shared" ref="U16:V16" si="27">U8-275</f>
        <v>-54.545416316232178</v>
      </c>
      <c r="V16" s="481">
        <f t="shared" si="27"/>
        <v>-65.999439304737848</v>
      </c>
      <c r="W16" s="481">
        <f t="shared" ref="W16:X16" si="28">W8-275</f>
        <v>-34.476380712082971</v>
      </c>
      <c r="X16" s="481">
        <f t="shared" si="28"/>
        <v>-34.476380712082943</v>
      </c>
      <c r="Y16" s="481">
        <f t="shared" ref="Y16:Z16" si="29">Y8-275</f>
        <v>-33.527193720212978</v>
      </c>
      <c r="Z16" s="481">
        <f t="shared" si="29"/>
        <v>-52.505970952368017</v>
      </c>
      <c r="AA16" s="493"/>
      <c r="AB16" s="580"/>
    </row>
    <row r="17" spans="1:31">
      <c r="A17" s="470" t="s">
        <v>169</v>
      </c>
      <c r="B17" s="477"/>
      <c r="C17" s="211"/>
      <c r="D17" s="211"/>
      <c r="E17" s="408"/>
      <c r="F17" s="408"/>
      <c r="G17" s="408"/>
      <c r="H17" s="408"/>
      <c r="I17" s="408"/>
      <c r="J17" s="408"/>
      <c r="K17" s="408"/>
      <c r="L17" s="408"/>
      <c r="M17" s="408"/>
      <c r="N17" s="408"/>
      <c r="O17" s="408"/>
      <c r="P17" s="408"/>
      <c r="Q17" s="408"/>
      <c r="R17" s="408"/>
      <c r="S17" s="408"/>
      <c r="T17" s="408"/>
      <c r="U17" s="408"/>
      <c r="V17" s="408"/>
      <c r="W17" s="408"/>
      <c r="X17" s="408"/>
      <c r="Y17" s="408"/>
      <c r="Z17" s="408"/>
      <c r="AA17" s="493"/>
      <c r="AB17" s="580"/>
    </row>
    <row r="18" spans="1:31">
      <c r="A18" s="470" t="s">
        <v>0</v>
      </c>
      <c r="B18" s="477" t="s">
        <v>166</v>
      </c>
      <c r="C18" s="211"/>
      <c r="D18" s="481"/>
      <c r="E18" s="481">
        <f t="shared" ref="E18:P18" si="30">E13/(E13+E14)*E16</f>
        <v>-0.85039810522067372</v>
      </c>
      <c r="F18" s="481">
        <f t="shared" si="30"/>
        <v>-17.885249833760817</v>
      </c>
      <c r="G18" s="481">
        <f t="shared" si="30"/>
        <v>-1.2529814271749646</v>
      </c>
      <c r="H18" s="481">
        <f t="shared" si="30"/>
        <v>-2.2822222222222246</v>
      </c>
      <c r="I18" s="481">
        <f t="shared" si="30"/>
        <v>-73.197781149760459</v>
      </c>
      <c r="J18" s="481">
        <f t="shared" si="30"/>
        <v>-14.685567263270682</v>
      </c>
      <c r="K18" s="481">
        <f t="shared" si="30"/>
        <v>-26.606304680914068</v>
      </c>
      <c r="L18" s="481">
        <f t="shared" si="30"/>
        <v>-48.826412487906886</v>
      </c>
      <c r="M18" s="481">
        <f t="shared" si="30"/>
        <v>-30.21791644782957</v>
      </c>
      <c r="N18" s="481">
        <f t="shared" si="30"/>
        <v>-30.941564325530212</v>
      </c>
      <c r="O18" s="481">
        <f t="shared" si="30"/>
        <v>-21.853565753856369</v>
      </c>
      <c r="P18" s="481">
        <f t="shared" si="30"/>
        <v>-25.506938889201944</v>
      </c>
      <c r="Q18" s="481">
        <f t="shared" ref="Q18:V18" si="31">Q13/(Q13+Q14)*Q16</f>
        <v>-28.584196039452518</v>
      </c>
      <c r="R18" s="481">
        <f t="shared" si="31"/>
        <v>-29.143861661187142</v>
      </c>
      <c r="S18" s="481">
        <f t="shared" si="31"/>
        <v>-93.537551537513565</v>
      </c>
      <c r="T18" s="481">
        <f t="shared" si="31"/>
        <v>-51.570211789892213</v>
      </c>
      <c r="U18" s="481">
        <f t="shared" si="31"/>
        <v>-51.570211789892241</v>
      </c>
      <c r="V18" s="481">
        <f t="shared" si="31"/>
        <v>-62.399469888115782</v>
      </c>
      <c r="W18" s="481">
        <f t="shared" ref="W18:X18" si="32">W13/(W13+W14)*W16</f>
        <v>-32.595850855060263</v>
      </c>
      <c r="X18" s="481">
        <f t="shared" si="32"/>
        <v>-32.595850855060235</v>
      </c>
      <c r="Y18" s="481">
        <f t="shared" ref="Y18:Z18" si="33">Y13/(Y13+Y14)*Y16</f>
        <v>-31.69843769911045</v>
      </c>
      <c r="Z18" s="481">
        <f t="shared" si="33"/>
        <v>-49.64200890042067</v>
      </c>
      <c r="AA18" s="493"/>
      <c r="AB18" s="580"/>
    </row>
    <row r="19" spans="1:31">
      <c r="A19" s="470" t="s">
        <v>114</v>
      </c>
      <c r="B19" s="477" t="s">
        <v>166</v>
      </c>
      <c r="C19" s="211"/>
      <c r="D19" s="481"/>
      <c r="E19" s="481">
        <f t="shared" ref="E19:P19" si="34">E14/(E13+E14)*E16</f>
        <v>-4.9061429147346555E-2</v>
      </c>
      <c r="F19" s="481">
        <f t="shared" si="34"/>
        <v>-1.031841336563124</v>
      </c>
      <c r="G19" s="481">
        <f t="shared" si="34"/>
        <v>-7.2287390029324883E-2</v>
      </c>
      <c r="H19" s="481">
        <f t="shared" si="34"/>
        <v>-0.13166666666666679</v>
      </c>
      <c r="I19" s="481">
        <f>I14/(I13+I14)*I16</f>
        <v>-4.2229489124861797</v>
      </c>
      <c r="J19" s="481">
        <f t="shared" si="34"/>
        <v>-0.84724426518869322</v>
      </c>
      <c r="K19" s="481">
        <f t="shared" si="34"/>
        <v>-1.5349791162065809</v>
      </c>
      <c r="L19" s="481">
        <f t="shared" si="34"/>
        <v>-2.8169084127638588</v>
      </c>
      <c r="M19" s="481">
        <f t="shared" si="34"/>
        <v>-1.743341333528629</v>
      </c>
      <c r="N19" s="481">
        <f t="shared" si="34"/>
        <v>-1.78509024954982</v>
      </c>
      <c r="O19" s="481">
        <f t="shared" si="34"/>
        <v>-1.2607826396455597</v>
      </c>
      <c r="P19" s="481">
        <f t="shared" si="34"/>
        <v>-1.4715541666847276</v>
      </c>
      <c r="Q19" s="481">
        <f t="shared" ref="Q19:V19" si="35">Q14/(Q13+Q14)*Q16</f>
        <v>-1.6490882330453374</v>
      </c>
      <c r="R19" s="481">
        <f t="shared" si="35"/>
        <v>-1.6813766342992582</v>
      </c>
      <c r="S19" s="481">
        <f t="shared" si="35"/>
        <v>-5.3963972040873207</v>
      </c>
      <c r="T19" s="481">
        <f t="shared" si="35"/>
        <v>-2.9752045263399354</v>
      </c>
      <c r="U19" s="481">
        <f t="shared" si="35"/>
        <v>-2.9752045263399367</v>
      </c>
      <c r="V19" s="481">
        <f t="shared" si="35"/>
        <v>-3.5999694166220642</v>
      </c>
      <c r="W19" s="481">
        <f t="shared" ref="W19:X19" si="36">W14/(W13+W14)*W16</f>
        <v>-1.8805298570227074</v>
      </c>
      <c r="X19" s="481">
        <f t="shared" si="36"/>
        <v>-1.8805298570227058</v>
      </c>
      <c r="Y19" s="481">
        <f t="shared" ref="Y19:Z19" si="37">Y14/(Y13+Y14)*Y16</f>
        <v>-1.828756021102526</v>
      </c>
      <c r="Z19" s="481">
        <f t="shared" si="37"/>
        <v>-2.8639620519473463</v>
      </c>
      <c r="AA19" s="493"/>
      <c r="AB19" s="580"/>
    </row>
    <row r="20" spans="1:31">
      <c r="A20" s="470"/>
      <c r="B20" s="477"/>
      <c r="C20" s="211"/>
      <c r="D20" s="211"/>
      <c r="E20" s="408"/>
      <c r="F20" s="408"/>
      <c r="G20" s="408"/>
      <c r="H20" s="408"/>
      <c r="I20" s="408"/>
      <c r="J20" s="408"/>
      <c r="K20" s="408"/>
      <c r="L20" s="408"/>
      <c r="M20" s="408"/>
      <c r="N20" s="408"/>
      <c r="O20" s="408"/>
      <c r="P20" s="408"/>
      <c r="Q20" s="408"/>
      <c r="R20" s="408"/>
      <c r="S20" s="408"/>
      <c r="T20" s="408"/>
      <c r="U20" s="408"/>
      <c r="V20" s="408"/>
      <c r="W20" s="408"/>
      <c r="X20" s="408"/>
      <c r="Y20" s="408"/>
      <c r="Z20" s="408"/>
      <c r="AA20" s="493"/>
      <c r="AB20" s="580"/>
    </row>
    <row r="21" spans="1:31">
      <c r="A21" s="472" t="s">
        <v>171</v>
      </c>
      <c r="B21" s="472" t="s">
        <v>72</v>
      </c>
      <c r="C21" s="473">
        <f t="shared" ref="C21:Q21" si="38">C6</f>
        <v>44198</v>
      </c>
      <c r="D21" s="473">
        <f t="shared" si="38"/>
        <v>44229</v>
      </c>
      <c r="E21" s="473">
        <f t="shared" si="38"/>
        <v>44257</v>
      </c>
      <c r="F21" s="473">
        <f t="shared" si="38"/>
        <v>44288</v>
      </c>
      <c r="G21" s="473">
        <f t="shared" si="38"/>
        <v>44318</v>
      </c>
      <c r="H21" s="473">
        <f t="shared" si="38"/>
        <v>44349</v>
      </c>
      <c r="I21" s="473">
        <f t="shared" si="38"/>
        <v>44379</v>
      </c>
      <c r="J21" s="473">
        <f t="shared" si="38"/>
        <v>44410</v>
      </c>
      <c r="K21" s="473">
        <f t="shared" si="38"/>
        <v>44441</v>
      </c>
      <c r="L21" s="474">
        <f t="shared" si="38"/>
        <v>44471</v>
      </c>
      <c r="M21" s="474">
        <f t="shared" si="38"/>
        <v>44502</v>
      </c>
      <c r="N21" s="474">
        <f t="shared" si="38"/>
        <v>44532</v>
      </c>
      <c r="O21" s="474">
        <f t="shared" si="38"/>
        <v>44563</v>
      </c>
      <c r="P21" s="474">
        <f t="shared" si="38"/>
        <v>44594</v>
      </c>
      <c r="Q21" s="474">
        <f t="shared" si="38"/>
        <v>44622</v>
      </c>
      <c r="R21" s="474">
        <f t="shared" ref="R21:T21" si="39">R6</f>
        <v>44653</v>
      </c>
      <c r="S21" s="474">
        <f t="shared" ref="S21" si="40">S6</f>
        <v>44683</v>
      </c>
      <c r="T21" s="474">
        <f t="shared" si="39"/>
        <v>44714</v>
      </c>
      <c r="U21" s="474">
        <f t="shared" ref="U21:V21" si="41">U6</f>
        <v>44744</v>
      </c>
      <c r="V21" s="474">
        <f t="shared" si="41"/>
        <v>44775</v>
      </c>
      <c r="W21" s="474">
        <f t="shared" ref="W21:X21" si="42">W6</f>
        <v>44806</v>
      </c>
      <c r="X21" s="474">
        <f t="shared" si="42"/>
        <v>44836</v>
      </c>
      <c r="Y21" s="474">
        <f t="shared" ref="Y21:Z21" si="43">Y6</f>
        <v>44867</v>
      </c>
      <c r="Z21" s="474">
        <f t="shared" si="43"/>
        <v>44897</v>
      </c>
      <c r="AA21" s="493"/>
      <c r="AB21" s="580"/>
    </row>
    <row r="22" spans="1:31" s="620" customFormat="1">
      <c r="A22" s="614" t="s">
        <v>209</v>
      </c>
      <c r="B22" s="615" t="s">
        <v>44</v>
      </c>
      <c r="C22" s="616">
        <v>0</v>
      </c>
      <c r="D22" s="616">
        <v>0</v>
      </c>
      <c r="E22" s="617">
        <v>5040</v>
      </c>
      <c r="F22" s="617">
        <v>5760</v>
      </c>
      <c r="G22" s="617">
        <v>11160</v>
      </c>
      <c r="H22" s="617">
        <v>11664</v>
      </c>
      <c r="I22" s="617">
        <v>11160</v>
      </c>
      <c r="J22" s="617">
        <v>11160</v>
      </c>
      <c r="K22" s="617">
        <v>10800</v>
      </c>
      <c r="L22" s="617">
        <v>11160</v>
      </c>
      <c r="M22" s="617">
        <v>10800</v>
      </c>
      <c r="N22" s="617">
        <v>11160</v>
      </c>
      <c r="O22" s="617">
        <v>11160</v>
      </c>
      <c r="P22" s="617">
        <v>10080</v>
      </c>
      <c r="Q22" s="617">
        <v>11160</v>
      </c>
      <c r="R22" s="617">
        <v>10800</v>
      </c>
      <c r="S22" s="617">
        <v>11160</v>
      </c>
      <c r="T22" s="617">
        <v>10800</v>
      </c>
      <c r="U22" s="617">
        <v>11160</v>
      </c>
      <c r="V22" s="617">
        <v>11160</v>
      </c>
      <c r="W22" s="617">
        <v>10800</v>
      </c>
      <c r="X22" s="617">
        <v>11160</v>
      </c>
      <c r="Y22" s="617">
        <v>10800</v>
      </c>
      <c r="Z22" s="617">
        <v>11160</v>
      </c>
      <c r="AA22" s="618"/>
      <c r="AB22" s="619"/>
      <c r="AC22" s="654"/>
      <c r="AD22" s="654"/>
      <c r="AE22"/>
    </row>
    <row r="23" spans="1:31">
      <c r="A23" s="568" t="s">
        <v>209</v>
      </c>
      <c r="B23" s="569" t="s">
        <v>43</v>
      </c>
      <c r="C23" s="572">
        <v>0</v>
      </c>
      <c r="D23" s="573">
        <v>0</v>
      </c>
      <c r="E23" s="573">
        <f>E22/1000</f>
        <v>5.04</v>
      </c>
      <c r="F23" s="573">
        <f t="shared" ref="F23:Q23" si="44">F22/1000</f>
        <v>5.76</v>
      </c>
      <c r="G23" s="573">
        <f t="shared" si="44"/>
        <v>11.16</v>
      </c>
      <c r="H23" s="573">
        <f t="shared" si="44"/>
        <v>11.664</v>
      </c>
      <c r="I23" s="573">
        <f t="shared" si="44"/>
        <v>11.16</v>
      </c>
      <c r="J23" s="573">
        <f t="shared" si="44"/>
        <v>11.16</v>
      </c>
      <c r="K23" s="573">
        <f t="shared" si="44"/>
        <v>10.8</v>
      </c>
      <c r="L23" s="573">
        <f t="shared" si="44"/>
        <v>11.16</v>
      </c>
      <c r="M23" s="573">
        <f t="shared" si="44"/>
        <v>10.8</v>
      </c>
      <c r="N23" s="573">
        <f t="shared" si="44"/>
        <v>11.16</v>
      </c>
      <c r="O23" s="573">
        <f t="shared" si="44"/>
        <v>11.16</v>
      </c>
      <c r="P23" s="573">
        <f t="shared" si="44"/>
        <v>10.08</v>
      </c>
      <c r="Q23" s="573">
        <f t="shared" si="44"/>
        <v>11.16</v>
      </c>
      <c r="R23" s="573">
        <f t="shared" ref="R23:T23" si="45">R22/1000</f>
        <v>10.8</v>
      </c>
      <c r="S23" s="573">
        <f t="shared" ref="S23" si="46">S22/1000</f>
        <v>11.16</v>
      </c>
      <c r="T23" s="573">
        <f t="shared" si="45"/>
        <v>10.8</v>
      </c>
      <c r="U23" s="573">
        <f t="shared" ref="U23:V23" si="47">U22/1000</f>
        <v>11.16</v>
      </c>
      <c r="V23" s="573">
        <f t="shared" si="47"/>
        <v>11.16</v>
      </c>
      <c r="W23" s="573">
        <f t="shared" ref="W23:X23" si="48">W22/1000</f>
        <v>10.8</v>
      </c>
      <c r="X23" s="573">
        <f t="shared" si="48"/>
        <v>11.16</v>
      </c>
      <c r="Y23" s="573">
        <f t="shared" ref="Y23:Z23" si="49">Y22/1000</f>
        <v>10.8</v>
      </c>
      <c r="Z23" s="573">
        <f t="shared" si="49"/>
        <v>11.16</v>
      </c>
      <c r="AA23" s="493"/>
      <c r="AB23" s="580"/>
    </row>
    <row r="24" spans="1:31">
      <c r="A24" s="568" t="s">
        <v>209</v>
      </c>
      <c r="B24" s="569" t="s">
        <v>166</v>
      </c>
      <c r="C24" s="570">
        <f t="shared" ref="C24:Q24" si="50">C23/24/C5*1000</f>
        <v>0</v>
      </c>
      <c r="D24" s="571">
        <f t="shared" si="50"/>
        <v>0</v>
      </c>
      <c r="E24" s="571">
        <f t="shared" si="50"/>
        <v>6.774193548387097</v>
      </c>
      <c r="F24" s="571">
        <f t="shared" si="50"/>
        <v>8</v>
      </c>
      <c r="G24" s="571">
        <f t="shared" si="50"/>
        <v>15.000000000000002</v>
      </c>
      <c r="H24" s="596">
        <f t="shared" si="50"/>
        <v>16.2</v>
      </c>
      <c r="I24" s="596">
        <f t="shared" si="50"/>
        <v>15.000000000000002</v>
      </c>
      <c r="J24" s="571">
        <f t="shared" si="50"/>
        <v>15.000000000000002</v>
      </c>
      <c r="K24" s="571">
        <f t="shared" si="50"/>
        <v>15.000000000000002</v>
      </c>
      <c r="L24" s="571">
        <f t="shared" si="50"/>
        <v>15.000000000000002</v>
      </c>
      <c r="M24" s="571">
        <f t="shared" si="50"/>
        <v>15.000000000000002</v>
      </c>
      <c r="N24" s="571">
        <f t="shared" si="50"/>
        <v>15.000000000000002</v>
      </c>
      <c r="O24" s="571">
        <f t="shared" si="50"/>
        <v>15.000000000000002</v>
      </c>
      <c r="P24" s="571">
        <f t="shared" si="50"/>
        <v>15</v>
      </c>
      <c r="Q24" s="571">
        <f t="shared" si="50"/>
        <v>15.000000000000002</v>
      </c>
      <c r="R24" s="571">
        <f t="shared" ref="R24:T24" si="51">R23/24/R5*1000</f>
        <v>15.000000000000002</v>
      </c>
      <c r="S24" s="571">
        <f t="shared" ref="S24" si="52">S23/24/S5*1000</f>
        <v>15.000000000000002</v>
      </c>
      <c r="T24" s="571">
        <f t="shared" si="51"/>
        <v>15.000000000000002</v>
      </c>
      <c r="U24" s="571">
        <f t="shared" ref="U24:V24" si="53">U23/24/U5*1000</f>
        <v>15.000000000000002</v>
      </c>
      <c r="V24" s="571">
        <f t="shared" si="53"/>
        <v>15.000000000000002</v>
      </c>
      <c r="W24" s="571">
        <f t="shared" ref="W24:X24" si="54">W23/24/W5*1000</f>
        <v>15.000000000000002</v>
      </c>
      <c r="X24" s="571">
        <f t="shared" si="54"/>
        <v>15.000000000000002</v>
      </c>
      <c r="Y24" s="571">
        <f t="shared" ref="Y24:Z24" si="55">Y23/24/Y5*1000</f>
        <v>15.000000000000002</v>
      </c>
      <c r="Z24" s="571">
        <f t="shared" si="55"/>
        <v>15.000000000000002</v>
      </c>
      <c r="AA24" s="493"/>
      <c r="AB24" s="580" t="s">
        <v>207</v>
      </c>
    </row>
    <row r="25" spans="1:31">
      <c r="A25" s="568" t="s">
        <v>209</v>
      </c>
      <c r="B25" s="569" t="s">
        <v>179</v>
      </c>
      <c r="C25" s="570"/>
      <c r="D25" s="571">
        <f>D24*24</f>
        <v>0</v>
      </c>
      <c r="E25" s="564">
        <f t="shared" ref="E25:Q25" si="56">E24*24</f>
        <v>162.58064516129033</v>
      </c>
      <c r="F25" s="564">
        <f t="shared" si="56"/>
        <v>192</v>
      </c>
      <c r="G25" s="564">
        <f t="shared" si="56"/>
        <v>360.00000000000006</v>
      </c>
      <c r="H25" s="564">
        <f t="shared" si="56"/>
        <v>388.79999999999995</v>
      </c>
      <c r="I25" s="564">
        <f t="shared" si="56"/>
        <v>360.00000000000006</v>
      </c>
      <c r="J25" s="564">
        <f t="shared" si="56"/>
        <v>360.00000000000006</v>
      </c>
      <c r="K25" s="564">
        <f t="shared" si="56"/>
        <v>360.00000000000006</v>
      </c>
      <c r="L25" s="564">
        <f t="shared" si="56"/>
        <v>360.00000000000006</v>
      </c>
      <c r="M25" s="564">
        <f t="shared" si="56"/>
        <v>360.00000000000006</v>
      </c>
      <c r="N25" s="564">
        <f t="shared" si="56"/>
        <v>360.00000000000006</v>
      </c>
      <c r="O25" s="564">
        <f t="shared" si="56"/>
        <v>360.00000000000006</v>
      </c>
      <c r="P25" s="564">
        <f t="shared" si="56"/>
        <v>360</v>
      </c>
      <c r="Q25" s="564">
        <f t="shared" si="56"/>
        <v>360.00000000000006</v>
      </c>
      <c r="R25" s="564">
        <f t="shared" ref="R25:T25" si="57">R24*24</f>
        <v>360.00000000000006</v>
      </c>
      <c r="S25" s="564">
        <f t="shared" ref="S25" si="58">S24*24</f>
        <v>360.00000000000006</v>
      </c>
      <c r="T25" s="564">
        <f t="shared" si="57"/>
        <v>360.00000000000006</v>
      </c>
      <c r="U25" s="564">
        <f t="shared" ref="U25:V25" si="59">U24*24</f>
        <v>360.00000000000006</v>
      </c>
      <c r="V25" s="564">
        <f t="shared" si="59"/>
        <v>360.00000000000006</v>
      </c>
      <c r="W25" s="564">
        <f t="shared" ref="W25:X25" si="60">W24*24</f>
        <v>360.00000000000006</v>
      </c>
      <c r="X25" s="564">
        <f t="shared" si="60"/>
        <v>360.00000000000006</v>
      </c>
      <c r="Y25" s="564">
        <f t="shared" ref="Y25:Z25" si="61">Y24*24</f>
        <v>360.00000000000006</v>
      </c>
      <c r="Z25" s="564">
        <f t="shared" si="61"/>
        <v>360.00000000000006</v>
      </c>
      <c r="AA25" s="493"/>
      <c r="AB25" s="580"/>
    </row>
    <row r="26" spans="1:31" s="613" customFormat="1">
      <c r="A26" s="507" t="s">
        <v>173</v>
      </c>
      <c r="B26" s="608" t="s">
        <v>44</v>
      </c>
      <c r="C26" s="609"/>
      <c r="D26" s="610">
        <f>D28*24*D5</f>
        <v>0</v>
      </c>
      <c r="E26" s="610">
        <f t="shared" ref="E26:Q26" si="62">E28*24*E5</f>
        <v>5040</v>
      </c>
      <c r="F26" s="610">
        <f t="shared" si="62"/>
        <v>5760</v>
      </c>
      <c r="G26" s="610">
        <f t="shared" si="62"/>
        <v>11160.000000000002</v>
      </c>
      <c r="H26" s="610">
        <f>H28*24*H5</f>
        <v>11663.999999999998</v>
      </c>
      <c r="I26" s="610">
        <f t="shared" si="62"/>
        <v>8018.1260091102831</v>
      </c>
      <c r="J26" s="610">
        <f>J28*24*J5</f>
        <v>10529.650266699613</v>
      </c>
      <c r="K26" s="610">
        <f t="shared" si="62"/>
        <v>9694.8150363312634</v>
      </c>
      <c r="L26" s="610">
        <f t="shared" si="62"/>
        <v>9064.2201409036916</v>
      </c>
      <c r="M26" s="610">
        <f t="shared" si="62"/>
        <v>9544.7942398593877</v>
      </c>
      <c r="N26" s="610">
        <f t="shared" si="62"/>
        <v>9831.8928543349357</v>
      </c>
      <c r="O26" s="610">
        <f t="shared" si="62"/>
        <v>10221.977716103704</v>
      </c>
      <c r="P26" s="610">
        <f t="shared" si="62"/>
        <v>9091.1155999878629</v>
      </c>
      <c r="Q26" s="610">
        <f t="shared" si="62"/>
        <v>9933.0783546142702</v>
      </c>
      <c r="R26" s="610">
        <f t="shared" ref="R26:T26" si="63">R28*24*R5</f>
        <v>9589.408823304535</v>
      </c>
      <c r="S26" s="610">
        <f t="shared" ref="S26" si="64">S28*24*S5</f>
        <v>7145.0804801590357</v>
      </c>
      <c r="T26" s="610">
        <f t="shared" si="63"/>
        <v>8657.852741035249</v>
      </c>
      <c r="U26" s="610">
        <f t="shared" ref="U26:V26" si="65">U28*24*U5</f>
        <v>8946.4478324030897</v>
      </c>
      <c r="V26" s="610">
        <f t="shared" si="65"/>
        <v>8481.6227540331838</v>
      </c>
      <c r="W26" s="610">
        <f t="shared" ref="W26:X26" si="66">W28*24*W5</f>
        <v>9446.0185029436525</v>
      </c>
      <c r="X26" s="610">
        <f t="shared" si="66"/>
        <v>9760.8857863751091</v>
      </c>
      <c r="Y26" s="610">
        <f t="shared" ref="Y26:Z26" si="67">Y28*24*Y5</f>
        <v>9483.2956648061809</v>
      </c>
      <c r="Z26" s="610">
        <f t="shared" si="67"/>
        <v>9029.2122333511761</v>
      </c>
      <c r="AA26" s="611"/>
      <c r="AB26" s="612">
        <f>SUM(C26:N26)</f>
        <v>90307.498547239171</v>
      </c>
      <c r="AC26" s="612">
        <f>SUM(O26:Z26)</f>
        <v>109785.99648911705</v>
      </c>
    </row>
    <row r="27" spans="1:31">
      <c r="A27" s="488" t="s">
        <v>173</v>
      </c>
      <c r="B27" s="569" t="s">
        <v>43</v>
      </c>
      <c r="C27" s="570"/>
      <c r="D27" s="571">
        <f>D26/10^3</f>
        <v>0</v>
      </c>
      <c r="E27" s="571">
        <f t="shared" ref="E27:Q27" si="68">E26/10^3</f>
        <v>5.04</v>
      </c>
      <c r="F27" s="571">
        <f t="shared" si="68"/>
        <v>5.76</v>
      </c>
      <c r="G27" s="571">
        <f t="shared" si="68"/>
        <v>11.160000000000002</v>
      </c>
      <c r="H27" s="571">
        <f t="shared" si="68"/>
        <v>11.663999999999998</v>
      </c>
      <c r="I27" s="571">
        <f t="shared" si="68"/>
        <v>8.0181260091102828</v>
      </c>
      <c r="J27" s="571">
        <f t="shared" si="68"/>
        <v>10.529650266699614</v>
      </c>
      <c r="K27" s="571">
        <f t="shared" si="68"/>
        <v>9.6948150363312635</v>
      </c>
      <c r="L27" s="571">
        <f t="shared" si="68"/>
        <v>9.0642201409036911</v>
      </c>
      <c r="M27" s="571">
        <f t="shared" si="68"/>
        <v>9.544794239859387</v>
      </c>
      <c r="N27" s="571">
        <f t="shared" si="68"/>
        <v>9.8318928543349351</v>
      </c>
      <c r="O27" s="571">
        <f t="shared" si="68"/>
        <v>10.221977716103703</v>
      </c>
      <c r="P27" s="571">
        <f t="shared" si="68"/>
        <v>9.0911155999878623</v>
      </c>
      <c r="Q27" s="571">
        <f t="shared" si="68"/>
        <v>9.9330783546142705</v>
      </c>
      <c r="R27" s="571">
        <f t="shared" ref="R27:T27" si="69">R26/10^3</f>
        <v>9.5894088233045345</v>
      </c>
      <c r="S27" s="571">
        <f t="shared" ref="S27" si="70">S26/10^3</f>
        <v>7.1450804801590353</v>
      </c>
      <c r="T27" s="571">
        <f t="shared" si="69"/>
        <v>8.6578527410352493</v>
      </c>
      <c r="U27" s="571">
        <f t="shared" ref="U27:V27" si="71">U26/10^3</f>
        <v>8.9464478324030896</v>
      </c>
      <c r="V27" s="571">
        <f t="shared" si="71"/>
        <v>8.4816227540331841</v>
      </c>
      <c r="W27" s="571">
        <f t="shared" ref="W27:X27" si="72">W26/10^3</f>
        <v>9.4460185029436516</v>
      </c>
      <c r="X27" s="571">
        <f t="shared" si="72"/>
        <v>9.7608857863751091</v>
      </c>
      <c r="Y27" s="571">
        <f t="shared" ref="Y27:Z27" si="73">Y26/10^3</f>
        <v>9.4832956648061817</v>
      </c>
      <c r="Z27" s="571">
        <f t="shared" si="73"/>
        <v>9.029212233351176</v>
      </c>
      <c r="AA27" s="493"/>
      <c r="AB27" s="580"/>
    </row>
    <row r="28" spans="1:31">
      <c r="A28" s="470" t="s">
        <v>173</v>
      </c>
      <c r="B28" s="482" t="s">
        <v>166</v>
      </c>
      <c r="C28" s="566"/>
      <c r="D28" s="567">
        <f>D24</f>
        <v>0</v>
      </c>
      <c r="E28" s="567">
        <f t="shared" ref="E28:G28" si="74">E24</f>
        <v>6.774193548387097</v>
      </c>
      <c r="F28" s="567">
        <f t="shared" si="74"/>
        <v>8</v>
      </c>
      <c r="G28" s="567">
        <f t="shared" si="74"/>
        <v>15.000000000000002</v>
      </c>
      <c r="H28" s="567">
        <f>H24</f>
        <v>16.2</v>
      </c>
      <c r="I28" s="567">
        <f>I24+I19</f>
        <v>10.777051087513822</v>
      </c>
      <c r="J28" s="567">
        <f t="shared" ref="J28:Q28" si="75">J24+J19</f>
        <v>14.152755734811308</v>
      </c>
      <c r="K28" s="567">
        <f t="shared" si="75"/>
        <v>13.465020883793422</v>
      </c>
      <c r="L28" s="567">
        <f>L24+L19</f>
        <v>12.183091587236143</v>
      </c>
      <c r="M28" s="567">
        <f t="shared" si="75"/>
        <v>13.256658666471372</v>
      </c>
      <c r="N28" s="567">
        <f t="shared" si="75"/>
        <v>13.214909750450182</v>
      </c>
      <c r="O28" s="567">
        <f t="shared" si="75"/>
        <v>13.739217360354441</v>
      </c>
      <c r="P28" s="567">
        <f t="shared" si="75"/>
        <v>13.528445833315272</v>
      </c>
      <c r="Q28" s="567">
        <f t="shared" si="75"/>
        <v>13.350911766954665</v>
      </c>
      <c r="R28" s="567">
        <f t="shared" ref="R28:T28" si="76">R24+R19</f>
        <v>13.318623365700743</v>
      </c>
      <c r="S28" s="567">
        <f t="shared" ref="S28" si="77">S24+S19</f>
        <v>9.603602795912682</v>
      </c>
      <c r="T28" s="567">
        <f t="shared" si="76"/>
        <v>12.024795473660067</v>
      </c>
      <c r="U28" s="567">
        <f t="shared" ref="U28:V28" si="78">U24+U19</f>
        <v>12.024795473660065</v>
      </c>
      <c r="V28" s="567">
        <f t="shared" si="78"/>
        <v>11.400030583377937</v>
      </c>
      <c r="W28" s="567">
        <f t="shared" ref="W28:X28" si="79">W24+W19</f>
        <v>13.119470142977294</v>
      </c>
      <c r="X28" s="567">
        <f t="shared" si="79"/>
        <v>13.119470142977296</v>
      </c>
      <c r="Y28" s="567">
        <f t="shared" ref="Y28:Z28" si="80">Y24+Y19</f>
        <v>13.171243978897476</v>
      </c>
      <c r="Z28" s="567">
        <f t="shared" si="80"/>
        <v>12.136037948052655</v>
      </c>
      <c r="AA28" s="493"/>
      <c r="AB28" s="580"/>
    </row>
    <row r="29" spans="1:31">
      <c r="A29" s="470" t="s">
        <v>173</v>
      </c>
      <c r="B29" s="482" t="s">
        <v>179</v>
      </c>
      <c r="C29" s="591">
        <f>C28*24</f>
        <v>0</v>
      </c>
      <c r="D29" s="591">
        <f>D28*24</f>
        <v>0</v>
      </c>
      <c r="E29" s="591">
        <f t="shared" ref="E29:R29" si="81">E28*24</f>
        <v>162.58064516129033</v>
      </c>
      <c r="F29" s="591">
        <f t="shared" si="81"/>
        <v>192</v>
      </c>
      <c r="G29" s="591">
        <f t="shared" si="81"/>
        <v>360.00000000000006</v>
      </c>
      <c r="H29" s="591">
        <f t="shared" si="81"/>
        <v>388.79999999999995</v>
      </c>
      <c r="I29" s="591">
        <f t="shared" si="81"/>
        <v>258.6492261003317</v>
      </c>
      <c r="J29" s="591">
        <f t="shared" si="81"/>
        <v>339.66613763547139</v>
      </c>
      <c r="K29" s="591">
        <f t="shared" si="81"/>
        <v>323.16050121104212</v>
      </c>
      <c r="L29" s="591">
        <f t="shared" si="81"/>
        <v>292.39419809366746</v>
      </c>
      <c r="M29" s="591">
        <f t="shared" si="81"/>
        <v>318.15980799531292</v>
      </c>
      <c r="N29" s="591">
        <f t="shared" si="81"/>
        <v>317.15783401080438</v>
      </c>
      <c r="O29" s="591">
        <f t="shared" si="81"/>
        <v>329.74121664850657</v>
      </c>
      <c r="P29" s="591">
        <f t="shared" si="81"/>
        <v>324.68269999956652</v>
      </c>
      <c r="Q29" s="591">
        <f t="shared" si="81"/>
        <v>320.42188240691195</v>
      </c>
      <c r="R29" s="591">
        <f t="shared" si="81"/>
        <v>319.64696077681782</v>
      </c>
      <c r="S29" s="591">
        <f t="shared" ref="S29:T29" si="82">S28*24</f>
        <v>230.48646710190437</v>
      </c>
      <c r="T29" s="591">
        <f t="shared" si="82"/>
        <v>288.59509136784163</v>
      </c>
      <c r="U29" s="591">
        <f t="shared" ref="U29:V29" si="83">U28*24</f>
        <v>288.59509136784158</v>
      </c>
      <c r="V29" s="591">
        <f t="shared" si="83"/>
        <v>273.60073400107046</v>
      </c>
      <c r="W29" s="591">
        <f t="shared" ref="W29:X29" si="84">W28*24</f>
        <v>314.86728343145506</v>
      </c>
      <c r="X29" s="591">
        <f t="shared" si="84"/>
        <v>314.86728343145512</v>
      </c>
      <c r="Y29" s="591">
        <f t="shared" ref="Y29:Z29" si="85">Y28*24</f>
        <v>316.10985549353938</v>
      </c>
      <c r="Z29" s="591">
        <f t="shared" si="85"/>
        <v>291.26491075326373</v>
      </c>
      <c r="AA29" s="493"/>
      <c r="AB29" s="580"/>
    </row>
    <row r="30" spans="1:31">
      <c r="A30" s="470"/>
      <c r="B30" s="482"/>
      <c r="C30" s="566"/>
      <c r="D30" s="567"/>
      <c r="E30" s="567"/>
      <c r="F30" s="567"/>
      <c r="G30" s="567"/>
      <c r="H30" s="567"/>
      <c r="I30" s="567"/>
      <c r="J30" s="567"/>
      <c r="K30" s="567"/>
      <c r="L30" s="567"/>
      <c r="M30" s="567"/>
      <c r="N30" s="567"/>
      <c r="O30" s="567"/>
      <c r="P30" s="567"/>
      <c r="Q30" s="567"/>
      <c r="R30" s="567"/>
      <c r="S30" s="567"/>
      <c r="T30" s="567"/>
      <c r="U30" s="567"/>
      <c r="V30" s="567"/>
      <c r="W30" s="567"/>
      <c r="X30" s="567"/>
      <c r="Y30" s="567"/>
      <c r="Z30" s="567"/>
      <c r="AA30" s="493"/>
      <c r="AB30" s="580"/>
    </row>
    <row r="31" spans="1:31">
      <c r="A31" s="472" t="s">
        <v>170</v>
      </c>
      <c r="B31" s="472" t="s">
        <v>72</v>
      </c>
      <c r="C31" s="473">
        <f>C12</f>
        <v>0</v>
      </c>
      <c r="D31" s="473">
        <f>D6</f>
        <v>44229</v>
      </c>
      <c r="E31" s="473">
        <f t="shared" ref="E31:Q31" si="86">E6</f>
        <v>44257</v>
      </c>
      <c r="F31" s="473">
        <f t="shared" si="86"/>
        <v>44288</v>
      </c>
      <c r="G31" s="473">
        <f t="shared" si="86"/>
        <v>44318</v>
      </c>
      <c r="H31" s="473">
        <f t="shared" si="86"/>
        <v>44349</v>
      </c>
      <c r="I31" s="473">
        <f t="shared" si="86"/>
        <v>44379</v>
      </c>
      <c r="J31" s="473">
        <f t="shared" si="86"/>
        <v>44410</v>
      </c>
      <c r="K31" s="473">
        <f t="shared" si="86"/>
        <v>44441</v>
      </c>
      <c r="L31" s="474">
        <f t="shared" si="86"/>
        <v>44471</v>
      </c>
      <c r="M31" s="474">
        <f t="shared" si="86"/>
        <v>44502</v>
      </c>
      <c r="N31" s="474">
        <f t="shared" si="86"/>
        <v>44532</v>
      </c>
      <c r="O31" s="474">
        <f t="shared" si="86"/>
        <v>44563</v>
      </c>
      <c r="P31" s="474">
        <f t="shared" si="86"/>
        <v>44594</v>
      </c>
      <c r="Q31" s="474">
        <f t="shared" si="86"/>
        <v>44622</v>
      </c>
      <c r="R31" s="474">
        <f t="shared" ref="R31:T31" si="87">R6</f>
        <v>44653</v>
      </c>
      <c r="S31" s="474">
        <f t="shared" ref="S31" si="88">S6</f>
        <v>44683</v>
      </c>
      <c r="T31" s="474">
        <f t="shared" si="87"/>
        <v>44714</v>
      </c>
      <c r="U31" s="474">
        <f t="shared" ref="U31:V31" si="89">U6</f>
        <v>44744</v>
      </c>
      <c r="V31" s="474">
        <f t="shared" si="89"/>
        <v>44775</v>
      </c>
      <c r="W31" s="474">
        <f t="shared" ref="W31:X31" si="90">W6</f>
        <v>44806</v>
      </c>
      <c r="X31" s="474">
        <f t="shared" si="90"/>
        <v>44836</v>
      </c>
      <c r="Y31" s="474">
        <f t="shared" ref="Y31:Z31" si="91">Y6</f>
        <v>44867</v>
      </c>
      <c r="Z31" s="474">
        <f t="shared" si="91"/>
        <v>44897</v>
      </c>
      <c r="AA31" s="493"/>
      <c r="AB31" s="580"/>
    </row>
    <row r="32" spans="1:31">
      <c r="A32" s="574" t="s">
        <v>174</v>
      </c>
      <c r="B32" s="565" t="s">
        <v>44</v>
      </c>
      <c r="C32" s="592"/>
      <c r="D32" s="593">
        <f>D37*24*D5</f>
        <v>43424.83738256478</v>
      </c>
      <c r="E32" s="593">
        <f t="shared" ref="E32:Q32" si="92">E37*24*E5</f>
        <v>44808</v>
      </c>
      <c r="F32" s="593">
        <f t="shared" si="92"/>
        <v>39694.103448275862</v>
      </c>
      <c r="G32" s="593">
        <f t="shared" si="92"/>
        <v>37315.999999999993</v>
      </c>
      <c r="H32" s="593">
        <f>H37*24*H5</f>
        <v>35689.999999999993</v>
      </c>
      <c r="I32" s="644">
        <f>I37*24*I5</f>
        <v>39294.115293820854</v>
      </c>
      <c r="J32" s="593">
        <f t="shared" si="92"/>
        <v>35158.901457438289</v>
      </c>
      <c r="K32" s="671">
        <f>K37*24*K5</f>
        <v>36557.426342979088</v>
      </c>
      <c r="L32" s="593">
        <f>L37*24*L5</f>
        <v>38970.779859096307</v>
      </c>
      <c r="M32" s="593">
        <f t="shared" si="92"/>
        <v>36660.205760140612</v>
      </c>
      <c r="N32" s="593">
        <f t="shared" si="92"/>
        <v>32786.727835320227</v>
      </c>
      <c r="O32" s="593">
        <f t="shared" si="92"/>
        <v>37828.022283896287</v>
      </c>
      <c r="P32" s="593">
        <f t="shared" si="92"/>
        <v>33381.987848288001</v>
      </c>
      <c r="Q32" s="593">
        <f t="shared" si="92"/>
        <v>33424.163024696092</v>
      </c>
      <c r="R32" s="593">
        <f t="shared" ref="R32:T32" si="93">R37*24*R5</f>
        <v>33983.004969798938</v>
      </c>
      <c r="S32" s="593">
        <f t="shared" ref="S32" si="94">S37*24*S5</f>
        <v>31316.988485358186</v>
      </c>
      <c r="T32" s="593">
        <f t="shared" si="93"/>
        <v>20390.423121033691</v>
      </c>
      <c r="U32" s="593">
        <f t="shared" ref="U32:V32" si="95">U37*24*U5</f>
        <v>21070.103891734816</v>
      </c>
      <c r="V32" s="593">
        <f t="shared" si="95"/>
        <v>20701.135866656448</v>
      </c>
      <c r="W32" s="593">
        <f t="shared" ref="W32:X32" si="96">W37*24*W5</f>
        <v>36547.084945332208</v>
      </c>
      <c r="X32" s="593">
        <f t="shared" si="96"/>
        <v>37765.321110176621</v>
      </c>
      <c r="Y32" s="593">
        <f t="shared" ref="Y32:Z32" si="97">Y37*24*Y5</f>
        <v>36509.807783469674</v>
      </c>
      <c r="Z32" s="593">
        <f t="shared" si="97"/>
        <v>29900.442939062621</v>
      </c>
      <c r="AA32" s="758" t="s">
        <v>242</v>
      </c>
      <c r="AB32" s="758"/>
    </row>
    <row r="33" spans="1:28">
      <c r="A33" s="574" t="s">
        <v>175</v>
      </c>
      <c r="B33" s="565" t="s">
        <v>44</v>
      </c>
      <c r="C33" s="592"/>
      <c r="D33" s="593">
        <f>D38*24*D5</f>
        <v>138815.95722171455</v>
      </c>
      <c r="E33" s="593">
        <f t="shared" ref="E33:Q33" si="98">E38*24*E5</f>
        <v>154082.8021064302</v>
      </c>
      <c r="F33" s="593">
        <f t="shared" si="98"/>
        <v>138925.59090909088</v>
      </c>
      <c r="G33" s="593">
        <f t="shared" si="98"/>
        <v>155138.00000000006</v>
      </c>
      <c r="H33" s="593">
        <f t="shared" si="98"/>
        <v>148908</v>
      </c>
      <c r="I33" s="593">
        <f>I38*24*I5</f>
        <v>99686.735530757374</v>
      </c>
      <c r="J33" s="593">
        <f t="shared" si="98"/>
        <v>147355.03649868831</v>
      </c>
      <c r="K33" s="593">
        <f>K38*24*K5</f>
        <v>131486.03428676279</v>
      </c>
      <c r="L33" s="593">
        <f>L38*24*L5</f>
        <v>118142.36924990096</v>
      </c>
      <c r="M33" s="593">
        <f t="shared" si="98"/>
        <v>128782.89439742209</v>
      </c>
      <c r="N33" s="593">
        <f t="shared" si="98"/>
        <v>137632.7483064853</v>
      </c>
      <c r="O33" s="593">
        <f t="shared" si="98"/>
        <v>139352.9247952346</v>
      </c>
      <c r="P33" s="593">
        <f t="shared" si="98"/>
        <v>124197.34921816828</v>
      </c>
      <c r="Q33" s="593">
        <f t="shared" si="98"/>
        <v>138749.19512195123</v>
      </c>
      <c r="R33" s="593">
        <f t="shared" ref="R33:T33" si="99">R38*24*R5</f>
        <v>132233.41463414632</v>
      </c>
      <c r="S33" s="775">
        <f t="shared" ref="S33" si="100">S38*24*S5</f>
        <v>92531.073170731732</v>
      </c>
      <c r="T33" s="775">
        <f t="shared" si="99"/>
        <v>129679.02439024391</v>
      </c>
      <c r="U33" s="593">
        <f t="shared" ref="U33:V33" si="101">U38*24*U5</f>
        <v>134001.65853658534</v>
      </c>
      <c r="V33" s="593">
        <f t="shared" si="101"/>
        <v>126313.6585365854</v>
      </c>
      <c r="W33" s="593">
        <f t="shared" ref="W33:X33" si="102">W38*24*W5</f>
        <v>127183.9024390244</v>
      </c>
      <c r="X33" s="593">
        <f t="shared" si="102"/>
        <v>131423.36585365856</v>
      </c>
      <c r="Y33" s="593">
        <f t="shared" ref="Y33:Z33" si="103">Y38*24*Y5</f>
        <v>127867.31707317078</v>
      </c>
      <c r="Z33" s="593">
        <f t="shared" si="103"/>
        <v>126605.9024390244</v>
      </c>
      <c r="AA33" s="493"/>
      <c r="AB33" s="580"/>
    </row>
    <row r="34" spans="1:28">
      <c r="A34" s="574" t="s">
        <v>199</v>
      </c>
      <c r="B34" s="595" t="s">
        <v>44</v>
      </c>
      <c r="C34" s="592"/>
      <c r="D34" s="593"/>
      <c r="E34" s="594">
        <f>E32+E33</f>
        <v>198890.8021064302</v>
      </c>
      <c r="F34" s="594">
        <f t="shared" ref="F34:Q34" si="104">F32+F33</f>
        <v>178619.69435736674</v>
      </c>
      <c r="G34" s="594">
        <f t="shared" si="104"/>
        <v>192454.00000000006</v>
      </c>
      <c r="H34" s="594">
        <f t="shared" si="104"/>
        <v>184598</v>
      </c>
      <c r="I34" s="594">
        <f>I32+I33</f>
        <v>138980.85082457823</v>
      </c>
      <c r="J34" s="594">
        <f t="shared" si="104"/>
        <v>182513.93795612658</v>
      </c>
      <c r="K34" s="594">
        <f t="shared" si="104"/>
        <v>168043.46062974189</v>
      </c>
      <c r="L34" s="594">
        <f>L32+L33</f>
        <v>157113.14910899726</v>
      </c>
      <c r="M34" s="594">
        <f t="shared" si="104"/>
        <v>165443.1001575627</v>
      </c>
      <c r="N34" s="594">
        <f t="shared" si="104"/>
        <v>170419.47614180553</v>
      </c>
      <c r="O34" s="594">
        <f t="shared" si="104"/>
        <v>177180.94707913088</v>
      </c>
      <c r="P34" s="594">
        <f t="shared" si="104"/>
        <v>157579.33706645627</v>
      </c>
      <c r="Q34" s="594">
        <f t="shared" si="104"/>
        <v>172173.35814664731</v>
      </c>
      <c r="R34" s="594">
        <f t="shared" ref="R34:T34" si="105">R32+R33</f>
        <v>166216.41960394525</v>
      </c>
      <c r="S34" s="594">
        <f t="shared" ref="S34" si="106">S32+S33</f>
        <v>123848.06165608992</v>
      </c>
      <c r="T34" s="594">
        <f t="shared" si="105"/>
        <v>150069.4475112776</v>
      </c>
      <c r="U34" s="594">
        <f t="shared" ref="U34:V34" si="107">U32+U33</f>
        <v>155071.76242832016</v>
      </c>
      <c r="V34" s="594">
        <f t="shared" si="107"/>
        <v>147014.79440324183</v>
      </c>
      <c r="W34" s="594">
        <f t="shared" ref="W34:X34" si="108">W32+W33</f>
        <v>163730.98738435662</v>
      </c>
      <c r="X34" s="594">
        <f t="shared" si="108"/>
        <v>169188.68696383518</v>
      </c>
      <c r="Y34" s="594">
        <f t="shared" ref="Y34:Z34" si="109">Y32+Y33</f>
        <v>164377.12485664047</v>
      </c>
      <c r="Z34" s="594">
        <f t="shared" si="109"/>
        <v>156506.34537808702</v>
      </c>
      <c r="AA34" s="493">
        <v>160000</v>
      </c>
      <c r="AB34" s="493">
        <v>160000</v>
      </c>
    </row>
    <row r="35" spans="1:28">
      <c r="A35" s="488" t="s">
        <v>174</v>
      </c>
      <c r="B35" s="569" t="s">
        <v>43</v>
      </c>
      <c r="C35" s="570"/>
      <c r="D35" s="575">
        <f t="shared" ref="D35:Q35" si="110">D32/1000</f>
        <v>43.424837382564782</v>
      </c>
      <c r="E35" s="575">
        <f t="shared" si="110"/>
        <v>44.808</v>
      </c>
      <c r="F35" s="575">
        <f t="shared" si="110"/>
        <v>39.694103448275861</v>
      </c>
      <c r="G35" s="575">
        <f t="shared" si="110"/>
        <v>37.315999999999995</v>
      </c>
      <c r="H35" s="575">
        <f t="shared" si="110"/>
        <v>35.689999999999991</v>
      </c>
      <c r="I35" s="575">
        <f t="shared" si="110"/>
        <v>39.294115293820852</v>
      </c>
      <c r="J35" s="575">
        <f t="shared" si="110"/>
        <v>35.15890145743829</v>
      </c>
      <c r="K35" s="575">
        <f t="shared" si="110"/>
        <v>36.557426342979085</v>
      </c>
      <c r="L35" s="575">
        <f>L32/1000</f>
        <v>38.970779859096304</v>
      </c>
      <c r="M35" s="575">
        <f t="shared" si="110"/>
        <v>36.660205760140613</v>
      </c>
      <c r="N35" s="575">
        <f t="shared" si="110"/>
        <v>32.786727835320228</v>
      </c>
      <c r="O35" s="575">
        <f t="shared" si="110"/>
        <v>37.828022283896289</v>
      </c>
      <c r="P35" s="575">
        <f t="shared" si="110"/>
        <v>33.381987848287999</v>
      </c>
      <c r="Q35" s="575">
        <f t="shared" si="110"/>
        <v>33.424163024696092</v>
      </c>
      <c r="R35" s="575">
        <f t="shared" ref="R35:T35" si="111">R32/1000</f>
        <v>33.983004969798941</v>
      </c>
      <c r="S35" s="575">
        <f t="shared" ref="S35" si="112">S32/1000</f>
        <v>31.316988485358188</v>
      </c>
      <c r="T35" s="575">
        <f t="shared" si="111"/>
        <v>20.390423121033692</v>
      </c>
      <c r="U35" s="575">
        <f t="shared" ref="U35:V35" si="113">U32/1000</f>
        <v>21.070103891734817</v>
      </c>
      <c r="V35" s="575">
        <f t="shared" si="113"/>
        <v>20.701135866656447</v>
      </c>
      <c r="W35" s="575">
        <f t="shared" ref="W35:X35" si="114">W32/1000</f>
        <v>36.547084945332209</v>
      </c>
      <c r="X35" s="575">
        <f t="shared" si="114"/>
        <v>37.765321110176622</v>
      </c>
      <c r="Y35" s="575">
        <f t="shared" ref="Y35:Z35" si="115">Y32/1000</f>
        <v>36.509807783469675</v>
      </c>
      <c r="Z35" s="575">
        <f t="shared" si="115"/>
        <v>29.900442939062621</v>
      </c>
      <c r="AA35" s="493"/>
      <c r="AB35" s="705">
        <f>200-13</f>
        <v>187</v>
      </c>
    </row>
    <row r="36" spans="1:28">
      <c r="A36" s="488" t="s">
        <v>175</v>
      </c>
      <c r="B36" s="569" t="s">
        <v>43</v>
      </c>
      <c r="D36" s="564">
        <f t="shared" ref="D36:Q36" si="116">D33/1000</f>
        <v>138.81595722171454</v>
      </c>
      <c r="E36" s="564">
        <f t="shared" si="116"/>
        <v>154.08280210643019</v>
      </c>
      <c r="F36" s="564">
        <f t="shared" si="116"/>
        <v>138.92559090909089</v>
      </c>
      <c r="G36" s="564">
        <f t="shared" si="116"/>
        <v>155.13800000000006</v>
      </c>
      <c r="H36" s="564">
        <f t="shared" si="116"/>
        <v>148.90799999999999</v>
      </c>
      <c r="I36" s="564">
        <f t="shared" si="116"/>
        <v>99.686735530757375</v>
      </c>
      <c r="J36" s="564">
        <f t="shared" si="116"/>
        <v>147.35503649868832</v>
      </c>
      <c r="K36" s="564">
        <f t="shared" si="116"/>
        <v>131.48603428676279</v>
      </c>
      <c r="L36" s="564">
        <f t="shared" si="116"/>
        <v>118.14236924990097</v>
      </c>
      <c r="M36" s="564">
        <f t="shared" si="116"/>
        <v>128.7828943974221</v>
      </c>
      <c r="N36" s="564">
        <f t="shared" si="116"/>
        <v>137.6327483064853</v>
      </c>
      <c r="O36" s="564">
        <f t="shared" si="116"/>
        <v>139.3529247952346</v>
      </c>
      <c r="P36" s="564">
        <f t="shared" si="116"/>
        <v>124.19734921816828</v>
      </c>
      <c r="Q36" s="564">
        <f t="shared" si="116"/>
        <v>138.74919512195123</v>
      </c>
      <c r="R36" s="564">
        <f t="shared" ref="R36:T36" si="117">R33/1000</f>
        <v>132.23341463414633</v>
      </c>
      <c r="S36" s="564">
        <f t="shared" ref="S36" si="118">S33/1000</f>
        <v>92.53107317073173</v>
      </c>
      <c r="T36" s="564">
        <f t="shared" si="117"/>
        <v>129.67902439024391</v>
      </c>
      <c r="U36" s="564">
        <f t="shared" ref="U36:V36" si="119">U33/1000</f>
        <v>134.00165853658535</v>
      </c>
      <c r="V36" s="564">
        <f t="shared" si="119"/>
        <v>126.31365853658539</v>
      </c>
      <c r="W36" s="564">
        <f t="shared" ref="W36:X36" si="120">W33/1000</f>
        <v>127.18390243902441</v>
      </c>
      <c r="X36" s="564">
        <f t="shared" si="120"/>
        <v>131.42336585365857</v>
      </c>
      <c r="Y36" s="564">
        <f t="shared" ref="Y36:Z36" si="121">Y33/1000</f>
        <v>127.86731707317078</v>
      </c>
      <c r="Z36" s="564">
        <f t="shared" si="121"/>
        <v>126.6059024390244</v>
      </c>
      <c r="AA36" s="493"/>
      <c r="AB36" s="211"/>
    </row>
    <row r="37" spans="1:28">
      <c r="A37" s="574" t="s">
        <v>174</v>
      </c>
      <c r="B37" s="565" t="s">
        <v>166</v>
      </c>
      <c r="C37" s="489"/>
      <c r="D37" s="563">
        <f t="shared" ref="D37:Q37" si="122">D10-D28</f>
        <v>64.620293724054733</v>
      </c>
      <c r="E37" s="563">
        <f t="shared" si="122"/>
        <v>60.225806451612904</v>
      </c>
      <c r="F37" s="563">
        <f t="shared" si="122"/>
        <v>55.130699233716477</v>
      </c>
      <c r="G37" s="563">
        <f t="shared" si="122"/>
        <v>50.15591397849461</v>
      </c>
      <c r="H37" s="563">
        <f>H10-H28</f>
        <v>49.569444444444443</v>
      </c>
      <c r="I37" s="563">
        <f>I10-I28</f>
        <v>52.814671093845234</v>
      </c>
      <c r="J37" s="563">
        <f t="shared" si="122"/>
        <v>47.25658798042781</v>
      </c>
      <c r="K37" s="563">
        <f t="shared" si="122"/>
        <v>50.774203254137625</v>
      </c>
      <c r="L37" s="563">
        <f>L10-L28</f>
        <v>52.38008045577461</v>
      </c>
      <c r="M37" s="563">
        <f t="shared" si="122"/>
        <v>50.91695244463974</v>
      </c>
      <c r="N37" s="563">
        <f t="shared" si="122"/>
        <v>44.068182574355149</v>
      </c>
      <c r="O37" s="563">
        <f t="shared" si="122"/>
        <v>50.844115972978884</v>
      </c>
      <c r="P37" s="563">
        <f t="shared" si="122"/>
        <v>49.675577155190474</v>
      </c>
      <c r="Q37" s="563">
        <f t="shared" si="122"/>
        <v>44.924950302010878</v>
      </c>
      <c r="R37" s="563">
        <f t="shared" ref="R37:T37" si="123">R10-R28</f>
        <v>47.198618013609632</v>
      </c>
      <c r="S37" s="563">
        <f t="shared" ref="S37" si="124">S10-S28</f>
        <v>42.092726458814766</v>
      </c>
      <c r="T37" s="563">
        <f t="shared" si="123"/>
        <v>28.320032112546794</v>
      </c>
      <c r="U37" s="563">
        <f t="shared" ref="U37:V37" si="125">U10-U28</f>
        <v>28.320032112546798</v>
      </c>
      <c r="V37" s="563">
        <f t="shared" si="125"/>
        <v>27.824107347656518</v>
      </c>
      <c r="W37" s="563">
        <f t="shared" ref="W37:X37" si="126">W10-W28</f>
        <v>50.759840201850288</v>
      </c>
      <c r="X37" s="563">
        <f t="shared" si="126"/>
        <v>50.759840201850295</v>
      </c>
      <c r="Y37" s="563">
        <f t="shared" ref="Y37:Z37" si="127">Y10-Y28</f>
        <v>50.708066365930108</v>
      </c>
      <c r="Z37" s="563">
        <f t="shared" si="127"/>
        <v>40.188767391213197</v>
      </c>
      <c r="AA37" s="493"/>
      <c r="AB37" s="211"/>
    </row>
    <row r="38" spans="1:28">
      <c r="A38" s="574" t="s">
        <v>175</v>
      </c>
      <c r="B38" s="565" t="s">
        <v>166</v>
      </c>
      <c r="C38" s="489"/>
      <c r="D38" s="563">
        <f>D8-D10</f>
        <v>206.57136491326568</v>
      </c>
      <c r="E38" s="563">
        <f t="shared" ref="E38:Q38" si="128">E8-E10</f>
        <v>207.10054046563198</v>
      </c>
      <c r="F38" s="563">
        <f t="shared" si="128"/>
        <v>192.95220959595957</v>
      </c>
      <c r="G38" s="563">
        <f t="shared" si="128"/>
        <v>208.51881720430111</v>
      </c>
      <c r="H38" s="563">
        <f t="shared" si="128"/>
        <v>206.81666666666666</v>
      </c>
      <c r="I38" s="563">
        <f t="shared" si="128"/>
        <v>133.98754775639432</v>
      </c>
      <c r="J38" s="563">
        <f t="shared" si="128"/>
        <v>198.05784475630151</v>
      </c>
      <c r="K38" s="563">
        <f t="shared" si="128"/>
        <v>182.6194920649483</v>
      </c>
      <c r="L38" s="563">
        <f>L8-L10</f>
        <v>158.7935070563185</v>
      </c>
      <c r="M38" s="563">
        <f t="shared" si="128"/>
        <v>178.86513110753069</v>
      </c>
      <c r="N38" s="563">
        <f t="shared" si="128"/>
        <v>184.99025310011464</v>
      </c>
      <c r="O38" s="563">
        <f t="shared" si="128"/>
        <v>187.30231827316476</v>
      </c>
      <c r="P38" s="563">
        <f t="shared" si="128"/>
        <v>184.81748395560757</v>
      </c>
      <c r="Q38" s="563">
        <f t="shared" si="128"/>
        <v>186.49085365853659</v>
      </c>
      <c r="R38" s="563">
        <f t="shared" ref="R38:T38" si="129">R8-R10</f>
        <v>183.65752032520322</v>
      </c>
      <c r="S38" s="563">
        <f t="shared" ref="S38" si="130">S8-S10</f>
        <v>124.36972200367167</v>
      </c>
      <c r="T38" s="563">
        <f t="shared" si="129"/>
        <v>180.10975609756099</v>
      </c>
      <c r="U38" s="563">
        <f t="shared" ref="U38:V38" si="131">U8-U10</f>
        <v>180.10975609756096</v>
      </c>
      <c r="V38" s="563">
        <f t="shared" si="131"/>
        <v>169.7764227642277</v>
      </c>
      <c r="W38" s="563">
        <f t="shared" ref="W38:X38" si="132">W8-W10</f>
        <v>176.64430894308944</v>
      </c>
      <c r="X38" s="563">
        <f t="shared" si="132"/>
        <v>176.64430894308947</v>
      </c>
      <c r="Y38" s="563">
        <f t="shared" ref="Y38:Z38" si="133">Y8-Y10</f>
        <v>177.59349593495944</v>
      </c>
      <c r="Z38" s="563">
        <f t="shared" si="133"/>
        <v>170.16922370836613</v>
      </c>
      <c r="AA38" s="493"/>
      <c r="AB38" s="211"/>
    </row>
    <row r="39" spans="1:28">
      <c r="A39" s="568" t="s">
        <v>196</v>
      </c>
      <c r="B39" s="569" t="s">
        <v>166</v>
      </c>
      <c r="C39" s="570"/>
      <c r="D39" s="564">
        <f>D37+D38</f>
        <v>271.19165863732042</v>
      </c>
      <c r="E39" s="564">
        <f t="shared" ref="E39:P39" si="134">E37+E38</f>
        <v>267.3263469172449</v>
      </c>
      <c r="F39" s="564">
        <f t="shared" si="134"/>
        <v>248.08290882967606</v>
      </c>
      <c r="G39" s="564">
        <f t="shared" si="134"/>
        <v>258.67473118279571</v>
      </c>
      <c r="H39" s="564">
        <f t="shared" si="134"/>
        <v>256.38611111111112</v>
      </c>
      <c r="I39" s="564">
        <f t="shared" si="134"/>
        <v>186.80221885023957</v>
      </c>
      <c r="J39" s="564">
        <f t="shared" si="134"/>
        <v>245.31443273672932</v>
      </c>
      <c r="K39" s="564">
        <f t="shared" si="134"/>
        <v>233.39369531908594</v>
      </c>
      <c r="L39" s="564">
        <f t="shared" si="134"/>
        <v>211.17358751209312</v>
      </c>
      <c r="M39" s="564">
        <f t="shared" si="134"/>
        <v>229.78208355217043</v>
      </c>
      <c r="N39" s="564">
        <f t="shared" si="134"/>
        <v>229.05843567446979</v>
      </c>
      <c r="O39" s="564">
        <f t="shared" si="134"/>
        <v>238.14643424614366</v>
      </c>
      <c r="P39" s="564">
        <f t="shared" si="134"/>
        <v>234.49306111079804</v>
      </c>
      <c r="Q39" s="564">
        <f t="shared" ref="Q39:V39" si="135">Q37+Q38</f>
        <v>231.41580396054746</v>
      </c>
      <c r="R39" s="564">
        <f t="shared" si="135"/>
        <v>230.85613833881285</v>
      </c>
      <c r="S39" s="564">
        <f t="shared" si="135"/>
        <v>166.46244846248644</v>
      </c>
      <c r="T39" s="564">
        <f t="shared" si="135"/>
        <v>208.42978821010777</v>
      </c>
      <c r="U39" s="564">
        <f t="shared" si="135"/>
        <v>208.42978821010774</v>
      </c>
      <c r="V39" s="564">
        <f t="shared" si="135"/>
        <v>197.60053011188421</v>
      </c>
      <c r="W39" s="564">
        <f t="shared" ref="W39:X39" si="136">W37+W38</f>
        <v>227.40414914493974</v>
      </c>
      <c r="X39" s="564">
        <f t="shared" si="136"/>
        <v>227.40414914493977</v>
      </c>
      <c r="Y39" s="564">
        <f t="shared" ref="Y39:Z39" si="137">Y37+Y38</f>
        <v>228.30156230088954</v>
      </c>
      <c r="Z39" s="564">
        <f t="shared" si="137"/>
        <v>210.35799109957932</v>
      </c>
      <c r="AA39" s="493"/>
      <c r="AB39" s="211"/>
    </row>
    <row r="40" spans="1:28">
      <c r="A40" s="568"/>
      <c r="B40" s="569"/>
      <c r="C40" s="570"/>
      <c r="D40" s="564"/>
      <c r="E40" s="564"/>
      <c r="F40" s="564"/>
      <c r="G40" s="564"/>
      <c r="H40" s="564"/>
      <c r="I40" s="564"/>
      <c r="J40" s="564"/>
      <c r="K40" s="564"/>
      <c r="L40" s="564"/>
      <c r="M40" s="564"/>
      <c r="N40" s="564"/>
      <c r="O40" s="564"/>
      <c r="P40" s="564"/>
      <c r="Q40" s="564"/>
      <c r="R40" s="564"/>
      <c r="S40" s="564"/>
      <c r="T40" s="564"/>
      <c r="U40" s="564"/>
      <c r="V40" s="564"/>
      <c r="W40" s="564"/>
      <c r="X40" s="564"/>
      <c r="Y40" s="564"/>
      <c r="Z40" s="564"/>
      <c r="AA40" s="493"/>
      <c r="AB40" s="211"/>
    </row>
    <row r="41" spans="1:28">
      <c r="A41" s="581" t="s">
        <v>197</v>
      </c>
      <c r="B41" s="582" t="s">
        <v>43</v>
      </c>
      <c r="C41" s="570"/>
      <c r="D41" s="571">
        <f>D7-D35-D36-D27</f>
        <v>0</v>
      </c>
      <c r="E41" s="571">
        <f t="shared" ref="E41:Q41" si="138">E7-E35-E36-E27</f>
        <v>-7.9936057773011271E-15</v>
      </c>
      <c r="F41" s="571">
        <f t="shared" si="138"/>
        <v>1.9539925233402755E-14</v>
      </c>
      <c r="G41" s="571">
        <f t="shared" si="138"/>
        <v>-6.2172489379008766E-14</v>
      </c>
      <c r="H41" s="571">
        <f t="shared" si="138"/>
        <v>1.7763568394002505E-14</v>
      </c>
      <c r="I41" s="571">
        <f t="shared" si="138"/>
        <v>0</v>
      </c>
      <c r="J41" s="571">
        <f t="shared" si="138"/>
        <v>0</v>
      </c>
      <c r="K41" s="571">
        <f t="shared" si="138"/>
        <v>1.4210854715202004E-14</v>
      </c>
      <c r="L41" s="571">
        <f t="shared" si="138"/>
        <v>2.3092638912203256E-14</v>
      </c>
      <c r="M41" s="571">
        <f t="shared" si="138"/>
        <v>0</v>
      </c>
      <c r="N41" s="571">
        <f t="shared" si="138"/>
        <v>0</v>
      </c>
      <c r="O41" s="571">
        <f t="shared" si="138"/>
        <v>-2.3092638912203256E-14</v>
      </c>
      <c r="P41" s="571">
        <f t="shared" si="138"/>
        <v>0</v>
      </c>
      <c r="Q41" s="571">
        <f t="shared" si="138"/>
        <v>-1.7763568394002505E-14</v>
      </c>
      <c r="R41" s="571">
        <f t="shared" ref="R41:T41" si="139">R7-R35-R36-R27</f>
        <v>0</v>
      </c>
      <c r="S41" s="571">
        <f t="shared" ref="S41" si="140">S7-S35-S36-S27</f>
        <v>-2.5757174171303632E-14</v>
      </c>
      <c r="T41" s="571">
        <f t="shared" si="139"/>
        <v>0</v>
      </c>
      <c r="U41" s="571">
        <f t="shared" ref="U41:V41" si="141">U7-U35-U36-U27</f>
        <v>0</v>
      </c>
      <c r="V41" s="571">
        <f t="shared" si="141"/>
        <v>0</v>
      </c>
      <c r="W41" s="571">
        <f t="shared" ref="W41:X41" si="142">W7-W35-W36-W27</f>
        <v>-2.1316282072803006E-14</v>
      </c>
      <c r="X41" s="571">
        <f t="shared" si="142"/>
        <v>0</v>
      </c>
      <c r="Y41" s="571">
        <f t="shared" ref="Y41:Z41" si="143">Y7-Y35-Y36-Y27</f>
        <v>0</v>
      </c>
      <c r="Z41" s="571">
        <f t="shared" si="143"/>
        <v>0</v>
      </c>
      <c r="AA41" s="493"/>
      <c r="AB41" s="211"/>
    </row>
    <row r="42" spans="1:28">
      <c r="A42" s="581" t="s">
        <v>198</v>
      </c>
      <c r="B42" s="582" t="s">
        <v>43</v>
      </c>
      <c r="C42" s="570"/>
      <c r="D42" s="571"/>
      <c r="E42" s="564">
        <f>E9-E27-E35</f>
        <v>0</v>
      </c>
      <c r="F42" s="564">
        <f t="shared" ref="F42:Q42" si="144">F9-F27-F35</f>
        <v>0</v>
      </c>
      <c r="G42" s="564">
        <f t="shared" si="144"/>
        <v>0</v>
      </c>
      <c r="H42" s="564">
        <f>H9-H27-H35</f>
        <v>0</v>
      </c>
      <c r="I42" s="564">
        <f t="shared" si="144"/>
        <v>0</v>
      </c>
      <c r="J42" s="564">
        <f t="shared" si="144"/>
        <v>0</v>
      </c>
      <c r="K42" s="564">
        <f t="shared" si="144"/>
        <v>0</v>
      </c>
      <c r="L42" s="564">
        <f t="shared" si="144"/>
        <v>0</v>
      </c>
      <c r="M42" s="564">
        <f t="shared" si="144"/>
        <v>0</v>
      </c>
      <c r="N42" s="564">
        <f t="shared" si="144"/>
        <v>0</v>
      </c>
      <c r="O42" s="564">
        <f t="shared" si="144"/>
        <v>0</v>
      </c>
      <c r="P42" s="564">
        <f t="shared" si="144"/>
        <v>0</v>
      </c>
      <c r="Q42" s="564">
        <f t="shared" si="144"/>
        <v>0</v>
      </c>
      <c r="R42" s="564">
        <f t="shared" ref="R42:T42" si="145">R9-R27-R35</f>
        <v>0</v>
      </c>
      <c r="S42" s="564">
        <f t="shared" ref="S42" si="146">S9-S27-S35</f>
        <v>0</v>
      </c>
      <c r="T42" s="564">
        <f t="shared" si="145"/>
        <v>0</v>
      </c>
      <c r="U42" s="564">
        <f t="shared" ref="U42:V42" si="147">U9-U27-U35</f>
        <v>0</v>
      </c>
      <c r="V42" s="564">
        <f t="shared" si="147"/>
        <v>0</v>
      </c>
      <c r="W42" s="564">
        <f t="shared" ref="W42:X42" si="148">W9-W27-W35</f>
        <v>0</v>
      </c>
      <c r="X42" s="564">
        <f t="shared" si="148"/>
        <v>0</v>
      </c>
      <c r="Y42" s="564">
        <f t="shared" ref="Y42:Z42" si="149">Y9-Y27-Y35</f>
        <v>0</v>
      </c>
      <c r="Z42" s="564">
        <f t="shared" si="149"/>
        <v>0</v>
      </c>
      <c r="AA42" s="493"/>
      <c r="AB42" s="211"/>
    </row>
    <row r="43" spans="1:28">
      <c r="A43" s="568"/>
      <c r="B43" s="569"/>
      <c r="C43" s="570"/>
      <c r="D43" s="571"/>
      <c r="E43" s="564"/>
      <c r="F43" s="564"/>
      <c r="G43" s="564"/>
      <c r="H43" s="564"/>
      <c r="I43" s="564"/>
      <c r="J43" s="564"/>
      <c r="K43" s="564"/>
      <c r="L43" s="564"/>
      <c r="M43" s="564">
        <f>M35+M36</f>
        <v>165.4431001575627</v>
      </c>
      <c r="N43" s="564">
        <f>N35+N36</f>
        <v>170.41947614180552</v>
      </c>
      <c r="O43" s="564"/>
      <c r="P43" s="564"/>
      <c r="Q43" s="564"/>
      <c r="R43" s="564"/>
      <c r="S43" s="564"/>
      <c r="T43" s="564"/>
      <c r="U43" s="564"/>
      <c r="V43" s="564"/>
      <c r="W43" s="564"/>
      <c r="X43" s="564"/>
      <c r="Y43" s="564"/>
      <c r="Z43" s="564"/>
      <c r="AA43" s="493"/>
      <c r="AB43" s="211"/>
    </row>
    <row r="44" spans="1:28">
      <c r="A44" s="568"/>
      <c r="B44" s="569"/>
      <c r="C44" s="570"/>
      <c r="D44" s="571"/>
      <c r="E44" s="564"/>
      <c r="F44" s="564"/>
      <c r="G44" s="564"/>
      <c r="H44" s="626"/>
      <c r="I44" s="564"/>
      <c r="J44" s="564"/>
      <c r="K44" s="564">
        <v>129536</v>
      </c>
      <c r="L44" s="564"/>
      <c r="M44" s="564"/>
      <c r="N44" s="564"/>
      <c r="O44" s="691">
        <f>15-O28</f>
        <v>1.2607826396455586</v>
      </c>
      <c r="P44" s="564">
        <f>O44*O5*24</f>
        <v>938.02228389629568</v>
      </c>
      <c r="Q44" s="692">
        <f>P44*2</f>
        <v>1876.0445677925914</v>
      </c>
      <c r="R44" s="564"/>
      <c r="S44" s="564"/>
      <c r="T44" s="564"/>
      <c r="U44" s="564"/>
      <c r="V44" s="564"/>
      <c r="W44" s="564"/>
      <c r="X44" s="564"/>
      <c r="Y44" s="564"/>
      <c r="Z44" s="564"/>
      <c r="AA44" s="493"/>
      <c r="AB44" s="211"/>
    </row>
    <row r="45" spans="1:28">
      <c r="A45" s="568"/>
      <c r="B45" s="569"/>
      <c r="C45" s="570"/>
      <c r="D45" s="571"/>
      <c r="E45" s="564"/>
      <c r="F45" s="564"/>
      <c r="G45" s="564"/>
      <c r="H45" s="564"/>
      <c r="I45" s="564"/>
      <c r="J45" s="564"/>
      <c r="K45" s="564">
        <f>K33-K44</f>
        <v>1950.0342867627915</v>
      </c>
      <c r="L45" s="564"/>
      <c r="M45" s="564"/>
      <c r="N45" s="564"/>
      <c r="O45" s="564"/>
      <c r="P45" s="564"/>
      <c r="Q45" s="564"/>
      <c r="R45" s="564"/>
      <c r="S45" s="564"/>
      <c r="T45" s="564"/>
      <c r="U45" s="564"/>
      <c r="V45" s="564"/>
      <c r="W45" s="564"/>
      <c r="X45" s="564"/>
      <c r="Y45" s="564"/>
      <c r="Z45" s="564"/>
      <c r="AA45" s="493"/>
      <c r="AB45" s="211"/>
    </row>
    <row r="46" spans="1:28">
      <c r="A46" s="568"/>
      <c r="B46" s="569"/>
      <c r="C46" s="570"/>
      <c r="D46" s="571"/>
      <c r="E46" s="535">
        <v>31</v>
      </c>
      <c r="F46" s="535">
        <v>30</v>
      </c>
      <c r="G46" s="535">
        <v>31</v>
      </c>
      <c r="H46" s="535">
        <v>30</v>
      </c>
      <c r="I46" s="535">
        <v>31</v>
      </c>
      <c r="J46" s="535">
        <v>31</v>
      </c>
      <c r="K46" s="535">
        <v>30</v>
      </c>
      <c r="L46" s="535">
        <v>31</v>
      </c>
      <c r="M46" s="535">
        <v>30</v>
      </c>
      <c r="N46" s="535">
        <v>31</v>
      </c>
      <c r="O46" s="535">
        <v>31</v>
      </c>
      <c r="P46" s="535">
        <v>28</v>
      </c>
      <c r="Q46" s="535">
        <v>31</v>
      </c>
      <c r="R46" s="535">
        <v>31</v>
      </c>
      <c r="S46" s="535">
        <v>31</v>
      </c>
      <c r="T46" s="535">
        <v>31</v>
      </c>
      <c r="U46" s="535">
        <v>31</v>
      </c>
      <c r="V46" s="535">
        <v>31</v>
      </c>
      <c r="W46" s="535">
        <v>31</v>
      </c>
      <c r="X46" s="535">
        <v>31</v>
      </c>
      <c r="Y46" s="535">
        <v>31</v>
      </c>
      <c r="Z46" s="535">
        <v>31</v>
      </c>
      <c r="AA46" s="493"/>
      <c r="AB46" s="211"/>
    </row>
    <row r="47" spans="1:28">
      <c r="A47" s="568"/>
      <c r="B47" s="569"/>
      <c r="C47" s="570"/>
      <c r="D47" s="571"/>
      <c r="E47" s="473">
        <v>44257</v>
      </c>
      <c r="F47" s="473">
        <v>44288</v>
      </c>
      <c r="G47" s="473">
        <v>44318</v>
      </c>
      <c r="H47" s="473">
        <v>44349</v>
      </c>
      <c r="I47" s="473">
        <v>44379</v>
      </c>
      <c r="J47" s="473">
        <v>44410</v>
      </c>
      <c r="K47" s="474">
        <v>44441</v>
      </c>
      <c r="L47" s="474">
        <v>44471</v>
      </c>
      <c r="M47" s="474">
        <v>44502</v>
      </c>
      <c r="N47" s="474">
        <v>44532</v>
      </c>
      <c r="O47" s="474">
        <v>44563</v>
      </c>
      <c r="P47" s="474">
        <v>44594</v>
      </c>
      <c r="Q47" s="474">
        <v>44622</v>
      </c>
      <c r="R47" s="474">
        <v>44622</v>
      </c>
      <c r="S47" s="474">
        <v>44622</v>
      </c>
      <c r="T47" s="474">
        <v>44622</v>
      </c>
      <c r="U47" s="474">
        <v>44622</v>
      </c>
      <c r="V47" s="474">
        <v>44622</v>
      </c>
      <c r="W47" s="474">
        <v>44622</v>
      </c>
      <c r="X47" s="474">
        <v>44622</v>
      </c>
      <c r="Y47" s="474">
        <v>44622</v>
      </c>
      <c r="Z47" s="474">
        <v>44622</v>
      </c>
      <c r="AA47" s="493"/>
      <c r="AB47" s="211"/>
    </row>
    <row r="48" spans="1:28">
      <c r="A48" s="568" t="s">
        <v>114</v>
      </c>
      <c r="B48" s="568"/>
      <c r="C48" s="568"/>
      <c r="D48" s="568"/>
      <c r="E48" s="576">
        <v>6.774193548387097</v>
      </c>
      <c r="F48" s="576">
        <v>8</v>
      </c>
      <c r="G48" s="576">
        <v>15.000000000000002</v>
      </c>
      <c r="H48" s="576">
        <v>10</v>
      </c>
      <c r="I48" s="576">
        <v>13.548387096774194</v>
      </c>
      <c r="J48" s="576">
        <v>15.000000000000002</v>
      </c>
      <c r="K48" s="576">
        <v>15.000000000000002</v>
      </c>
      <c r="L48" s="576">
        <v>14.482758620689658</v>
      </c>
      <c r="M48" s="576">
        <v>14.482758620689658</v>
      </c>
      <c r="N48" s="576">
        <v>14.741379310344831</v>
      </c>
      <c r="O48" s="576">
        <v>14.741379310344831</v>
      </c>
      <c r="P48" s="576">
        <v>14.741379310344829</v>
      </c>
      <c r="Q48" s="576">
        <v>14.741379310344831</v>
      </c>
      <c r="R48" s="576">
        <v>14.741379310344831</v>
      </c>
      <c r="S48" s="576">
        <v>14.741379310344831</v>
      </c>
      <c r="T48" s="576">
        <v>14.741379310344831</v>
      </c>
      <c r="U48" s="576">
        <v>14.741379310344831</v>
      </c>
      <c r="V48" s="576">
        <v>14.741379310344831</v>
      </c>
      <c r="W48" s="576">
        <v>14.741379310344831</v>
      </c>
      <c r="X48" s="576">
        <v>14.741379310344831</v>
      </c>
      <c r="Y48" s="576">
        <v>14.741379310344831</v>
      </c>
      <c r="Z48" s="576">
        <v>14.741379310344831</v>
      </c>
      <c r="AA48" s="493"/>
      <c r="AB48" s="579">
        <f>SUM(C48:N48)</f>
        <v>127.02947719688544</v>
      </c>
    </row>
    <row r="49" spans="1:28">
      <c r="B49" s="568"/>
      <c r="C49" s="568"/>
      <c r="D49" s="568"/>
      <c r="E49" s="577">
        <v>6.774193548387097</v>
      </c>
      <c r="F49" s="577">
        <v>8</v>
      </c>
      <c r="G49" s="577">
        <v>15.000000000000002</v>
      </c>
      <c r="H49" s="577">
        <v>10</v>
      </c>
      <c r="I49" s="577">
        <v>9.5225806451612893</v>
      </c>
      <c r="J49" s="577">
        <v>15.000000000000002</v>
      </c>
      <c r="K49" s="577">
        <v>13.994545454545456</v>
      </c>
      <c r="L49" s="577">
        <v>11.694837791877122</v>
      </c>
      <c r="M49" s="577">
        <v>14.987295792236921</v>
      </c>
      <c r="N49" s="577">
        <v>14.769045161454754</v>
      </c>
      <c r="O49" s="577">
        <v>15.021207023982463</v>
      </c>
      <c r="P49" s="577">
        <v>15.021207023982461</v>
      </c>
      <c r="Q49" s="577">
        <v>14.900752478527922</v>
      </c>
      <c r="R49" s="577">
        <v>14.900752478527922</v>
      </c>
      <c r="S49" s="577">
        <v>14.900752478527922</v>
      </c>
      <c r="T49" s="577">
        <v>14.900752478527922</v>
      </c>
      <c r="U49" s="577">
        <v>14.900752478527922</v>
      </c>
      <c r="V49" s="577">
        <v>14.900752478527922</v>
      </c>
      <c r="W49" s="577">
        <v>14.900752478527922</v>
      </c>
      <c r="X49" s="577">
        <v>14.900752478527922</v>
      </c>
      <c r="Y49" s="577">
        <v>14.900752478527922</v>
      </c>
      <c r="Z49" s="577">
        <v>14.900752478527922</v>
      </c>
      <c r="AA49" s="493"/>
      <c r="AB49" s="579">
        <f>SUM(C49:N49)</f>
        <v>119.74249839366264</v>
      </c>
    </row>
    <row r="50" spans="1:28">
      <c r="A50" s="568"/>
      <c r="B50" s="568"/>
      <c r="C50" s="568"/>
      <c r="D50" s="568"/>
      <c r="E50" s="578">
        <f>E49-E48</f>
        <v>0</v>
      </c>
      <c r="F50" s="578">
        <f t="shared" ref="F50:Q50" si="150">F49-F48</f>
        <v>0</v>
      </c>
      <c r="G50" s="578">
        <f t="shared" si="150"/>
        <v>0</v>
      </c>
      <c r="H50" s="578">
        <f t="shared" si="150"/>
        <v>0</v>
      </c>
      <c r="I50" s="578">
        <f t="shared" si="150"/>
        <v>-4.0258064516129046</v>
      </c>
      <c r="J50" s="578">
        <f t="shared" si="150"/>
        <v>0</v>
      </c>
      <c r="K50" s="578">
        <f t="shared" si="150"/>
        <v>-1.0054545454545458</v>
      </c>
      <c r="L50" s="578">
        <f t="shared" si="150"/>
        <v>-2.7879208288125366</v>
      </c>
      <c r="M50" s="578">
        <f t="shared" si="150"/>
        <v>0.50453717154726263</v>
      </c>
      <c r="N50" s="578">
        <f t="shared" si="150"/>
        <v>2.7665851109922812E-2</v>
      </c>
      <c r="O50" s="578">
        <f t="shared" si="150"/>
        <v>0.2798277136376317</v>
      </c>
      <c r="P50" s="578">
        <f t="shared" si="150"/>
        <v>0.2798277136376317</v>
      </c>
      <c r="Q50" s="578">
        <f t="shared" si="150"/>
        <v>0.159373168183091</v>
      </c>
      <c r="R50" s="578">
        <f t="shared" ref="R50:T50" si="151">R49-R48</f>
        <v>0.159373168183091</v>
      </c>
      <c r="S50" s="578">
        <f t="shared" ref="S50" si="152">S49-S48</f>
        <v>0.159373168183091</v>
      </c>
      <c r="T50" s="578">
        <f t="shared" si="151"/>
        <v>0.159373168183091</v>
      </c>
      <c r="U50" s="578">
        <f t="shared" ref="U50:V50" si="153">U49-U48</f>
        <v>0.159373168183091</v>
      </c>
      <c r="V50" s="578">
        <f t="shared" si="153"/>
        <v>0.159373168183091</v>
      </c>
      <c r="W50" s="578">
        <f t="shared" ref="W50:X50" si="154">W49-W48</f>
        <v>0.159373168183091</v>
      </c>
      <c r="X50" s="578">
        <f t="shared" si="154"/>
        <v>0.159373168183091</v>
      </c>
      <c r="Y50" s="578">
        <f t="shared" ref="Y50:Z50" si="155">Y49-Y48</f>
        <v>0.159373168183091</v>
      </c>
      <c r="Z50" s="578">
        <f t="shared" si="155"/>
        <v>0.159373168183091</v>
      </c>
      <c r="AA50" s="493"/>
      <c r="AB50" s="579">
        <f>SUM(C50:N50)</f>
        <v>-7.2869788032228016</v>
      </c>
    </row>
    <row r="51" spans="1:28">
      <c r="A51" s="568" t="s">
        <v>0</v>
      </c>
      <c r="B51" s="568"/>
      <c r="C51" s="568"/>
      <c r="D51" s="568"/>
      <c r="E51" s="576">
        <v>60.225806451612904</v>
      </c>
      <c r="F51" s="576">
        <v>59</v>
      </c>
      <c r="G51" s="576">
        <v>52</v>
      </c>
      <c r="H51" s="576">
        <v>57</v>
      </c>
      <c r="I51" s="576">
        <v>51.451612903225808</v>
      </c>
      <c r="J51" s="576">
        <v>50</v>
      </c>
      <c r="K51" s="576">
        <v>50</v>
      </c>
      <c r="L51" s="576">
        <v>48.275862068965523</v>
      </c>
      <c r="M51" s="576">
        <v>48.275862068965523</v>
      </c>
      <c r="N51" s="576">
        <v>49.137931034482762</v>
      </c>
      <c r="O51" s="576">
        <v>49.137931034482762</v>
      </c>
      <c r="P51" s="576">
        <v>49.137931034482762</v>
      </c>
      <c r="Q51" s="576">
        <v>49.137931034482762</v>
      </c>
      <c r="R51" s="576">
        <v>49.137931034482762</v>
      </c>
      <c r="S51" s="576">
        <v>49.137931034482762</v>
      </c>
      <c r="T51" s="576">
        <v>49.137931034482762</v>
      </c>
      <c r="U51" s="576">
        <v>49.137931034482762</v>
      </c>
      <c r="V51" s="576">
        <v>49.137931034482762</v>
      </c>
      <c r="W51" s="576">
        <v>49.137931034482762</v>
      </c>
      <c r="X51" s="576">
        <v>49.137931034482762</v>
      </c>
      <c r="Y51" s="576">
        <v>49.137931034482762</v>
      </c>
      <c r="Z51" s="576">
        <v>49.137931034482762</v>
      </c>
      <c r="AA51" s="493"/>
      <c r="AB51" s="579">
        <f t="shared" ref="AB51:AB54" si="156">SUM(C51:N51)</f>
        <v>525.3670745272525</v>
      </c>
    </row>
    <row r="52" spans="1:28">
      <c r="B52" s="484"/>
      <c r="C52" s="209"/>
      <c r="D52" s="209"/>
      <c r="E52" s="209">
        <v>207.10054046563198</v>
      </c>
      <c r="F52" s="209">
        <v>201.47893569844786</v>
      </c>
      <c r="G52" s="209">
        <v>208</v>
      </c>
      <c r="H52" s="209">
        <v>208</v>
      </c>
      <c r="I52" s="209">
        <v>136.19354838709674</v>
      </c>
      <c r="J52" s="209">
        <v>210</v>
      </c>
      <c r="K52" s="209">
        <v>191.56666666666666</v>
      </c>
      <c r="L52" s="209">
        <v>151.64673882809203</v>
      </c>
      <c r="M52" s="209">
        <v>212.00846883468836</v>
      </c>
      <c r="N52" s="209">
        <v>206.88651761517619</v>
      </c>
      <c r="O52" s="209">
        <v>211.50948509485087</v>
      </c>
      <c r="P52" s="209">
        <v>211.50948509485087</v>
      </c>
      <c r="Q52" s="209">
        <v>209.30115176151762</v>
      </c>
      <c r="R52" s="209">
        <v>209.30115176151762</v>
      </c>
      <c r="S52" s="209">
        <v>209.30115176151762</v>
      </c>
      <c r="T52" s="209">
        <v>209.30115176151762</v>
      </c>
      <c r="U52" s="209">
        <v>209.30115176151762</v>
      </c>
      <c r="V52" s="209">
        <v>209.30115176151762</v>
      </c>
      <c r="W52" s="209">
        <v>209.30115176151762</v>
      </c>
      <c r="X52" s="209">
        <v>209.30115176151762</v>
      </c>
      <c r="Y52" s="209">
        <v>209.30115176151762</v>
      </c>
      <c r="Z52" s="209">
        <v>209.30115176151762</v>
      </c>
      <c r="AA52" s="493"/>
      <c r="AB52" s="579">
        <f t="shared" si="156"/>
        <v>1932.8814164957998</v>
      </c>
    </row>
    <row r="53" spans="1:28">
      <c r="A53" s="568"/>
      <c r="B53" s="568"/>
      <c r="C53" s="568"/>
      <c r="D53" s="568"/>
      <c r="E53" s="577">
        <v>60.225806451612897</v>
      </c>
      <c r="F53" s="577">
        <v>59</v>
      </c>
      <c r="G53" s="577">
        <v>52</v>
      </c>
      <c r="H53" s="577">
        <v>57</v>
      </c>
      <c r="I53" s="577">
        <v>55.477419354838709</v>
      </c>
      <c r="J53" s="577">
        <v>50</v>
      </c>
      <c r="K53" s="577">
        <v>51.00545454545454</v>
      </c>
      <c r="L53" s="577">
        <v>51.063782897778061</v>
      </c>
      <c r="M53" s="577">
        <v>47.77132489741826</v>
      </c>
      <c r="N53" s="577">
        <v>49.110265183372839</v>
      </c>
      <c r="O53" s="577">
        <v>48.858103320845132</v>
      </c>
      <c r="P53" s="577">
        <v>48.858103320845132</v>
      </c>
      <c r="Q53" s="577">
        <v>48.978557866299674</v>
      </c>
      <c r="R53" s="577">
        <v>48.978557866299674</v>
      </c>
      <c r="S53" s="577">
        <v>48.978557866299674</v>
      </c>
      <c r="T53" s="577">
        <v>48.978557866299674</v>
      </c>
      <c r="U53" s="577">
        <v>48.978557866299674</v>
      </c>
      <c r="V53" s="577">
        <v>48.978557866299674</v>
      </c>
      <c r="W53" s="577">
        <v>48.978557866299674</v>
      </c>
      <c r="X53" s="577">
        <v>48.978557866299674</v>
      </c>
      <c r="Y53" s="577">
        <v>48.978557866299674</v>
      </c>
      <c r="Z53" s="577">
        <v>48.978557866299674</v>
      </c>
      <c r="AA53" s="493"/>
      <c r="AB53" s="579">
        <f t="shared" si="156"/>
        <v>532.65405333047534</v>
      </c>
    </row>
    <row r="54" spans="1:28">
      <c r="A54" s="568"/>
      <c r="B54" s="568"/>
      <c r="C54" s="568"/>
      <c r="D54" s="568"/>
      <c r="E54" s="577">
        <v>207.10054046563198</v>
      </c>
      <c r="F54" s="577">
        <v>201.47893569844786</v>
      </c>
      <c r="G54" s="577">
        <v>208</v>
      </c>
      <c r="H54" s="577">
        <v>208</v>
      </c>
      <c r="I54" s="577">
        <v>136.19354838709674</v>
      </c>
      <c r="J54" s="577">
        <v>210</v>
      </c>
      <c r="K54" s="577">
        <v>191.56666666666666</v>
      </c>
      <c r="L54" s="577">
        <v>151.64673882809203</v>
      </c>
      <c r="M54" s="577">
        <v>212.00846883468836</v>
      </c>
      <c r="N54" s="577">
        <v>206.88651761517619</v>
      </c>
      <c r="O54" s="577">
        <v>211.50948509485087</v>
      </c>
      <c r="P54" s="577">
        <v>211.50948509485087</v>
      </c>
      <c r="Q54" s="577">
        <v>209.30115176151762</v>
      </c>
      <c r="R54" s="577">
        <v>209.30115176151762</v>
      </c>
      <c r="S54" s="577">
        <v>209.30115176151762</v>
      </c>
      <c r="T54" s="577">
        <v>209.30115176151762</v>
      </c>
      <c r="U54" s="577">
        <v>209.30115176151762</v>
      </c>
      <c r="V54" s="577">
        <v>209.30115176151762</v>
      </c>
      <c r="W54" s="577">
        <v>209.30115176151762</v>
      </c>
      <c r="X54" s="577">
        <v>209.30115176151762</v>
      </c>
      <c r="Y54" s="577">
        <v>209.30115176151762</v>
      </c>
      <c r="Z54" s="577">
        <v>209.30115176151762</v>
      </c>
      <c r="AA54" s="493"/>
      <c r="AB54" s="579">
        <f t="shared" si="156"/>
        <v>1932.8814164957998</v>
      </c>
    </row>
    <row r="55" spans="1:28">
      <c r="A55" s="568"/>
      <c r="E55" s="583">
        <f>E54+E53-E52-E51</f>
        <v>0</v>
      </c>
      <c r="F55" s="583">
        <f t="shared" ref="F55:Q55" si="157">F54+F53-F52-F51</f>
        <v>0</v>
      </c>
      <c r="G55" s="583">
        <f t="shared" si="157"/>
        <v>0</v>
      </c>
      <c r="H55" s="583">
        <f t="shared" si="157"/>
        <v>0</v>
      </c>
      <c r="I55" s="583">
        <f t="shared" si="157"/>
        <v>4.025806451612894</v>
      </c>
      <c r="J55" s="583">
        <f t="shared" si="157"/>
        <v>0</v>
      </c>
      <c r="K55" s="583">
        <f t="shared" si="157"/>
        <v>1.0054545454545405</v>
      </c>
      <c r="L55" s="583">
        <f t="shared" si="157"/>
        <v>2.7879208288125312</v>
      </c>
      <c r="M55" s="583">
        <f t="shared" si="157"/>
        <v>-0.50453717154726974</v>
      </c>
      <c r="N55" s="583">
        <f t="shared" si="157"/>
        <v>-2.7665851109929918E-2</v>
      </c>
      <c r="O55" s="583">
        <f t="shared" si="157"/>
        <v>-0.27982771363764414</v>
      </c>
      <c r="P55" s="583">
        <f t="shared" si="157"/>
        <v>-0.27982771363764414</v>
      </c>
      <c r="Q55" s="583">
        <f t="shared" si="157"/>
        <v>-0.15937316818309455</v>
      </c>
      <c r="R55" s="583">
        <f t="shared" ref="R55:T55" si="158">R54+R53-R52-R51</f>
        <v>-0.15937316818309455</v>
      </c>
      <c r="S55" s="583">
        <f t="shared" ref="S55" si="159">S54+S53-S52-S51</f>
        <v>-0.15937316818309455</v>
      </c>
      <c r="T55" s="583">
        <f t="shared" si="158"/>
        <v>-0.15937316818309455</v>
      </c>
      <c r="U55" s="583">
        <f t="shared" ref="U55:V55" si="160">U54+U53-U52-U51</f>
        <v>-0.15937316818309455</v>
      </c>
      <c r="V55" s="583">
        <f t="shared" si="160"/>
        <v>-0.15937316818309455</v>
      </c>
      <c r="W55" s="583">
        <f t="shared" ref="W55:X55" si="161">W54+W53-W52-W51</f>
        <v>-0.15937316818309455</v>
      </c>
      <c r="X55" s="583">
        <f t="shared" si="161"/>
        <v>-0.15937316818309455</v>
      </c>
      <c r="Y55" s="583">
        <f t="shared" ref="Y55:Z55" si="162">Y54+Y53-Y52-Y51</f>
        <v>-0.15937316818309455</v>
      </c>
      <c r="Z55" s="675">
        <f t="shared" si="162"/>
        <v>-0.15937316818309455</v>
      </c>
      <c r="AB55" s="579">
        <f>SUM(C55:N55)</f>
        <v>7.286978803222766</v>
      </c>
    </row>
    <row r="57" spans="1:28">
      <c r="I57" s="584">
        <f>I50*24*I46</f>
        <v>-2995.2000000000012</v>
      </c>
      <c r="J57" s="584">
        <f t="shared" ref="J57:Q57" si="163">J50*24*J46</f>
        <v>0</v>
      </c>
      <c r="K57" s="584">
        <f t="shared" si="163"/>
        <v>-723.92727272727302</v>
      </c>
      <c r="L57" s="584">
        <f t="shared" si="163"/>
        <v>-2074.2130966365271</v>
      </c>
      <c r="M57" s="584">
        <f t="shared" si="163"/>
        <v>363.26676351402909</v>
      </c>
      <c r="N57" s="584">
        <f t="shared" si="163"/>
        <v>20.583393225782572</v>
      </c>
      <c r="O57" s="584">
        <f t="shared" si="163"/>
        <v>208.19181894639797</v>
      </c>
      <c r="P57" s="584">
        <f t="shared" si="163"/>
        <v>188.0442235644885</v>
      </c>
      <c r="Q57" s="584">
        <f t="shared" si="163"/>
        <v>118.5736371282197</v>
      </c>
      <c r="R57" s="584">
        <f t="shared" ref="R57:T57" si="164">R50*24*R46</f>
        <v>118.5736371282197</v>
      </c>
      <c r="S57" s="584">
        <f t="shared" ref="S57" si="165">S50*24*S46</f>
        <v>118.5736371282197</v>
      </c>
      <c r="T57" s="584">
        <f t="shared" si="164"/>
        <v>118.5736371282197</v>
      </c>
      <c r="U57" s="584">
        <f t="shared" ref="U57:V57" si="166">U50*24*U46</f>
        <v>118.5736371282197</v>
      </c>
      <c r="V57" s="584">
        <f t="shared" si="166"/>
        <v>118.5736371282197</v>
      </c>
      <c r="W57" s="584">
        <f t="shared" ref="W57:X57" si="167">W50*24*W46</f>
        <v>118.5736371282197</v>
      </c>
      <c r="X57" s="584">
        <f t="shared" si="167"/>
        <v>118.5736371282197</v>
      </c>
      <c r="Y57" s="584">
        <f t="shared" ref="Y57:Z57" si="168">Y50*24*Y46</f>
        <v>118.5736371282197</v>
      </c>
      <c r="Z57" s="584">
        <f t="shared" si="168"/>
        <v>118.5736371282197</v>
      </c>
    </row>
    <row r="58" spans="1:28">
      <c r="I58" s="584"/>
      <c r="J58" s="584"/>
      <c r="K58" s="584"/>
      <c r="L58" s="584"/>
      <c r="M58" s="584"/>
      <c r="N58" s="584"/>
      <c r="O58" s="584"/>
      <c r="P58" s="584"/>
      <c r="Q58" s="584"/>
      <c r="R58" s="584"/>
      <c r="S58" s="584"/>
      <c r="T58" s="584"/>
      <c r="U58" s="584"/>
      <c r="V58" s="584"/>
      <c r="W58" s="584"/>
      <c r="X58" s="584"/>
      <c r="Y58" s="584"/>
      <c r="Z58" s="584"/>
    </row>
    <row r="60" spans="1:28">
      <c r="J60">
        <v>189490.41320350236</v>
      </c>
      <c r="K60">
        <v>173396.70184774572</v>
      </c>
      <c r="L60">
        <v>150125.64414200882</v>
      </c>
    </row>
    <row r="61" spans="1:28">
      <c r="J61" s="234">
        <f>J34-J60</f>
        <v>-6976.4752473757835</v>
      </c>
      <c r="K61" s="234">
        <f t="shared" ref="K61:L61" si="169">K34-K60</f>
        <v>-5353.2412180038227</v>
      </c>
      <c r="L61" s="234">
        <f t="shared" si="169"/>
        <v>6987.504966988432</v>
      </c>
      <c r="M61" s="234"/>
      <c r="N61" s="234"/>
      <c r="O61" s="234"/>
      <c r="P61" s="234"/>
      <c r="Q61" s="234"/>
      <c r="R61" s="234"/>
      <c r="S61" s="234"/>
      <c r="T61" s="234"/>
    </row>
    <row r="63" spans="1:28">
      <c r="AA63"/>
    </row>
    <row r="64" spans="1:28">
      <c r="K64" s="786" t="s">
        <v>217</v>
      </c>
      <c r="L64" s="786"/>
      <c r="AA64"/>
    </row>
    <row r="65" spans="11:27">
      <c r="K65" s="786"/>
      <c r="L65" s="786"/>
      <c r="AA65"/>
    </row>
    <row r="66" spans="11:27">
      <c r="K66" s="574" t="s">
        <v>174</v>
      </c>
      <c r="AA66"/>
    </row>
    <row r="67" spans="11:27">
      <c r="K67" s="574" t="s">
        <v>175</v>
      </c>
      <c r="AA67"/>
    </row>
    <row r="68" spans="11:27">
      <c r="AA68"/>
    </row>
    <row r="69" spans="11:27">
      <c r="AA69"/>
    </row>
  </sheetData>
  <mergeCells count="1">
    <mergeCell ref="K64:L65"/>
  </mergeCells>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rgb="FFFFC000"/>
  </sheetPr>
  <dimension ref="A1:AQ58"/>
  <sheetViews>
    <sheetView zoomScale="70" zoomScaleNormal="70" workbookViewId="0">
      <pane xSplit="2" ySplit="1" topLeftCell="Z20" activePane="bottomRight" state="frozen"/>
      <selection activeCell="AQ109" sqref="AQ109"/>
      <selection pane="topRight" activeCell="AQ109" sqref="AQ109"/>
      <selection pane="bottomLeft" activeCell="AQ109" sqref="AQ109"/>
      <selection pane="bottomRight" activeCell="AE34" sqref="AE34"/>
    </sheetView>
  </sheetViews>
  <sheetFormatPr defaultColWidth="8.453125" defaultRowHeight="14.5"/>
  <cols>
    <col min="1" max="1" width="65.08984375" style="294" bestFit="1" customWidth="1"/>
    <col min="2" max="2" width="8.453125" style="32"/>
    <col min="3" max="25" width="9.08984375" style="294" customWidth="1"/>
    <col min="26" max="39" width="8.453125" style="294"/>
    <col min="40" max="40" width="9.1796875" style="294" bestFit="1" customWidth="1"/>
    <col min="41" max="41" width="8.453125" style="294"/>
    <col min="42" max="42" width="26.36328125" style="294" bestFit="1" customWidth="1"/>
    <col min="43" max="16384" width="8.453125" style="294"/>
  </cols>
  <sheetData>
    <row r="1" spans="1:39" s="276" customFormat="1" ht="15" thickBot="1">
      <c r="A1" s="273"/>
      <c r="B1" s="274" t="s">
        <v>72</v>
      </c>
      <c r="C1" s="275">
        <v>43801</v>
      </c>
      <c r="D1" s="275">
        <v>43832</v>
      </c>
      <c r="E1" s="275">
        <v>43863</v>
      </c>
      <c r="F1" s="275">
        <v>43892</v>
      </c>
      <c r="G1" s="275">
        <v>43923</v>
      </c>
      <c r="H1" s="275">
        <v>43953</v>
      </c>
      <c r="I1" s="275">
        <v>43984</v>
      </c>
      <c r="J1" s="275">
        <v>44014</v>
      </c>
      <c r="K1" s="275">
        <v>44045</v>
      </c>
      <c r="L1" s="275">
        <v>44076</v>
      </c>
      <c r="M1" s="275">
        <v>44106</v>
      </c>
      <c r="N1" s="275">
        <v>44137</v>
      </c>
      <c r="O1" s="275">
        <v>44167</v>
      </c>
      <c r="P1" s="275">
        <v>44198</v>
      </c>
      <c r="Q1" s="275">
        <v>44229</v>
      </c>
      <c r="R1" s="275">
        <v>44257</v>
      </c>
      <c r="S1" s="275">
        <v>44288</v>
      </c>
      <c r="T1" s="275">
        <v>44318</v>
      </c>
      <c r="U1" s="275">
        <v>44349</v>
      </c>
      <c r="V1" s="275">
        <v>44379</v>
      </c>
      <c r="W1" s="275">
        <v>44410</v>
      </c>
      <c r="X1" s="275">
        <v>44441</v>
      </c>
      <c r="Y1" s="275">
        <v>44471</v>
      </c>
      <c r="Z1" s="275">
        <v>44502</v>
      </c>
      <c r="AA1" s="275">
        <v>44532</v>
      </c>
      <c r="AB1" s="275">
        <v>44563</v>
      </c>
      <c r="AC1" s="275">
        <v>44594</v>
      </c>
      <c r="AD1" s="275">
        <v>44622</v>
      </c>
      <c r="AE1" s="275">
        <v>44653</v>
      </c>
      <c r="AF1" s="275">
        <v>44683</v>
      </c>
      <c r="AG1" s="275">
        <v>44714</v>
      </c>
      <c r="AH1" s="275">
        <v>44744</v>
      </c>
      <c r="AI1" s="275">
        <v>44775</v>
      </c>
      <c r="AJ1" s="275">
        <v>44806</v>
      </c>
      <c r="AK1" s="275">
        <v>44836</v>
      </c>
      <c r="AL1" s="275">
        <v>44867</v>
      </c>
      <c r="AM1" s="275">
        <v>44897</v>
      </c>
    </row>
    <row r="2" spans="1:39" s="276" customFormat="1">
      <c r="A2" s="277" t="s">
        <v>3</v>
      </c>
      <c r="B2" s="278"/>
      <c r="C2" s="279"/>
      <c r="D2" s="279"/>
    </row>
    <row r="3" spans="1:39" s="276" customFormat="1">
      <c r="A3" s="280" t="s">
        <v>90</v>
      </c>
      <c r="B3" s="281" t="s">
        <v>43</v>
      </c>
      <c r="C3" s="305">
        <f t="shared" ref="C3:T3" si="0">C4+C5+C6</f>
        <v>347.86</v>
      </c>
      <c r="D3" s="305">
        <f t="shared" si="0"/>
        <v>294.16699999999997</v>
      </c>
      <c r="E3" s="305">
        <f t="shared" si="0"/>
        <v>290.39999999999998</v>
      </c>
      <c r="F3" s="305">
        <f t="shared" si="0"/>
        <v>306.5</v>
      </c>
      <c r="G3" s="305">
        <f t="shared" si="0"/>
        <v>250.80099999999999</v>
      </c>
      <c r="H3" s="305">
        <f t="shared" si="0"/>
        <v>233</v>
      </c>
      <c r="I3" s="305">
        <f t="shared" si="0"/>
        <v>242.08</v>
      </c>
      <c r="J3" s="305">
        <f t="shared" si="0"/>
        <v>277.608</v>
      </c>
      <c r="K3" s="305">
        <f t="shared" si="0"/>
        <v>298.5</v>
      </c>
      <c r="L3" s="305">
        <f t="shared" si="0"/>
        <v>289</v>
      </c>
      <c r="M3" s="305">
        <f t="shared" si="0"/>
        <v>286.80200000000002</v>
      </c>
      <c r="N3" s="305">
        <f t="shared" si="0"/>
        <v>300.7</v>
      </c>
      <c r="O3" s="305">
        <f t="shared" si="0"/>
        <v>299.97700000000003</v>
      </c>
      <c r="P3" s="305">
        <f t="shared" si="0"/>
        <v>302.40185793868551</v>
      </c>
      <c r="Q3" s="305">
        <f t="shared" si="0"/>
        <v>308.34023227435034</v>
      </c>
      <c r="R3" s="305">
        <f t="shared" si="0"/>
        <v>322</v>
      </c>
      <c r="S3" s="305">
        <f t="shared" si="0"/>
        <v>296</v>
      </c>
      <c r="T3" s="305">
        <f t="shared" si="0"/>
        <v>325.161</v>
      </c>
      <c r="U3" s="305">
        <f t="shared" ref="U3:AB3" si="1">U4+U5+U6</f>
        <v>314.78385350177302</v>
      </c>
      <c r="V3" s="305">
        <f t="shared" si="1"/>
        <v>314</v>
      </c>
      <c r="W3" s="305">
        <f t="shared" si="1"/>
        <v>305</v>
      </c>
      <c r="X3" s="305">
        <f t="shared" si="1"/>
        <v>307.75632875843218</v>
      </c>
      <c r="Y3" s="305">
        <f t="shared" si="1"/>
        <v>285.24027184122048</v>
      </c>
      <c r="Z3" s="305">
        <f t="shared" si="1"/>
        <v>286</v>
      </c>
      <c r="AA3" s="305">
        <f t="shared" si="1"/>
        <v>298</v>
      </c>
      <c r="AB3" s="305">
        <f t="shared" si="1"/>
        <v>324.88814401622722</v>
      </c>
      <c r="AC3" s="305">
        <f t="shared" ref="AC3:AD3" si="2">AC4+AC5+AC6</f>
        <v>302.79618199091078</v>
      </c>
      <c r="AD3" s="305">
        <f t="shared" si="2"/>
        <v>331.34913793103448</v>
      </c>
      <c r="AE3" s="305">
        <f t="shared" ref="AE3:AF3" si="3">AE4+AE5+AE6</f>
        <v>333.49137931034477</v>
      </c>
      <c r="AF3" s="305">
        <f t="shared" si="3"/>
        <v>319.08189655172413</v>
      </c>
      <c r="AG3" s="305">
        <f t="shared" ref="AG3:AM3" si="4">AG4+AG5+AG6</f>
        <v>320.57758620689651</v>
      </c>
      <c r="AH3" s="305">
        <f t="shared" si="4"/>
        <v>338.23017241379307</v>
      </c>
      <c r="AI3" s="305">
        <f t="shared" si="4"/>
        <v>335.86336206896556</v>
      </c>
      <c r="AJ3" s="305">
        <f t="shared" si="4"/>
        <v>337.68534482758628</v>
      </c>
      <c r="AK3" s="305">
        <f t="shared" si="4"/>
        <v>348.90818965517246</v>
      </c>
      <c r="AL3" s="305">
        <f t="shared" si="4"/>
        <v>341.68534482758628</v>
      </c>
      <c r="AM3" s="305">
        <f t="shared" si="4"/>
        <v>341.56000318973912</v>
      </c>
    </row>
    <row r="4" spans="1:39" s="276" customFormat="1">
      <c r="A4" s="282" t="s">
        <v>91</v>
      </c>
      <c r="B4" s="283" t="s">
        <v>43</v>
      </c>
      <c r="C4" s="306">
        <v>308.76</v>
      </c>
      <c r="D4" s="306">
        <f>'C3LPG'!M59</f>
        <v>274.16699999999997</v>
      </c>
      <c r="E4" s="306">
        <f>'C3LPG'!N59</f>
        <v>269</v>
      </c>
      <c r="F4" s="306">
        <f>'C3LPG'!O59</f>
        <v>299.5</v>
      </c>
      <c r="G4" s="306">
        <f>'C3LPG'!P59</f>
        <v>248.80099999999999</v>
      </c>
      <c r="H4" s="306">
        <f>'C3LPG'!Q59</f>
        <v>225</v>
      </c>
      <c r="I4" s="306">
        <f>'C3LPG'!R59</f>
        <v>238.5</v>
      </c>
      <c r="J4" s="306">
        <f>'C3LPG'!S59</f>
        <v>250.608</v>
      </c>
      <c r="K4" s="306">
        <f>'C3LPG'!T59</f>
        <v>270.3</v>
      </c>
      <c r="L4" s="306">
        <f>'C3LPG'!U59</f>
        <v>276</v>
      </c>
      <c r="M4" s="306">
        <f>'C3LPG'!V59</f>
        <v>279.80200000000002</v>
      </c>
      <c r="N4" s="306">
        <f>'C3LPG'!W59</f>
        <v>255.7</v>
      </c>
      <c r="O4" s="306">
        <f>'C3LPG'!X59</f>
        <v>267.7</v>
      </c>
      <c r="P4" s="306">
        <f>'C3LPG'!Y59</f>
        <v>277.40185793868551</v>
      </c>
      <c r="Q4" s="306">
        <f>'C3LPG'!Z59</f>
        <v>254.34023227435031</v>
      </c>
      <c r="R4" s="306">
        <f>'C3LPG'!AA59</f>
        <v>285</v>
      </c>
      <c r="S4" s="306">
        <f>'C3LPG'!AB59</f>
        <v>264.5</v>
      </c>
      <c r="T4" s="306">
        <f>'C3LPG'!AC59</f>
        <v>290.161</v>
      </c>
      <c r="U4" s="306">
        <f>'C3LPG'!AD59</f>
        <v>283.28385350177302</v>
      </c>
      <c r="V4" s="306">
        <f>'C3LPG'!AE59</f>
        <v>214</v>
      </c>
      <c r="W4" s="306">
        <f>'C3LPG'!AF59</f>
        <v>279</v>
      </c>
      <c r="X4" s="306">
        <f>'C3LPG'!AG59</f>
        <v>256.75632875843218</v>
      </c>
      <c r="Y4" s="306">
        <f>'C3LPG'!AH59</f>
        <v>242.24027184122048</v>
      </c>
      <c r="Z4" s="306">
        <f>'C3LPG'!AI59</f>
        <v>250</v>
      </c>
      <c r="AA4" s="306">
        <f>'C3LPG'!AJ59</f>
        <v>259</v>
      </c>
      <c r="AB4" s="306">
        <f>'C3LPG'!AK59</f>
        <v>266.88814401622722</v>
      </c>
      <c r="AC4" s="306">
        <f>'C3LPG'!AL59</f>
        <v>238.79618199091075</v>
      </c>
      <c r="AD4" s="306">
        <f>'C3LPG'!AM59</f>
        <v>255.34913793103448</v>
      </c>
      <c r="AE4" s="306">
        <f>'C3LPG'!AN59</f>
        <v>246.4913793103448</v>
      </c>
      <c r="AF4" s="306">
        <f>'C3LPG'!AO59</f>
        <v>226.08189655172413</v>
      </c>
      <c r="AG4" s="306">
        <f>'C3LPG'!AP59</f>
        <v>229.57758620689651</v>
      </c>
      <c r="AH4" s="306">
        <f>'C3LPG'!AQ59</f>
        <v>237.23017241379307</v>
      </c>
      <c r="AI4" s="306">
        <f>'C3LPG'!AR59</f>
        <v>227.86336206896553</v>
      </c>
      <c r="AJ4" s="306">
        <f>'C3LPG'!AS59</f>
        <v>246.68534482758625</v>
      </c>
      <c r="AK4" s="306">
        <f>'C3LPG'!AT59</f>
        <v>254.90818965517244</v>
      </c>
      <c r="AL4" s="306">
        <f>'C3LPG'!AU59</f>
        <v>246.68534482758625</v>
      </c>
      <c r="AM4" s="306">
        <f>'C3LPG'!AV59</f>
        <v>236.56000318973912</v>
      </c>
    </row>
    <row r="5" spans="1:39" s="276" customFormat="1">
      <c r="A5" s="282" t="s">
        <v>92</v>
      </c>
      <c r="B5" s="283" t="s">
        <v>43</v>
      </c>
      <c r="C5" s="306">
        <v>25</v>
      </c>
      <c r="D5" s="306">
        <f>'C3LPG'!M61</f>
        <v>20</v>
      </c>
      <c r="E5" s="306">
        <f>'C3LPG'!N61</f>
        <v>18</v>
      </c>
      <c r="F5" s="306">
        <f>'C3LPG'!O61</f>
        <v>7</v>
      </c>
      <c r="G5" s="306">
        <f>'C3LPG'!P61</f>
        <v>2</v>
      </c>
      <c r="H5" s="306">
        <f>'C3LPG'!Q61</f>
        <v>6</v>
      </c>
      <c r="I5" s="306">
        <f>'C3LPG'!R61</f>
        <v>0</v>
      </c>
      <c r="J5" s="306">
        <f>'C3LPG'!S61</f>
        <v>4</v>
      </c>
      <c r="K5" s="306">
        <f>'C3LPG'!T61</f>
        <v>1.2</v>
      </c>
      <c r="L5" s="306">
        <f>'C3LPG'!U61</f>
        <v>0</v>
      </c>
      <c r="M5" s="306">
        <f>'C3LPG'!V61</f>
        <v>0</v>
      </c>
      <c r="N5" s="306">
        <f>'C3LPG'!W61</f>
        <v>13</v>
      </c>
      <c r="O5" s="306">
        <f>'C3LPG'!X61</f>
        <v>11.6</v>
      </c>
      <c r="P5" s="306">
        <f>'C3LPG'!Y61</f>
        <v>19</v>
      </c>
      <c r="Q5" s="306">
        <f>'C3LPG'!Z61</f>
        <v>15</v>
      </c>
      <c r="R5" s="306">
        <f>'C3LPG'!AA61</f>
        <v>0</v>
      </c>
      <c r="S5" s="306">
        <f>'C3LPG'!AB61</f>
        <v>2</v>
      </c>
      <c r="T5" s="306">
        <f>'C3LPG'!AC61</f>
        <v>0</v>
      </c>
      <c r="U5" s="306">
        <f>'C3LPG'!AD61</f>
        <v>0</v>
      </c>
      <c r="V5" s="306">
        <f>'C3LPG'!AE61</f>
        <v>0</v>
      </c>
      <c r="W5" s="306">
        <f>'C3LPG'!AF61</f>
        <v>0</v>
      </c>
      <c r="X5" s="306">
        <f>'C3LPG'!AG61</f>
        <v>0</v>
      </c>
      <c r="Y5" s="306">
        <f>'C3LPG'!AH61</f>
        <v>1</v>
      </c>
      <c r="Z5" s="306">
        <f>'C3LPG'!AI61</f>
        <v>4</v>
      </c>
      <c r="AA5" s="306">
        <f>'C3LPG'!AJ61</f>
        <v>0</v>
      </c>
      <c r="AB5" s="306">
        <f>'C3LPG'!AK61</f>
        <v>0</v>
      </c>
      <c r="AC5" s="306">
        <f>'C3LPG'!AL61</f>
        <v>0</v>
      </c>
      <c r="AD5" s="306">
        <f>'C3LPG'!AM61</f>
        <v>0</v>
      </c>
      <c r="AE5" s="306">
        <f>'C3LPG'!AN61</f>
        <v>0</v>
      </c>
      <c r="AF5" s="306">
        <f>'C3LPG'!AO61</f>
        <v>0</v>
      </c>
      <c r="AG5" s="306">
        <f>'C3LPG'!AP61</f>
        <v>0</v>
      </c>
      <c r="AH5" s="306">
        <f>'C3LPG'!AQ61</f>
        <v>0</v>
      </c>
      <c r="AI5" s="306">
        <f>'C3LPG'!AR61</f>
        <v>0</v>
      </c>
      <c r="AJ5" s="306">
        <f>'C3LPG'!AS61</f>
        <v>0</v>
      </c>
      <c r="AK5" s="306">
        <f>'C3LPG'!AT61</f>
        <v>0</v>
      </c>
      <c r="AL5" s="306">
        <f>'C3LPG'!AU61</f>
        <v>0</v>
      </c>
      <c r="AM5" s="306">
        <f>'C3LPG'!AV61</f>
        <v>0</v>
      </c>
    </row>
    <row r="6" spans="1:39" s="276" customFormat="1">
      <c r="A6" s="282" t="s">
        <v>46</v>
      </c>
      <c r="B6" s="283" t="s">
        <v>43</v>
      </c>
      <c r="C6" s="306">
        <v>14.1</v>
      </c>
      <c r="D6" s="306">
        <f>'C3LPG'!M8</f>
        <v>0</v>
      </c>
      <c r="E6" s="306">
        <f>'C3LPG'!N8</f>
        <v>3.4</v>
      </c>
      <c r="F6" s="306">
        <f>'C3LPG'!O8</f>
        <v>0</v>
      </c>
      <c r="G6" s="306">
        <f>'C3LPG'!P8</f>
        <v>0</v>
      </c>
      <c r="H6" s="306">
        <f>'C3LPG'!Q8</f>
        <v>2</v>
      </c>
      <c r="I6" s="306">
        <f>'C3LPG'!R8</f>
        <v>3.58</v>
      </c>
      <c r="J6" s="306">
        <f>'C3LPG'!S8</f>
        <v>23</v>
      </c>
      <c r="K6" s="306">
        <f>'C3LPG'!T8</f>
        <v>27</v>
      </c>
      <c r="L6" s="306">
        <f>'C3LPG'!U8</f>
        <v>13</v>
      </c>
      <c r="M6" s="306">
        <f>'C3LPG'!V8</f>
        <v>7</v>
      </c>
      <c r="N6" s="306">
        <f>'C3LPG'!W8</f>
        <v>32</v>
      </c>
      <c r="O6" s="306">
        <f>'C3LPG'!X8</f>
        <v>20.677</v>
      </c>
      <c r="P6" s="306">
        <f>'C3LPG'!Y8</f>
        <v>6</v>
      </c>
      <c r="Q6" s="306">
        <f>'C3LPG'!Z8</f>
        <v>39</v>
      </c>
      <c r="R6" s="306">
        <f>'C3LPG'!AA8</f>
        <v>37</v>
      </c>
      <c r="S6" s="306">
        <f>'C3LPG'!AB8</f>
        <v>29.5</v>
      </c>
      <c r="T6" s="306">
        <f>'C3LPG'!AC8</f>
        <v>35</v>
      </c>
      <c r="U6" s="306">
        <f>'C3LPG'!AD8</f>
        <v>31.5</v>
      </c>
      <c r="V6" s="306">
        <f>'C3LPG'!AE8</f>
        <v>100</v>
      </c>
      <c r="W6" s="306">
        <f>'C3LPG'!AF8</f>
        <v>26</v>
      </c>
      <c r="X6" s="306">
        <f>'C3LPG'!AG8</f>
        <v>51</v>
      </c>
      <c r="Y6" s="306">
        <f>'C3LPG'!AH8</f>
        <v>42</v>
      </c>
      <c r="Z6" s="306">
        <f>'C3LPG'!AI8</f>
        <v>32</v>
      </c>
      <c r="AA6" s="306">
        <f>'C3LPG'!AJ8</f>
        <v>39</v>
      </c>
      <c r="AB6" s="306">
        <f>'C3LPG'!AK8</f>
        <v>58</v>
      </c>
      <c r="AC6" s="306">
        <f>'C3LPG'!AL8</f>
        <v>64</v>
      </c>
      <c r="AD6" s="306">
        <f>'C3LPG'!AM8</f>
        <v>76</v>
      </c>
      <c r="AE6" s="306">
        <f>'C3LPG'!AN8</f>
        <v>87</v>
      </c>
      <c r="AF6" s="306">
        <f>'C3LPG'!AO8</f>
        <v>93</v>
      </c>
      <c r="AG6" s="306">
        <f>'C3LPG'!AP8</f>
        <v>91</v>
      </c>
      <c r="AH6" s="306">
        <f>'C3LPG'!AQ8</f>
        <v>101</v>
      </c>
      <c r="AI6" s="306">
        <f>'C3LPG'!AR8</f>
        <v>108</v>
      </c>
      <c r="AJ6" s="306">
        <f>'C3LPG'!AS8</f>
        <v>91</v>
      </c>
      <c r="AK6" s="306">
        <f>'C3LPG'!AT8</f>
        <v>94</v>
      </c>
      <c r="AL6" s="306">
        <f>'C3LPG'!AU8</f>
        <v>95</v>
      </c>
      <c r="AM6" s="306">
        <f>'C3LPG'!AV8</f>
        <v>105</v>
      </c>
    </row>
    <row r="7" spans="1:39" s="276" customFormat="1">
      <c r="A7" s="280" t="s">
        <v>6</v>
      </c>
      <c r="B7" s="281" t="s">
        <v>43</v>
      </c>
      <c r="C7" s="305">
        <f t="shared" ref="C7:AF7" si="5">+C8+C9+C13</f>
        <v>344.06112309999997</v>
      </c>
      <c r="D7" s="305">
        <f t="shared" si="5"/>
        <v>315.41329082000004</v>
      </c>
      <c r="E7" s="305">
        <f t="shared" si="5"/>
        <v>273.98145952999994</v>
      </c>
      <c r="F7" s="305">
        <f t="shared" si="5"/>
        <v>305.178</v>
      </c>
      <c r="G7" s="305">
        <f t="shared" si="5"/>
        <v>266.24</v>
      </c>
      <c r="H7" s="305">
        <f t="shared" si="5"/>
        <v>220.37659381</v>
      </c>
      <c r="I7" s="305">
        <f t="shared" si="5"/>
        <v>259.59017382000002</v>
      </c>
      <c r="J7" s="305">
        <f t="shared" si="5"/>
        <v>276.56</v>
      </c>
      <c r="K7" s="305">
        <f t="shared" si="5"/>
        <v>301.61236263736265</v>
      </c>
      <c r="L7" s="305">
        <f t="shared" si="5"/>
        <v>277.89999999999998</v>
      </c>
      <c r="M7" s="305">
        <f t="shared" si="5"/>
        <v>296.91999999999996</v>
      </c>
      <c r="N7" s="305">
        <f t="shared" si="5"/>
        <v>295.10240770999997</v>
      </c>
      <c r="O7" s="305">
        <f t="shared" si="5"/>
        <v>307.56399999999996</v>
      </c>
      <c r="P7" s="305">
        <f t="shared" si="5"/>
        <v>298.947</v>
      </c>
      <c r="Q7" s="305">
        <f t="shared" si="5"/>
        <v>302.78343945</v>
      </c>
      <c r="R7" s="305">
        <f t="shared" si="5"/>
        <v>326.94600000000003</v>
      </c>
      <c r="S7" s="305">
        <f t="shared" si="5"/>
        <v>296.59099999999995</v>
      </c>
      <c r="T7" s="305">
        <f t="shared" si="5"/>
        <v>341.82699999999994</v>
      </c>
      <c r="U7" s="305">
        <f t="shared" si="5"/>
        <v>327.12</v>
      </c>
      <c r="V7" s="305">
        <f t="shared" si="5"/>
        <v>316.03899999999999</v>
      </c>
      <c r="W7" s="305">
        <f t="shared" si="5"/>
        <v>293.09399999999999</v>
      </c>
      <c r="X7" s="305">
        <f t="shared" si="5"/>
        <v>321.53599999999994</v>
      </c>
      <c r="Y7" s="305">
        <f t="shared" si="5"/>
        <v>282.89500000000004</v>
      </c>
      <c r="Z7" s="305">
        <f t="shared" si="5"/>
        <v>284.32</v>
      </c>
      <c r="AA7" s="305">
        <f t="shared" si="5"/>
        <v>290.26411431000002</v>
      </c>
      <c r="AB7" s="305">
        <f t="shared" si="5"/>
        <v>327.08440959000001</v>
      </c>
      <c r="AC7" s="305">
        <f t="shared" si="5"/>
        <v>304.06360789999997</v>
      </c>
      <c r="AD7" s="305">
        <f t="shared" si="5"/>
        <v>331.53893929999998</v>
      </c>
      <c r="AE7" s="305">
        <f t="shared" si="5"/>
        <v>331.40306277000002</v>
      </c>
      <c r="AF7" s="305">
        <f t="shared" si="5"/>
        <v>332.95426757820934</v>
      </c>
      <c r="AG7" s="305">
        <f t="shared" ref="AG7:AM7" si="6">+AG8+AG9+AG13</f>
        <v>370.88459254428005</v>
      </c>
      <c r="AH7" s="305">
        <f t="shared" si="6"/>
        <v>399.04065637958104</v>
      </c>
      <c r="AI7" s="305">
        <f t="shared" si="6"/>
        <v>384.77791420161725</v>
      </c>
      <c r="AJ7" s="305">
        <f t="shared" si="6"/>
        <v>372.9789775142832</v>
      </c>
      <c r="AK7" s="305">
        <f t="shared" si="6"/>
        <v>402.85340915005929</v>
      </c>
      <c r="AL7" s="305">
        <f t="shared" si="6"/>
        <v>394.09894053866958</v>
      </c>
      <c r="AM7" s="305">
        <f t="shared" si="6"/>
        <v>369.50987097982261</v>
      </c>
    </row>
    <row r="8" spans="1:39" s="276" customFormat="1">
      <c r="A8" s="282" t="s">
        <v>93</v>
      </c>
      <c r="B8" s="283" t="s">
        <v>43</v>
      </c>
      <c r="C8" s="306">
        <v>127.133</v>
      </c>
      <c r="D8" s="306">
        <f>'C3LPG'!M172</f>
        <v>109.81</v>
      </c>
      <c r="E8" s="306">
        <f>'C3LPG'!N172</f>
        <v>84.705999999999989</v>
      </c>
      <c r="F8" s="306">
        <f>'C3LPG'!O172</f>
        <v>119.328</v>
      </c>
      <c r="G8" s="306">
        <f>'C3LPG'!P172</f>
        <v>121.05</v>
      </c>
      <c r="H8" s="306">
        <f>'C3LPG'!Q172</f>
        <v>73.457999999999998</v>
      </c>
      <c r="I8" s="306">
        <f>'C3LPG'!R172</f>
        <v>99.144000000000005</v>
      </c>
      <c r="J8" s="306">
        <f>'C3LPG'!S172</f>
        <v>95.72999999999999</v>
      </c>
      <c r="K8" s="306">
        <f>'C3LPG'!T172</f>
        <v>108.71236263736263</v>
      </c>
      <c r="L8" s="306">
        <f>'C3LPG'!U172</f>
        <v>94.41</v>
      </c>
      <c r="M8" s="306">
        <f>'C3LPG'!V172</f>
        <v>97.06</v>
      </c>
      <c r="N8" s="306">
        <f>'C3LPG'!W172</f>
        <v>100.8</v>
      </c>
      <c r="O8" s="306">
        <f>'C3LPG'!X172</f>
        <v>112.874</v>
      </c>
      <c r="P8" s="306">
        <f>'C3LPG'!Y172</f>
        <v>114.867</v>
      </c>
      <c r="Q8" s="306">
        <f>'C3LPG'!Z172</f>
        <v>120.536</v>
      </c>
      <c r="R8" s="306">
        <f>'C3LPG'!AA172</f>
        <v>128.65600000000001</v>
      </c>
      <c r="S8" s="306">
        <f>'C3LPG'!AB172</f>
        <v>128.49099999999999</v>
      </c>
      <c r="T8" s="306">
        <f>'C3LPG'!AC172</f>
        <v>171.02699999999999</v>
      </c>
      <c r="U8" s="306">
        <f>'C3LPG'!AD172</f>
        <v>148.04000000000002</v>
      </c>
      <c r="V8" s="306">
        <f>'C3LPG'!AE172</f>
        <v>131.059</v>
      </c>
      <c r="W8" s="306">
        <f>'C3LPG'!AF172</f>
        <v>123.10399999999998</v>
      </c>
      <c r="X8" s="306">
        <f>'C3LPG'!AG172</f>
        <v>147.90600000000001</v>
      </c>
      <c r="Y8" s="306">
        <f>'C3LPG'!AH172</f>
        <v>107.60600000000001</v>
      </c>
      <c r="Z8" s="306">
        <f>'C3LPG'!AI172</f>
        <v>102.54</v>
      </c>
      <c r="AA8" s="306">
        <f>'C3LPG'!AJ172</f>
        <v>100.694</v>
      </c>
      <c r="AB8" s="306">
        <f>'C3LPG'!AK172</f>
        <v>130.834</v>
      </c>
      <c r="AC8" s="306">
        <f>'C3LPG'!AL172</f>
        <v>114.32999999999998</v>
      </c>
      <c r="AD8" s="306">
        <f>'C3LPG'!AM172</f>
        <v>134.18899999999999</v>
      </c>
      <c r="AE8" s="306">
        <f>'C3LPG'!AN172</f>
        <v>132.476</v>
      </c>
      <c r="AF8" s="306">
        <f>'C3LPG'!AO172</f>
        <v>136.48346471820935</v>
      </c>
      <c r="AG8" s="306">
        <f>'C3LPG'!AP172</f>
        <v>174.7555270642801</v>
      </c>
      <c r="AH8" s="306">
        <f>'C3LPG'!AQ172</f>
        <v>190.46904937958104</v>
      </c>
      <c r="AI8" s="306">
        <f>'C3LPG'!AR172</f>
        <v>176.73791420161729</v>
      </c>
      <c r="AJ8" s="306">
        <f>'C3LPG'!AS172</f>
        <v>161.78897751428326</v>
      </c>
      <c r="AK8" s="306">
        <f>'C3LPG'!AT172</f>
        <v>188.14221982005932</v>
      </c>
      <c r="AL8" s="306">
        <f>'C3LPG'!AU172</f>
        <v>183.52159288866955</v>
      </c>
      <c r="AM8" s="306">
        <f>'C3LPG'!AV172</f>
        <v>158.93987097982264</v>
      </c>
    </row>
    <row r="9" spans="1:39" s="276" customFormat="1">
      <c r="A9" s="282" t="s">
        <v>94</v>
      </c>
      <c r="B9" s="283" t="s">
        <v>43</v>
      </c>
      <c r="C9" s="307">
        <f t="shared" ref="C9:M9" si="7">+C10+C11+C12</f>
        <v>216.92812309999997</v>
      </c>
      <c r="D9" s="307">
        <f t="shared" si="7"/>
        <v>205.60329082000001</v>
      </c>
      <c r="E9" s="307">
        <f t="shared" si="7"/>
        <v>195.24545953000001</v>
      </c>
      <c r="F9" s="307">
        <f t="shared" si="7"/>
        <v>180</v>
      </c>
      <c r="G9" s="307">
        <f t="shared" si="7"/>
        <v>145.19</v>
      </c>
      <c r="H9" s="307">
        <f t="shared" si="7"/>
        <v>146.91859381</v>
      </c>
      <c r="I9" s="307">
        <f t="shared" si="7"/>
        <v>160.44617381999998</v>
      </c>
      <c r="J9" s="307">
        <f t="shared" si="7"/>
        <v>180.83</v>
      </c>
      <c r="K9" s="307">
        <f t="shared" si="7"/>
        <v>192.9</v>
      </c>
      <c r="L9" s="307">
        <f t="shared" si="7"/>
        <v>188.49</v>
      </c>
      <c r="M9" s="307">
        <f t="shared" si="7"/>
        <v>199.85999999999999</v>
      </c>
      <c r="N9" s="307">
        <f t="shared" ref="N9:T9" si="8">+N10+N11+N12</f>
        <v>194.30240770999998</v>
      </c>
      <c r="O9" s="307">
        <f t="shared" si="8"/>
        <v>194.69</v>
      </c>
      <c r="P9" s="307">
        <f t="shared" si="8"/>
        <v>184.08</v>
      </c>
      <c r="Q9" s="307">
        <f t="shared" si="8"/>
        <v>182.24743945</v>
      </c>
      <c r="R9" s="307">
        <f t="shared" si="8"/>
        <v>198.29</v>
      </c>
      <c r="S9" s="307">
        <f t="shared" si="8"/>
        <v>168.09999999999997</v>
      </c>
      <c r="T9" s="307">
        <f t="shared" si="8"/>
        <v>170.79999999999995</v>
      </c>
      <c r="U9" s="307">
        <f t="shared" ref="U9:AB9" si="9">+U10+U11+U12</f>
        <v>179.07999999999998</v>
      </c>
      <c r="V9" s="307">
        <f t="shared" si="9"/>
        <v>184.97999999999996</v>
      </c>
      <c r="W9" s="307">
        <f t="shared" si="9"/>
        <v>171.99</v>
      </c>
      <c r="X9" s="307">
        <f t="shared" si="9"/>
        <v>173.62999999999997</v>
      </c>
      <c r="Y9" s="307">
        <f t="shared" si="9"/>
        <v>175.28900000000002</v>
      </c>
      <c r="Z9" s="307">
        <f t="shared" si="9"/>
        <v>181.27999999999997</v>
      </c>
      <c r="AA9" s="307">
        <f t="shared" si="9"/>
        <v>189.57011431000001</v>
      </c>
      <c r="AB9" s="307">
        <f t="shared" si="9"/>
        <v>196.25040959</v>
      </c>
      <c r="AC9" s="307">
        <f t="shared" ref="AC9:AD9" si="10">+AC10+AC11+AC12</f>
        <v>189.73360789999998</v>
      </c>
      <c r="AD9" s="307">
        <f t="shared" si="10"/>
        <v>197.34993929999999</v>
      </c>
      <c r="AE9" s="307">
        <f t="shared" ref="AE9:AF9" si="11">+AE10+AE11+AE12</f>
        <v>198.92706276999999</v>
      </c>
      <c r="AF9" s="307">
        <f t="shared" si="11"/>
        <v>196.47080285999999</v>
      </c>
      <c r="AG9" s="307">
        <f t="shared" ref="AG9:AM9" si="12">+AG10+AG11+AG12</f>
        <v>196.12906547999998</v>
      </c>
      <c r="AH9" s="307">
        <f t="shared" si="12"/>
        <v>208.57160699999997</v>
      </c>
      <c r="AI9" s="307">
        <f t="shared" si="12"/>
        <v>208.04</v>
      </c>
      <c r="AJ9" s="307">
        <f t="shared" si="12"/>
        <v>211.18999999999997</v>
      </c>
      <c r="AK9" s="307">
        <f t="shared" si="12"/>
        <v>214.71118933</v>
      </c>
      <c r="AL9" s="307">
        <f t="shared" si="12"/>
        <v>210.57734765000001</v>
      </c>
      <c r="AM9" s="307">
        <f t="shared" si="12"/>
        <v>210.57</v>
      </c>
    </row>
    <row r="10" spans="1:39" s="276" customFormat="1">
      <c r="A10" s="284" t="s">
        <v>95</v>
      </c>
      <c r="B10" s="285" t="s">
        <v>43</v>
      </c>
      <c r="C10" s="306">
        <v>24.62</v>
      </c>
      <c r="D10" s="306">
        <f>'C3LPG'!M176</f>
        <v>22.66</v>
      </c>
      <c r="E10" s="306">
        <f>'C3LPG'!N176</f>
        <v>18.09</v>
      </c>
      <c r="F10" s="306">
        <f>'C3LPG'!O176</f>
        <v>17.23</v>
      </c>
      <c r="G10" s="306">
        <f>'C3LPG'!P176</f>
        <v>11.25</v>
      </c>
      <c r="H10" s="306">
        <f>'C3LPG'!Q176</f>
        <v>12.100000000000001</v>
      </c>
      <c r="I10" s="306">
        <f>'C3LPG'!R176</f>
        <v>17.88</v>
      </c>
      <c r="J10" s="306">
        <f>'C3LPG'!S176</f>
        <v>23.200000000000003</v>
      </c>
      <c r="K10" s="306">
        <f>'C3LPG'!T176</f>
        <v>31.1</v>
      </c>
      <c r="L10" s="306">
        <f>'C3LPG'!U176</f>
        <v>28.200000000000003</v>
      </c>
      <c r="M10" s="306">
        <f>'C3LPG'!V176</f>
        <v>31.5</v>
      </c>
      <c r="N10" s="306">
        <f>'C3LPG'!W176</f>
        <v>32.200000000000003</v>
      </c>
      <c r="O10" s="306">
        <f>'C3LPG'!X176</f>
        <v>30.77</v>
      </c>
      <c r="P10" s="306">
        <f>'C3LPG'!Y176</f>
        <v>26.55</v>
      </c>
      <c r="Q10" s="306">
        <f>'C3LPG'!Z176</f>
        <v>32.519999999999996</v>
      </c>
      <c r="R10" s="306">
        <f>'C3LPG'!AA176</f>
        <v>34.83</v>
      </c>
      <c r="S10" s="306">
        <f>'C3LPG'!AB176</f>
        <v>29.07</v>
      </c>
      <c r="T10" s="306">
        <f>'C3LPG'!AC176</f>
        <v>28.519999999999996</v>
      </c>
      <c r="U10" s="306">
        <f>'C3LPG'!AD176</f>
        <v>36.29</v>
      </c>
      <c r="V10" s="306">
        <f>'C3LPG'!AE176</f>
        <v>38.450000000000003</v>
      </c>
      <c r="W10" s="306">
        <f>'C3LPG'!AF176</f>
        <v>32.43</v>
      </c>
      <c r="X10" s="306">
        <f>'C3LPG'!AG176</f>
        <v>33.450000000000003</v>
      </c>
      <c r="Y10" s="306">
        <f>'C3LPG'!AH176</f>
        <v>29.48</v>
      </c>
      <c r="Z10" s="306">
        <f>'C3LPG'!AI176</f>
        <v>33.449999999999996</v>
      </c>
      <c r="AA10" s="306">
        <f>'C3LPG'!AJ176</f>
        <v>34.08</v>
      </c>
      <c r="AB10" s="306">
        <f>'C3LPG'!AK176</f>
        <v>29.84</v>
      </c>
      <c r="AC10" s="306">
        <f>'C3LPG'!AL176</f>
        <v>37.69</v>
      </c>
      <c r="AD10" s="306">
        <f>'C3LPG'!AM176</f>
        <v>38.489999999999995</v>
      </c>
      <c r="AE10" s="306">
        <f>'C3LPG'!AN176</f>
        <v>43.91</v>
      </c>
      <c r="AF10" s="306">
        <f>'C3LPG'!AO176</f>
        <v>38.489999999999995</v>
      </c>
      <c r="AG10" s="306">
        <f>'C3LPG'!AP176</f>
        <v>38.75</v>
      </c>
      <c r="AH10" s="306">
        <f>'C3LPG'!AQ176</f>
        <v>49.089999999999996</v>
      </c>
      <c r="AI10" s="306">
        <f>'C3LPG'!AR176</f>
        <v>47.83</v>
      </c>
      <c r="AJ10" s="306">
        <f>'C3LPG'!AS176</f>
        <v>49.449999999999996</v>
      </c>
      <c r="AK10" s="306">
        <f>'C3LPG'!AT176</f>
        <v>50.7</v>
      </c>
      <c r="AL10" s="306">
        <f>'C3LPG'!AU176</f>
        <v>50.43</v>
      </c>
      <c r="AM10" s="306">
        <f>'C3LPG'!AV176</f>
        <v>50.43</v>
      </c>
    </row>
    <row r="11" spans="1:39" s="276" customFormat="1">
      <c r="A11" s="284" t="s">
        <v>96</v>
      </c>
      <c r="B11" s="285" t="s">
        <v>43</v>
      </c>
      <c r="C11" s="306">
        <v>191.20567744999997</v>
      </c>
      <c r="D11" s="306">
        <f>'C3LPG'!M177</f>
        <v>181.64329082</v>
      </c>
      <c r="E11" s="306">
        <f>'C3LPG'!N177</f>
        <v>175.59545953</v>
      </c>
      <c r="F11" s="306">
        <f>'C3LPG'!O177</f>
        <v>161.47</v>
      </c>
      <c r="G11" s="306">
        <f>'C3LPG'!P177</f>
        <v>132.49</v>
      </c>
      <c r="H11" s="306">
        <f>'C3LPG'!Q177</f>
        <v>133.46</v>
      </c>
      <c r="I11" s="306">
        <f>'C3LPG'!R177</f>
        <v>141.44</v>
      </c>
      <c r="J11" s="306">
        <f>'C3LPG'!S177</f>
        <v>156.22999999999999</v>
      </c>
      <c r="K11" s="306">
        <f>'C3LPG'!T177</f>
        <v>160.78</v>
      </c>
      <c r="L11" s="306">
        <f>'C3LPG'!U177</f>
        <v>158.84</v>
      </c>
      <c r="M11" s="306">
        <f>'C3LPG'!V177</f>
        <v>166.91</v>
      </c>
      <c r="N11" s="306">
        <f>'C3LPG'!W177</f>
        <v>160.70240770999999</v>
      </c>
      <c r="O11" s="306">
        <f>'C3LPG'!X177</f>
        <v>162.72</v>
      </c>
      <c r="P11" s="306">
        <f>'C3LPG'!Y177</f>
        <v>156.13</v>
      </c>
      <c r="Q11" s="306">
        <f>'C3LPG'!Z177</f>
        <v>148.42743945000001</v>
      </c>
      <c r="R11" s="306">
        <f>'C3LPG'!AA177</f>
        <v>162.11000000000001</v>
      </c>
      <c r="S11" s="306">
        <f>'C3LPG'!AB177</f>
        <v>137.82999999999998</v>
      </c>
      <c r="T11" s="306">
        <f>'C3LPG'!AC177</f>
        <v>140.82999999999998</v>
      </c>
      <c r="U11" s="306">
        <f>'C3LPG'!AD177</f>
        <v>141.32</v>
      </c>
      <c r="V11" s="306">
        <f>'C3LPG'!AE177</f>
        <v>145.26999999999998</v>
      </c>
      <c r="W11" s="306">
        <f>'C3LPG'!AF177</f>
        <v>138.22999999999999</v>
      </c>
      <c r="X11" s="306">
        <f>'C3LPG'!AG177</f>
        <v>138.94999999999999</v>
      </c>
      <c r="Y11" s="306">
        <f>'C3LPG'!AH177</f>
        <v>144.75900000000001</v>
      </c>
      <c r="Z11" s="306">
        <f>'C3LPG'!AI177</f>
        <v>146.32999999999998</v>
      </c>
      <c r="AA11" s="306">
        <f>'C3LPG'!AJ177</f>
        <v>153.94011431000001</v>
      </c>
      <c r="AB11" s="306">
        <f>'C3LPG'!AK177</f>
        <v>165.00040959</v>
      </c>
      <c r="AC11" s="306">
        <f>'C3LPG'!AL177</f>
        <v>150.66360789999999</v>
      </c>
      <c r="AD11" s="306">
        <f>'C3LPG'!AM177</f>
        <v>157.95993929999997</v>
      </c>
      <c r="AE11" s="306">
        <f>'C3LPG'!AN177</f>
        <v>154.06706277000001</v>
      </c>
      <c r="AF11" s="306">
        <f>'C3LPG'!AO177</f>
        <v>157.03080285999999</v>
      </c>
      <c r="AG11" s="306">
        <f>'C3LPG'!AP177</f>
        <v>156.47906547999997</v>
      </c>
      <c r="AH11" s="306">
        <f>'C3LPG'!AQ177</f>
        <v>158.38160699999997</v>
      </c>
      <c r="AI11" s="306">
        <f>'C3LPG'!AR177</f>
        <v>159.10999999999999</v>
      </c>
      <c r="AJ11" s="306">
        <f>'C3LPG'!AS177</f>
        <v>160.63999999999999</v>
      </c>
      <c r="AK11" s="306">
        <f>'C3LPG'!AT177</f>
        <v>162.91118932999998</v>
      </c>
      <c r="AL11" s="306">
        <f>'C3LPG'!AU177</f>
        <v>159.04734765000001</v>
      </c>
      <c r="AM11" s="306">
        <f>'C3LPG'!AV177</f>
        <v>159.04</v>
      </c>
    </row>
    <row r="12" spans="1:39" s="276" customFormat="1">
      <c r="A12" s="284" t="s">
        <v>97</v>
      </c>
      <c r="B12" s="285" t="s">
        <v>43</v>
      </c>
      <c r="C12" s="306">
        <v>1.1024456499999999</v>
      </c>
      <c r="D12" s="306">
        <f>'C3LPG'!M178</f>
        <v>1.3</v>
      </c>
      <c r="E12" s="306">
        <f>'C3LPG'!N178</f>
        <v>1.56</v>
      </c>
      <c r="F12" s="306">
        <f>'C3LPG'!O178</f>
        <v>1.3</v>
      </c>
      <c r="G12" s="306">
        <f>'C3LPG'!P178</f>
        <v>1.45</v>
      </c>
      <c r="H12" s="306">
        <f>'C3LPG'!Q178</f>
        <v>1.3585938099999999</v>
      </c>
      <c r="I12" s="306">
        <f>'C3LPG'!R178</f>
        <v>1.12617382</v>
      </c>
      <c r="J12" s="306">
        <f>'C3LPG'!S178</f>
        <v>1.4</v>
      </c>
      <c r="K12" s="306">
        <f>'C3LPG'!T178</f>
        <v>1.02</v>
      </c>
      <c r="L12" s="306">
        <f>'C3LPG'!U178</f>
        <v>1.45</v>
      </c>
      <c r="M12" s="306">
        <f>'C3LPG'!V178</f>
        <v>1.4500000000000002</v>
      </c>
      <c r="N12" s="306">
        <f>'C3LPG'!W178</f>
        <v>1.4</v>
      </c>
      <c r="O12" s="306">
        <f>'C3LPG'!X178</f>
        <v>1.2</v>
      </c>
      <c r="P12" s="306">
        <f>'C3LPG'!Y178</f>
        <v>1.4</v>
      </c>
      <c r="Q12" s="306">
        <f>'C3LPG'!Z178</f>
        <v>1.2999999999999998</v>
      </c>
      <c r="R12" s="306">
        <f>'C3LPG'!AA178</f>
        <v>1.35</v>
      </c>
      <c r="S12" s="306">
        <f>'C3LPG'!AB178</f>
        <v>1.2</v>
      </c>
      <c r="T12" s="306">
        <f>'C3LPG'!AC178</f>
        <v>1.45</v>
      </c>
      <c r="U12" s="306">
        <f>'C3LPG'!AD178</f>
        <v>1.47</v>
      </c>
      <c r="V12" s="306">
        <f>'C3LPG'!AE178</f>
        <v>1.26</v>
      </c>
      <c r="W12" s="306">
        <f>'C3LPG'!AF178</f>
        <v>1.33</v>
      </c>
      <c r="X12" s="306">
        <f>'C3LPG'!AG178</f>
        <v>1.23</v>
      </c>
      <c r="Y12" s="306">
        <f>'C3LPG'!AH178</f>
        <v>1.05</v>
      </c>
      <c r="Z12" s="306">
        <f>'C3LPG'!AI178</f>
        <v>1.5</v>
      </c>
      <c r="AA12" s="306">
        <f>'C3LPG'!AJ178</f>
        <v>1.55</v>
      </c>
      <c r="AB12" s="306">
        <f>'C3LPG'!AK178</f>
        <v>1.4100000000000001</v>
      </c>
      <c r="AC12" s="306">
        <f>'C3LPG'!AL178</f>
        <v>1.38</v>
      </c>
      <c r="AD12" s="306">
        <f>'C3LPG'!AM178</f>
        <v>0.9</v>
      </c>
      <c r="AE12" s="306">
        <f>'C3LPG'!AN178</f>
        <v>0.95</v>
      </c>
      <c r="AF12" s="306">
        <f>'C3LPG'!AO178</f>
        <v>0.95</v>
      </c>
      <c r="AG12" s="306">
        <f>'C3LPG'!AP178</f>
        <v>0.9</v>
      </c>
      <c r="AH12" s="306">
        <f>'C3LPG'!AQ178</f>
        <v>1.1000000000000001</v>
      </c>
      <c r="AI12" s="306">
        <f>'C3LPG'!AR178</f>
        <v>1.1000000000000001</v>
      </c>
      <c r="AJ12" s="306">
        <f>'C3LPG'!AS178</f>
        <v>1.1000000000000001</v>
      </c>
      <c r="AK12" s="306">
        <f>'C3LPG'!AT178</f>
        <v>1.1000000000000001</v>
      </c>
      <c r="AL12" s="306">
        <f>'C3LPG'!AU178</f>
        <v>1.1000000000000001</v>
      </c>
      <c r="AM12" s="306">
        <f>'C3LPG'!AV178</f>
        <v>1.1000000000000001</v>
      </c>
    </row>
    <row r="13" spans="1:39" s="276" customFormat="1">
      <c r="A13" s="282" t="s">
        <v>98</v>
      </c>
      <c r="B13" s="283" t="s">
        <v>43</v>
      </c>
      <c r="C13" s="306"/>
      <c r="D13" s="306">
        <f>'C3LPG'!M9</f>
        <v>0</v>
      </c>
      <c r="E13" s="306">
        <f>'C3LPG'!N9</f>
        <v>-5.97</v>
      </c>
      <c r="F13" s="306">
        <f>'C3LPG'!O9</f>
        <v>5.85</v>
      </c>
      <c r="G13" s="306">
        <f>'C3LPG'!P9</f>
        <v>0</v>
      </c>
      <c r="H13" s="306">
        <f>'C3LPG'!Q9</f>
        <v>0</v>
      </c>
      <c r="I13" s="306">
        <f>'C3LPG'!R9</f>
        <v>0</v>
      </c>
      <c r="J13" s="306">
        <f>'C3LPG'!S9</f>
        <v>0</v>
      </c>
      <c r="K13" s="306">
        <f>'C3LPG'!T9</f>
        <v>0</v>
      </c>
      <c r="L13" s="306">
        <f>'C3LPG'!U9</f>
        <v>-5</v>
      </c>
      <c r="M13" s="306">
        <f>'C3LPG'!V9</f>
        <v>0</v>
      </c>
      <c r="N13" s="306">
        <f>'C3LPG'!W9</f>
        <v>0</v>
      </c>
      <c r="O13" s="306">
        <f>'C3LPG'!X9</f>
        <v>0</v>
      </c>
      <c r="P13" s="306">
        <f>'C3LPG'!Y9</f>
        <v>0</v>
      </c>
      <c r="Q13" s="306">
        <f>'C3LPG'!Z9</f>
        <v>0</v>
      </c>
      <c r="R13" s="306">
        <f>'C3LPG'!AA9</f>
        <v>0</v>
      </c>
      <c r="S13" s="306">
        <f>'C3LPG'!AB9</f>
        <v>0</v>
      </c>
      <c r="T13" s="306">
        <f>'C3LPG'!AC9</f>
        <v>0</v>
      </c>
      <c r="U13" s="306">
        <f>'C3LPG'!AD9</f>
        <v>0</v>
      </c>
      <c r="V13" s="306">
        <f>'C3LPG'!AE9</f>
        <v>0</v>
      </c>
      <c r="W13" s="306">
        <f>'C3LPG'!AF9</f>
        <v>-2</v>
      </c>
      <c r="X13" s="306">
        <f>'C3LPG'!AG9</f>
        <v>0</v>
      </c>
      <c r="Y13" s="306">
        <f>'C3LPG'!AH9</f>
        <v>0</v>
      </c>
      <c r="Z13" s="306">
        <f>'C3LPG'!AI9</f>
        <v>0.5</v>
      </c>
      <c r="AA13" s="306">
        <f>'C3LPG'!AJ9</f>
        <v>0</v>
      </c>
      <c r="AB13" s="306">
        <f>'C3LPG'!AK9</f>
        <v>0</v>
      </c>
      <c r="AC13" s="306">
        <f>'C3LPG'!AL9</f>
        <v>0</v>
      </c>
      <c r="AD13" s="306">
        <f>'C3LPG'!AM9</f>
        <v>0</v>
      </c>
      <c r="AE13" s="306">
        <f>'C3LPG'!AN9</f>
        <v>0</v>
      </c>
      <c r="AF13" s="306">
        <f>'C3LPG'!AO9</f>
        <v>0</v>
      </c>
      <c r="AG13" s="306">
        <f>'C3LPG'!AP9</f>
        <v>0</v>
      </c>
      <c r="AH13" s="306">
        <f>'C3LPG'!AQ9</f>
        <v>0</v>
      </c>
      <c r="AI13" s="306">
        <f>'C3LPG'!AR9</f>
        <v>0</v>
      </c>
      <c r="AJ13" s="306">
        <f>'C3LPG'!AS9</f>
        <v>0</v>
      </c>
      <c r="AK13" s="306">
        <f>'C3LPG'!AT9</f>
        <v>0</v>
      </c>
      <c r="AL13" s="306">
        <f>'C3LPG'!AU9</f>
        <v>0</v>
      </c>
      <c r="AM13" s="306">
        <f>'C3LPG'!AV9</f>
        <v>0</v>
      </c>
    </row>
    <row r="14" spans="1:39" s="276" customFormat="1">
      <c r="A14" s="286" t="s">
        <v>99</v>
      </c>
      <c r="B14" s="287" t="s">
        <v>43</v>
      </c>
      <c r="C14" s="308">
        <v>31.888097230590823</v>
      </c>
      <c r="D14" s="308">
        <f>'C3LPG'!M2</f>
        <v>16.827883907470703</v>
      </c>
      <c r="E14" s="308">
        <f>'C3LPG'!N2</f>
        <v>36.020527630224606</v>
      </c>
      <c r="F14" s="308">
        <f>'C3LPG'!O2</f>
        <v>33.684161457519529</v>
      </c>
      <c r="G14" s="308">
        <f>'C3LPG'!P2</f>
        <v>18.635842199999999</v>
      </c>
      <c r="H14" s="308">
        <f>'C3LPG'!Q2</f>
        <v>29.542833899999998</v>
      </c>
      <c r="I14" s="308">
        <f>'C3LPG'!R2</f>
        <v>14.458839999999999</v>
      </c>
      <c r="J14" s="308">
        <f>'C3LPG'!S2</f>
        <v>18.007720000000003</v>
      </c>
      <c r="K14" s="308">
        <f>'C3LPG'!T2</f>
        <v>15.124660000000002</v>
      </c>
      <c r="L14" s="308">
        <f>'C3LPG'!U2</f>
        <v>26.696860000000001</v>
      </c>
      <c r="M14" s="308">
        <f>'C3LPG'!V2</f>
        <v>14.437240000000001</v>
      </c>
      <c r="N14" s="308">
        <f>'C3LPG'!W2</f>
        <v>22.420850699999999</v>
      </c>
      <c r="O14" s="308">
        <f>'C3LPG'!X2</f>
        <v>18.055042360000002</v>
      </c>
      <c r="P14" s="308">
        <f>'C3LPG'!Y2</f>
        <v>24.4024</v>
      </c>
      <c r="Q14" s="308">
        <f>'C3LPG'!Z2</f>
        <v>28.877920000000003</v>
      </c>
      <c r="R14" s="308">
        <f>'C3LPG'!AA2</f>
        <v>23.042922528000002</v>
      </c>
      <c r="S14" s="308">
        <f>'C3LPG'!AB2</f>
        <v>33.906688200000005</v>
      </c>
      <c r="T14" s="308">
        <f>'C3LPG'!AC2</f>
        <v>33.714913788000004</v>
      </c>
      <c r="U14" s="308">
        <f>'C3LPG'!AD2</f>
        <v>20.090257854000004</v>
      </c>
      <c r="V14" s="308">
        <f>'C3LPG'!AE2</f>
        <v>18.548406900000003</v>
      </c>
      <c r="W14" s="308">
        <f>'C3LPG'!AF2</f>
        <v>27.909638357999999</v>
      </c>
      <c r="X14" s="308">
        <f>'C3LPG'!AG2</f>
        <v>13.881282000000002</v>
      </c>
      <c r="Y14" s="308">
        <f>'C3LPG'!AH2</f>
        <v>13.449996600000002</v>
      </c>
      <c r="Z14" s="308">
        <f>'C3LPG'!AI2</f>
        <v>17.451211600000001</v>
      </c>
      <c r="AA14" s="308">
        <f>'C3LPG'!AJ2</f>
        <v>25.887097290000007</v>
      </c>
      <c r="AB14" s="308">
        <f>'C3LPG'!AK2</f>
        <v>23.690831716227198</v>
      </c>
      <c r="AC14" s="308">
        <f>'C3LPG'!AL2</f>
        <v>22.423405807138003</v>
      </c>
      <c r="AD14" s="308">
        <f>'C3LPG'!AM2</f>
        <v>22.233604438172467</v>
      </c>
      <c r="AE14" s="308">
        <f>'C3LPG'!AN2</f>
        <v>24.321920978517269</v>
      </c>
      <c r="AF14" s="308">
        <f>'C3LPG'!AO2</f>
        <v>24.449549952032029</v>
      </c>
      <c r="AG14" s="308">
        <f>'C3LPG'!AP2</f>
        <v>22.050343344210212</v>
      </c>
      <c r="AH14" s="308">
        <f>'C3LPG'!AQ2</f>
        <v>22.468919952035897</v>
      </c>
      <c r="AI14" s="308">
        <f>'C3LPG'!AR2</f>
        <v>24.783427142814197</v>
      </c>
      <c r="AJ14" s="308">
        <f>'C3LPG'!AS2</f>
        <v>22.427834914438741</v>
      </c>
      <c r="AK14" s="308">
        <f>'C3LPG'!AT2</f>
        <v>22.827795418128467</v>
      </c>
      <c r="AL14" s="308">
        <f>'C3LPG'!AU2</f>
        <v>24.196399507774935</v>
      </c>
      <c r="AM14" s="308">
        <f>'C3LPG'!AV2</f>
        <v>24.500951904151371</v>
      </c>
    </row>
    <row r="15" spans="1:39" s="276" customFormat="1">
      <c r="A15" s="277" t="s">
        <v>100</v>
      </c>
      <c r="B15" s="278"/>
      <c r="C15" s="309"/>
      <c r="D15" s="309"/>
      <c r="E15" s="310"/>
      <c r="F15" s="310"/>
      <c r="G15" s="310"/>
      <c r="H15" s="310"/>
      <c r="I15" s="310"/>
      <c r="J15" s="310"/>
      <c r="K15" s="310"/>
      <c r="L15" s="310"/>
      <c r="M15" s="310"/>
      <c r="N15" s="310"/>
      <c r="O15" s="310"/>
      <c r="P15" s="310"/>
      <c r="Q15" s="310"/>
      <c r="R15" s="310"/>
      <c r="S15" s="310"/>
      <c r="T15" s="310"/>
      <c r="U15" s="310"/>
      <c r="V15" s="310"/>
      <c r="W15" s="310"/>
      <c r="X15" s="310"/>
      <c r="Y15" s="310"/>
      <c r="Z15" s="310"/>
      <c r="AA15" s="310"/>
      <c r="AB15" s="310"/>
      <c r="AC15" s="310"/>
      <c r="AD15" s="310"/>
      <c r="AE15" s="310"/>
      <c r="AF15" s="310"/>
      <c r="AG15" s="310"/>
      <c r="AH15" s="310"/>
      <c r="AI15" s="310"/>
      <c r="AJ15" s="310"/>
      <c r="AK15" s="310"/>
      <c r="AL15" s="310"/>
      <c r="AM15" s="310"/>
    </row>
    <row r="16" spans="1:39" s="276" customFormat="1">
      <c r="A16" s="280" t="s">
        <v>90</v>
      </c>
      <c r="B16" s="289" t="s">
        <v>43</v>
      </c>
      <c r="C16" s="311">
        <f>+C17+C18</f>
        <v>223.30567744999996</v>
      </c>
      <c r="D16" s="311">
        <f>+D17+D18</f>
        <v>200.24329082</v>
      </c>
      <c r="E16" s="311">
        <f t="shared" ref="E16:T16" si="13">+E17+E18</f>
        <v>192.49545953000001</v>
      </c>
      <c r="F16" s="311">
        <f t="shared" si="13"/>
        <v>165.27</v>
      </c>
      <c r="G16" s="311">
        <f t="shared" si="13"/>
        <v>146.49</v>
      </c>
      <c r="H16" s="311">
        <f t="shared" si="13"/>
        <v>143.36000000000001</v>
      </c>
      <c r="I16" s="311">
        <f t="shared" si="13"/>
        <v>157.91999999999999</v>
      </c>
      <c r="J16" s="311">
        <f t="shared" si="13"/>
        <v>192.73</v>
      </c>
      <c r="K16" s="311">
        <f t="shared" si="13"/>
        <v>201.28</v>
      </c>
      <c r="L16" s="311">
        <f t="shared" si="13"/>
        <v>182.34</v>
      </c>
      <c r="M16" s="311">
        <f t="shared" si="13"/>
        <v>184.81</v>
      </c>
      <c r="N16" s="311">
        <f t="shared" si="13"/>
        <v>203.20240770999999</v>
      </c>
      <c r="O16" s="311">
        <f t="shared" si="13"/>
        <v>193.09700000000001</v>
      </c>
      <c r="P16" s="311">
        <f t="shared" si="13"/>
        <v>168.63</v>
      </c>
      <c r="Q16" s="311">
        <f t="shared" si="13"/>
        <v>193.92743945000001</v>
      </c>
      <c r="R16" s="311">
        <f t="shared" si="13"/>
        <v>202.96</v>
      </c>
      <c r="S16" s="311">
        <f t="shared" si="13"/>
        <v>170.82999999999998</v>
      </c>
      <c r="T16" s="311">
        <f t="shared" si="13"/>
        <v>176.88</v>
      </c>
      <c r="U16" s="311">
        <f t="shared" ref="U16:AB16" si="14">+U17+U18</f>
        <v>176.32</v>
      </c>
      <c r="V16" s="311">
        <f t="shared" si="14"/>
        <v>248.67</v>
      </c>
      <c r="W16" s="311">
        <f t="shared" si="14"/>
        <v>170.13</v>
      </c>
      <c r="X16" s="311">
        <f t="shared" si="14"/>
        <v>195.1</v>
      </c>
      <c r="Y16" s="311">
        <f t="shared" si="14"/>
        <v>192.55900000000003</v>
      </c>
      <c r="Z16" s="311">
        <f t="shared" si="14"/>
        <v>185.02999999999997</v>
      </c>
      <c r="AA16" s="311">
        <f t="shared" si="14"/>
        <v>200.64011431</v>
      </c>
      <c r="AB16" s="311">
        <f t="shared" si="14"/>
        <v>230.80040959000002</v>
      </c>
      <c r="AC16" s="311">
        <f t="shared" ref="AC16:AD16" si="15">+AC17+AC18</f>
        <v>222.4636079</v>
      </c>
      <c r="AD16" s="311">
        <f t="shared" si="15"/>
        <v>241.75993929999998</v>
      </c>
      <c r="AE16" s="311">
        <f t="shared" ref="AE16:AF16" si="16">+AE17+AE18</f>
        <v>248.86706277000002</v>
      </c>
      <c r="AF16" s="311">
        <f t="shared" si="16"/>
        <v>257.83080286000001</v>
      </c>
      <c r="AG16" s="311">
        <f t="shared" ref="AG16:AM16" si="17">+AG17+AG18</f>
        <v>255.27906547999999</v>
      </c>
      <c r="AH16" s="311">
        <f t="shared" si="17"/>
        <v>267.18160699999999</v>
      </c>
      <c r="AI16" s="311">
        <f t="shared" si="17"/>
        <v>274.90999999999997</v>
      </c>
      <c r="AJ16" s="311">
        <f t="shared" si="17"/>
        <v>259.44</v>
      </c>
      <c r="AK16" s="311">
        <f t="shared" si="17"/>
        <v>264.71118932999997</v>
      </c>
      <c r="AL16" s="311">
        <f t="shared" si="17"/>
        <v>261.84734765000002</v>
      </c>
      <c r="AM16" s="311">
        <f t="shared" si="17"/>
        <v>271.83999999999997</v>
      </c>
    </row>
    <row r="17" spans="1:43" s="276" customFormat="1">
      <c r="A17" s="282" t="s">
        <v>101</v>
      </c>
      <c r="B17" s="283" t="s">
        <v>43</v>
      </c>
      <c r="C17" s="307">
        <f>+C11</f>
        <v>191.20567744999997</v>
      </c>
      <c r="D17" s="307">
        <f t="shared" ref="D17:T17" si="18">+D11</f>
        <v>181.64329082</v>
      </c>
      <c r="E17" s="307">
        <f t="shared" si="18"/>
        <v>175.59545953</v>
      </c>
      <c r="F17" s="307">
        <f t="shared" si="18"/>
        <v>161.47</v>
      </c>
      <c r="G17" s="307">
        <f t="shared" si="18"/>
        <v>132.49</v>
      </c>
      <c r="H17" s="307">
        <f t="shared" si="18"/>
        <v>133.46</v>
      </c>
      <c r="I17" s="307">
        <f t="shared" si="18"/>
        <v>141.44</v>
      </c>
      <c r="J17" s="307">
        <f t="shared" si="18"/>
        <v>156.22999999999999</v>
      </c>
      <c r="K17" s="307">
        <f t="shared" si="18"/>
        <v>160.78</v>
      </c>
      <c r="L17" s="307">
        <f t="shared" si="18"/>
        <v>158.84</v>
      </c>
      <c r="M17" s="307">
        <f t="shared" si="18"/>
        <v>166.91</v>
      </c>
      <c r="N17" s="307">
        <f t="shared" si="18"/>
        <v>160.70240770999999</v>
      </c>
      <c r="O17" s="307">
        <f t="shared" si="18"/>
        <v>162.72</v>
      </c>
      <c r="P17" s="307">
        <f t="shared" si="18"/>
        <v>156.13</v>
      </c>
      <c r="Q17" s="307">
        <f t="shared" si="18"/>
        <v>148.42743945000001</v>
      </c>
      <c r="R17" s="307">
        <f t="shared" si="18"/>
        <v>162.11000000000001</v>
      </c>
      <c r="S17" s="307">
        <f t="shared" si="18"/>
        <v>137.82999999999998</v>
      </c>
      <c r="T17" s="307">
        <f t="shared" si="18"/>
        <v>140.82999999999998</v>
      </c>
      <c r="U17" s="307">
        <f t="shared" ref="U17:AB17" si="19">+U11</f>
        <v>141.32</v>
      </c>
      <c r="V17" s="307">
        <f t="shared" si="19"/>
        <v>145.26999999999998</v>
      </c>
      <c r="W17" s="307">
        <f t="shared" si="19"/>
        <v>138.22999999999999</v>
      </c>
      <c r="X17" s="307">
        <f t="shared" si="19"/>
        <v>138.94999999999999</v>
      </c>
      <c r="Y17" s="307">
        <f t="shared" si="19"/>
        <v>144.75900000000001</v>
      </c>
      <c r="Z17" s="307">
        <f t="shared" si="19"/>
        <v>146.32999999999998</v>
      </c>
      <c r="AA17" s="307">
        <f t="shared" si="19"/>
        <v>153.94011431000001</v>
      </c>
      <c r="AB17" s="307">
        <f t="shared" si="19"/>
        <v>165.00040959</v>
      </c>
      <c r="AC17" s="307">
        <f t="shared" ref="AC17:AD17" si="20">+AC11</f>
        <v>150.66360789999999</v>
      </c>
      <c r="AD17" s="307">
        <f t="shared" si="20"/>
        <v>157.95993929999997</v>
      </c>
      <c r="AE17" s="307">
        <f t="shared" ref="AE17:AF17" si="21">+AE11</f>
        <v>154.06706277000001</v>
      </c>
      <c r="AF17" s="307">
        <f t="shared" si="21"/>
        <v>157.03080285999999</v>
      </c>
      <c r="AG17" s="307">
        <f t="shared" ref="AG17:AM17" si="22">+AG11</f>
        <v>156.47906547999997</v>
      </c>
      <c r="AH17" s="307">
        <f t="shared" si="22"/>
        <v>158.38160699999997</v>
      </c>
      <c r="AI17" s="307">
        <f t="shared" si="22"/>
        <v>159.10999999999999</v>
      </c>
      <c r="AJ17" s="307">
        <f t="shared" si="22"/>
        <v>160.63999999999999</v>
      </c>
      <c r="AK17" s="307">
        <f t="shared" si="22"/>
        <v>162.91118932999998</v>
      </c>
      <c r="AL17" s="307">
        <f t="shared" si="22"/>
        <v>159.04734765000001</v>
      </c>
      <c r="AM17" s="307">
        <f t="shared" si="22"/>
        <v>159.04</v>
      </c>
    </row>
    <row r="18" spans="1:43" s="276" customFormat="1">
      <c r="A18" s="282" t="s">
        <v>46</v>
      </c>
      <c r="B18" s="283" t="s">
        <v>43</v>
      </c>
      <c r="C18" s="307">
        <f>+C19+C20</f>
        <v>32.1</v>
      </c>
      <c r="D18" s="307">
        <f t="shared" ref="D18:T18" si="23">+D19+D20</f>
        <v>18.600000000000001</v>
      </c>
      <c r="E18" s="307">
        <f t="shared" si="23"/>
        <v>16.899999999999999</v>
      </c>
      <c r="F18" s="307">
        <f t="shared" si="23"/>
        <v>3.8</v>
      </c>
      <c r="G18" s="307">
        <f t="shared" si="23"/>
        <v>14</v>
      </c>
      <c r="H18" s="307">
        <f t="shared" si="23"/>
        <v>9.9</v>
      </c>
      <c r="I18" s="307">
        <f t="shared" si="23"/>
        <v>16.48</v>
      </c>
      <c r="J18" s="307">
        <f t="shared" si="23"/>
        <v>36.5</v>
      </c>
      <c r="K18" s="307">
        <f t="shared" si="23"/>
        <v>40.5</v>
      </c>
      <c r="L18" s="307">
        <f t="shared" si="23"/>
        <v>23.5</v>
      </c>
      <c r="M18" s="307">
        <f t="shared" si="23"/>
        <v>17.899999999999999</v>
      </c>
      <c r="N18" s="307">
        <f t="shared" si="23"/>
        <v>42.5</v>
      </c>
      <c r="O18" s="307">
        <f t="shared" si="23"/>
        <v>30.376999999999999</v>
      </c>
      <c r="P18" s="307">
        <f t="shared" si="23"/>
        <v>12.5</v>
      </c>
      <c r="Q18" s="307">
        <f t="shared" si="23"/>
        <v>45.5</v>
      </c>
      <c r="R18" s="307">
        <f t="shared" si="23"/>
        <v>40.85</v>
      </c>
      <c r="S18" s="307">
        <f t="shared" si="23"/>
        <v>33</v>
      </c>
      <c r="T18" s="307">
        <f t="shared" si="23"/>
        <v>36.049999999999997</v>
      </c>
      <c r="U18" s="307">
        <f t="shared" ref="U18:AB18" si="24">+U19+U20</f>
        <v>35</v>
      </c>
      <c r="V18" s="307">
        <f t="shared" si="24"/>
        <v>103.4</v>
      </c>
      <c r="W18" s="307">
        <f t="shared" si="24"/>
        <v>31.9</v>
      </c>
      <c r="X18" s="307">
        <f t="shared" si="24"/>
        <v>56.15</v>
      </c>
      <c r="Y18" s="307">
        <f t="shared" si="24"/>
        <v>47.8</v>
      </c>
      <c r="Z18" s="307">
        <f t="shared" si="24"/>
        <v>38.700000000000003</v>
      </c>
      <c r="AA18" s="307">
        <f t="shared" si="24"/>
        <v>46.7</v>
      </c>
      <c r="AB18" s="307">
        <f t="shared" si="24"/>
        <v>65.8</v>
      </c>
      <c r="AC18" s="307">
        <f t="shared" ref="AC18:AD18" si="25">+AC19+AC20</f>
        <v>71.8</v>
      </c>
      <c r="AD18" s="307">
        <f t="shared" si="25"/>
        <v>83.8</v>
      </c>
      <c r="AE18" s="307">
        <f t="shared" ref="AE18:AF18" si="26">+AE19+AE20</f>
        <v>94.8</v>
      </c>
      <c r="AF18" s="307">
        <f t="shared" si="26"/>
        <v>100.8</v>
      </c>
      <c r="AG18" s="307">
        <f t="shared" ref="AG18:AM18" si="27">+AG19+AG20</f>
        <v>98.8</v>
      </c>
      <c r="AH18" s="307">
        <f t="shared" si="27"/>
        <v>108.8</v>
      </c>
      <c r="AI18" s="307">
        <f t="shared" si="27"/>
        <v>115.8</v>
      </c>
      <c r="AJ18" s="307">
        <f t="shared" si="27"/>
        <v>98.8</v>
      </c>
      <c r="AK18" s="307">
        <f t="shared" si="27"/>
        <v>101.8</v>
      </c>
      <c r="AL18" s="307">
        <f t="shared" si="27"/>
        <v>102.8</v>
      </c>
      <c r="AM18" s="307">
        <f t="shared" si="27"/>
        <v>112.8</v>
      </c>
    </row>
    <row r="19" spans="1:43" s="276" customFormat="1">
      <c r="A19" s="284" t="s">
        <v>102</v>
      </c>
      <c r="B19" s="285" t="s">
        <v>43</v>
      </c>
      <c r="C19" s="312">
        <f t="shared" ref="C19:T19" si="28">C6</f>
        <v>14.1</v>
      </c>
      <c r="D19" s="312">
        <f t="shared" si="28"/>
        <v>0</v>
      </c>
      <c r="E19" s="312">
        <f t="shared" si="28"/>
        <v>3.4</v>
      </c>
      <c r="F19" s="312">
        <f t="shared" si="28"/>
        <v>0</v>
      </c>
      <c r="G19" s="312">
        <f t="shared" si="28"/>
        <v>0</v>
      </c>
      <c r="H19" s="312">
        <f t="shared" si="28"/>
        <v>2</v>
      </c>
      <c r="I19" s="312">
        <f t="shared" si="28"/>
        <v>3.58</v>
      </c>
      <c r="J19" s="312">
        <f t="shared" si="28"/>
        <v>23</v>
      </c>
      <c r="K19" s="312">
        <f t="shared" si="28"/>
        <v>27</v>
      </c>
      <c r="L19" s="312">
        <f t="shared" si="28"/>
        <v>13</v>
      </c>
      <c r="M19" s="312">
        <f t="shared" si="28"/>
        <v>7</v>
      </c>
      <c r="N19" s="312">
        <f t="shared" si="28"/>
        <v>32</v>
      </c>
      <c r="O19" s="312">
        <f t="shared" si="28"/>
        <v>20.677</v>
      </c>
      <c r="P19" s="312">
        <f t="shared" si="28"/>
        <v>6</v>
      </c>
      <c r="Q19" s="312">
        <f t="shared" si="28"/>
        <v>39</v>
      </c>
      <c r="R19" s="312">
        <f t="shared" si="28"/>
        <v>37</v>
      </c>
      <c r="S19" s="312">
        <f t="shared" si="28"/>
        <v>29.5</v>
      </c>
      <c r="T19" s="312">
        <f t="shared" si="28"/>
        <v>35</v>
      </c>
      <c r="U19" s="312">
        <f t="shared" ref="U19:AB19" si="29">U6</f>
        <v>31.5</v>
      </c>
      <c r="V19" s="312">
        <f t="shared" si="29"/>
        <v>100</v>
      </c>
      <c r="W19" s="312">
        <f t="shared" si="29"/>
        <v>26</v>
      </c>
      <c r="X19" s="312">
        <f t="shared" si="29"/>
        <v>51</v>
      </c>
      <c r="Y19" s="312">
        <f t="shared" si="29"/>
        <v>42</v>
      </c>
      <c r="Z19" s="312">
        <f t="shared" si="29"/>
        <v>32</v>
      </c>
      <c r="AA19" s="312">
        <f t="shared" si="29"/>
        <v>39</v>
      </c>
      <c r="AB19" s="312">
        <f t="shared" si="29"/>
        <v>58</v>
      </c>
      <c r="AC19" s="312">
        <f t="shared" ref="AC19:AD19" si="30">AC6</f>
        <v>64</v>
      </c>
      <c r="AD19" s="312">
        <f t="shared" si="30"/>
        <v>76</v>
      </c>
      <c r="AE19" s="312">
        <f t="shared" ref="AE19:AF19" si="31">AE6</f>
        <v>87</v>
      </c>
      <c r="AF19" s="312">
        <f t="shared" si="31"/>
        <v>93</v>
      </c>
      <c r="AG19" s="312">
        <f t="shared" ref="AG19:AM19" si="32">AG6</f>
        <v>91</v>
      </c>
      <c r="AH19" s="312">
        <f t="shared" si="32"/>
        <v>101</v>
      </c>
      <c r="AI19" s="312">
        <f t="shared" si="32"/>
        <v>108</v>
      </c>
      <c r="AJ19" s="312">
        <f t="shared" si="32"/>
        <v>91</v>
      </c>
      <c r="AK19" s="312">
        <f t="shared" si="32"/>
        <v>94</v>
      </c>
      <c r="AL19" s="312">
        <f t="shared" si="32"/>
        <v>95</v>
      </c>
      <c r="AM19" s="312">
        <f t="shared" si="32"/>
        <v>105</v>
      </c>
    </row>
    <row r="20" spans="1:43" s="276" customFormat="1">
      <c r="A20" s="284" t="s">
        <v>103</v>
      </c>
      <c r="B20" s="285" t="s">
        <v>43</v>
      </c>
      <c r="C20" s="307">
        <f>+C24+C25+C26</f>
        <v>18</v>
      </c>
      <c r="D20" s="307">
        <f>+D24+D25+D26</f>
        <v>18.600000000000001</v>
      </c>
      <c r="E20" s="307">
        <f t="shared" ref="E20:T20" si="33">+E24+E25+E26</f>
        <v>13.5</v>
      </c>
      <c r="F20" s="307">
        <f t="shared" si="33"/>
        <v>3.8</v>
      </c>
      <c r="G20" s="307">
        <f t="shared" si="33"/>
        <v>14</v>
      </c>
      <c r="H20" s="307">
        <f t="shared" si="33"/>
        <v>7.9</v>
      </c>
      <c r="I20" s="307">
        <f t="shared" si="33"/>
        <v>12.9</v>
      </c>
      <c r="J20" s="307">
        <f t="shared" si="33"/>
        <v>13.5</v>
      </c>
      <c r="K20" s="307">
        <f t="shared" si="33"/>
        <v>13.5</v>
      </c>
      <c r="L20" s="307">
        <f t="shared" si="33"/>
        <v>10.5</v>
      </c>
      <c r="M20" s="307">
        <f t="shared" si="33"/>
        <v>10.9</v>
      </c>
      <c r="N20" s="307">
        <f t="shared" si="33"/>
        <v>10.5</v>
      </c>
      <c r="O20" s="307">
        <f t="shared" si="33"/>
        <v>9.6999999999999993</v>
      </c>
      <c r="P20" s="307">
        <f t="shared" si="33"/>
        <v>6.5</v>
      </c>
      <c r="Q20" s="307">
        <f t="shared" si="33"/>
        <v>6.5</v>
      </c>
      <c r="R20" s="307">
        <f t="shared" si="33"/>
        <v>3.85</v>
      </c>
      <c r="S20" s="307">
        <f t="shared" si="33"/>
        <v>3.5</v>
      </c>
      <c r="T20" s="307">
        <f t="shared" si="33"/>
        <v>1.05</v>
      </c>
      <c r="U20" s="307">
        <f t="shared" ref="U20:AB20" si="34">+U24+U25+U26</f>
        <v>3.5</v>
      </c>
      <c r="V20" s="307">
        <f t="shared" si="34"/>
        <v>3.4000000000000004</v>
      </c>
      <c r="W20" s="307">
        <f t="shared" si="34"/>
        <v>5.9</v>
      </c>
      <c r="X20" s="307">
        <f t="shared" si="34"/>
        <v>5.15</v>
      </c>
      <c r="Y20" s="307">
        <f t="shared" si="34"/>
        <v>5.8</v>
      </c>
      <c r="Z20" s="307">
        <f t="shared" si="34"/>
        <v>6.7</v>
      </c>
      <c r="AA20" s="307">
        <f t="shared" si="34"/>
        <v>7.7</v>
      </c>
      <c r="AB20" s="307">
        <f t="shared" si="34"/>
        <v>7.8</v>
      </c>
      <c r="AC20" s="307">
        <f t="shared" ref="AC20:AD20" si="35">+AC24+AC25+AC26</f>
        <v>7.8</v>
      </c>
      <c r="AD20" s="307">
        <f t="shared" si="35"/>
        <v>7.8</v>
      </c>
      <c r="AE20" s="307">
        <f t="shared" ref="AE20:AF20" si="36">+AE24+AE25+AE26</f>
        <v>7.8</v>
      </c>
      <c r="AF20" s="307">
        <f t="shared" si="36"/>
        <v>7.8</v>
      </c>
      <c r="AG20" s="307">
        <f t="shared" ref="AG20:AM20" si="37">+AG24+AG25+AG26</f>
        <v>7.8</v>
      </c>
      <c r="AH20" s="307">
        <f t="shared" si="37"/>
        <v>7.8</v>
      </c>
      <c r="AI20" s="307">
        <f t="shared" si="37"/>
        <v>7.8</v>
      </c>
      <c r="AJ20" s="307">
        <f t="shared" si="37"/>
        <v>7.8</v>
      </c>
      <c r="AK20" s="307">
        <f t="shared" si="37"/>
        <v>7.8</v>
      </c>
      <c r="AL20" s="307">
        <f t="shared" si="37"/>
        <v>7.8</v>
      </c>
      <c r="AM20" s="307">
        <f t="shared" si="37"/>
        <v>7.8</v>
      </c>
    </row>
    <row r="21" spans="1:43" s="276" customFormat="1">
      <c r="A21" s="290" t="s">
        <v>6</v>
      </c>
      <c r="B21" s="291" t="s">
        <v>43</v>
      </c>
      <c r="C21" s="313">
        <f>+C22+C23</f>
        <v>209.20567744999997</v>
      </c>
      <c r="D21" s="313">
        <f>+D22+D23</f>
        <v>200.24329082</v>
      </c>
      <c r="E21" s="313">
        <f t="shared" ref="E21:T21" si="38">+E22+E23</f>
        <v>189.09545953</v>
      </c>
      <c r="F21" s="313">
        <f t="shared" si="38"/>
        <v>165.27</v>
      </c>
      <c r="G21" s="313">
        <f t="shared" si="38"/>
        <v>146.49</v>
      </c>
      <c r="H21" s="313">
        <f t="shared" si="38"/>
        <v>141.36000000000001</v>
      </c>
      <c r="I21" s="313">
        <f t="shared" si="38"/>
        <v>154.34</v>
      </c>
      <c r="J21" s="313">
        <f t="shared" si="38"/>
        <v>169.73</v>
      </c>
      <c r="K21" s="313">
        <f t="shared" si="38"/>
        <v>174.28</v>
      </c>
      <c r="L21" s="313">
        <f t="shared" si="38"/>
        <v>169.34</v>
      </c>
      <c r="M21" s="313">
        <f t="shared" si="38"/>
        <v>177.81</v>
      </c>
      <c r="N21" s="313">
        <f t="shared" si="38"/>
        <v>171.20240770999999</v>
      </c>
      <c r="O21" s="313">
        <f t="shared" si="38"/>
        <v>172.42</v>
      </c>
      <c r="P21" s="313">
        <f t="shared" si="38"/>
        <v>162.63</v>
      </c>
      <c r="Q21" s="313">
        <f t="shared" si="38"/>
        <v>154.92743945000001</v>
      </c>
      <c r="R21" s="313">
        <f t="shared" si="38"/>
        <v>165.96</v>
      </c>
      <c r="S21" s="313">
        <f t="shared" si="38"/>
        <v>141.32999999999998</v>
      </c>
      <c r="T21" s="313">
        <f t="shared" si="38"/>
        <v>141.88</v>
      </c>
      <c r="U21" s="313">
        <f t="shared" ref="U21:AB21" si="39">+U22+U23</f>
        <v>144.82</v>
      </c>
      <c r="V21" s="313">
        <f t="shared" si="39"/>
        <v>148.66999999999999</v>
      </c>
      <c r="W21" s="313">
        <f t="shared" si="39"/>
        <v>144.13</v>
      </c>
      <c r="X21" s="313">
        <f t="shared" si="39"/>
        <v>144.1</v>
      </c>
      <c r="Y21" s="313">
        <f t="shared" si="39"/>
        <v>150.55900000000003</v>
      </c>
      <c r="Z21" s="313">
        <f t="shared" si="39"/>
        <v>153.02999999999997</v>
      </c>
      <c r="AA21" s="313">
        <f t="shared" si="39"/>
        <v>161.64011431</v>
      </c>
      <c r="AB21" s="313">
        <f t="shared" si="39"/>
        <v>172.80040959000002</v>
      </c>
      <c r="AC21" s="313">
        <f t="shared" ref="AC21:AD21" si="40">+AC22+AC23</f>
        <v>158.4636079</v>
      </c>
      <c r="AD21" s="313">
        <f t="shared" si="40"/>
        <v>165.75993929999998</v>
      </c>
      <c r="AE21" s="313">
        <f t="shared" ref="AE21:AF21" si="41">+AE22+AE23</f>
        <v>161.86706277000002</v>
      </c>
      <c r="AF21" s="313">
        <f t="shared" si="41"/>
        <v>164.83080286000001</v>
      </c>
      <c r="AG21" s="313">
        <f t="shared" ref="AG21:AM21" si="42">+AG22+AG23</f>
        <v>164.27906547999999</v>
      </c>
      <c r="AH21" s="313">
        <f t="shared" si="42"/>
        <v>166.18160699999999</v>
      </c>
      <c r="AI21" s="313">
        <f t="shared" si="42"/>
        <v>166.91</v>
      </c>
      <c r="AJ21" s="313">
        <f t="shared" si="42"/>
        <v>168.44</v>
      </c>
      <c r="AK21" s="313">
        <f t="shared" si="42"/>
        <v>170.71118933</v>
      </c>
      <c r="AL21" s="313">
        <f t="shared" si="42"/>
        <v>166.84734765000002</v>
      </c>
      <c r="AM21" s="313">
        <f t="shared" si="42"/>
        <v>166.84</v>
      </c>
    </row>
    <row r="22" spans="1:43" s="276" customFormat="1">
      <c r="A22" s="282" t="s">
        <v>104</v>
      </c>
      <c r="B22" s="283" t="s">
        <v>43</v>
      </c>
      <c r="C22" s="307">
        <f>C11</f>
        <v>191.20567744999997</v>
      </c>
      <c r="D22" s="307">
        <f t="shared" ref="D22:T22" si="43">D11</f>
        <v>181.64329082</v>
      </c>
      <c r="E22" s="307">
        <f t="shared" si="43"/>
        <v>175.59545953</v>
      </c>
      <c r="F22" s="307">
        <f t="shared" si="43"/>
        <v>161.47</v>
      </c>
      <c r="G22" s="307">
        <f t="shared" si="43"/>
        <v>132.49</v>
      </c>
      <c r="H22" s="307">
        <f t="shared" si="43"/>
        <v>133.46</v>
      </c>
      <c r="I22" s="307">
        <f t="shared" si="43"/>
        <v>141.44</v>
      </c>
      <c r="J22" s="307">
        <f t="shared" si="43"/>
        <v>156.22999999999999</v>
      </c>
      <c r="K22" s="307">
        <f t="shared" si="43"/>
        <v>160.78</v>
      </c>
      <c r="L22" s="307">
        <f t="shared" si="43"/>
        <v>158.84</v>
      </c>
      <c r="M22" s="307">
        <f t="shared" si="43"/>
        <v>166.91</v>
      </c>
      <c r="N22" s="307">
        <f t="shared" si="43"/>
        <v>160.70240770999999</v>
      </c>
      <c r="O22" s="307">
        <f t="shared" si="43"/>
        <v>162.72</v>
      </c>
      <c r="P22" s="307">
        <f t="shared" si="43"/>
        <v>156.13</v>
      </c>
      <c r="Q22" s="307">
        <f t="shared" si="43"/>
        <v>148.42743945000001</v>
      </c>
      <c r="R22" s="307">
        <f t="shared" si="43"/>
        <v>162.11000000000001</v>
      </c>
      <c r="S22" s="307">
        <f t="shared" si="43"/>
        <v>137.82999999999998</v>
      </c>
      <c r="T22" s="307">
        <f t="shared" si="43"/>
        <v>140.82999999999998</v>
      </c>
      <c r="U22" s="307">
        <f t="shared" ref="U22:AB22" si="44">U11</f>
        <v>141.32</v>
      </c>
      <c r="V22" s="307">
        <f t="shared" si="44"/>
        <v>145.26999999999998</v>
      </c>
      <c r="W22" s="307">
        <f t="shared" si="44"/>
        <v>138.22999999999999</v>
      </c>
      <c r="X22" s="307">
        <f t="shared" si="44"/>
        <v>138.94999999999999</v>
      </c>
      <c r="Y22" s="307">
        <f t="shared" si="44"/>
        <v>144.75900000000001</v>
      </c>
      <c r="Z22" s="307">
        <f t="shared" si="44"/>
        <v>146.32999999999998</v>
      </c>
      <c r="AA22" s="307">
        <f t="shared" si="44"/>
        <v>153.94011431000001</v>
      </c>
      <c r="AB22" s="307">
        <f t="shared" si="44"/>
        <v>165.00040959</v>
      </c>
      <c r="AC22" s="307">
        <f t="shared" ref="AC22:AD22" si="45">AC11</f>
        <v>150.66360789999999</v>
      </c>
      <c r="AD22" s="307">
        <f t="shared" si="45"/>
        <v>157.95993929999997</v>
      </c>
      <c r="AE22" s="307">
        <f t="shared" ref="AE22:AF22" si="46">AE11</f>
        <v>154.06706277000001</v>
      </c>
      <c r="AF22" s="307">
        <f t="shared" si="46"/>
        <v>157.03080285999999</v>
      </c>
      <c r="AG22" s="307">
        <f t="shared" ref="AG22:AM22" si="47">AG11</f>
        <v>156.47906547999997</v>
      </c>
      <c r="AH22" s="307">
        <f t="shared" si="47"/>
        <v>158.38160699999997</v>
      </c>
      <c r="AI22" s="307">
        <f t="shared" si="47"/>
        <v>159.10999999999999</v>
      </c>
      <c r="AJ22" s="307">
        <f t="shared" si="47"/>
        <v>160.63999999999999</v>
      </c>
      <c r="AK22" s="307">
        <f t="shared" si="47"/>
        <v>162.91118932999998</v>
      </c>
      <c r="AL22" s="307">
        <f t="shared" si="47"/>
        <v>159.04734765000001</v>
      </c>
      <c r="AM22" s="307">
        <f t="shared" si="47"/>
        <v>159.04</v>
      </c>
    </row>
    <row r="23" spans="1:43" s="276" customFormat="1">
      <c r="A23" s="282" t="s">
        <v>105</v>
      </c>
      <c r="B23" s="283" t="s">
        <v>43</v>
      </c>
      <c r="C23" s="307">
        <f>+C24+C25+C26</f>
        <v>18</v>
      </c>
      <c r="D23" s="307">
        <f>+D24+D25+D26</f>
        <v>18.600000000000001</v>
      </c>
      <c r="E23" s="307">
        <f t="shared" ref="E23:T23" si="48">+E24+E25+E26</f>
        <v>13.5</v>
      </c>
      <c r="F23" s="307">
        <f t="shared" si="48"/>
        <v>3.8</v>
      </c>
      <c r="G23" s="307">
        <f t="shared" si="48"/>
        <v>14</v>
      </c>
      <c r="H23" s="307">
        <f t="shared" si="48"/>
        <v>7.9</v>
      </c>
      <c r="I23" s="307">
        <f t="shared" si="48"/>
        <v>12.9</v>
      </c>
      <c r="J23" s="307">
        <f t="shared" si="48"/>
        <v>13.5</v>
      </c>
      <c r="K23" s="307">
        <f t="shared" si="48"/>
        <v>13.5</v>
      </c>
      <c r="L23" s="307">
        <f t="shared" si="48"/>
        <v>10.5</v>
      </c>
      <c r="M23" s="307">
        <f t="shared" si="48"/>
        <v>10.9</v>
      </c>
      <c r="N23" s="307">
        <f t="shared" si="48"/>
        <v>10.5</v>
      </c>
      <c r="O23" s="307">
        <f t="shared" si="48"/>
        <v>9.6999999999999993</v>
      </c>
      <c r="P23" s="307">
        <f t="shared" si="48"/>
        <v>6.5</v>
      </c>
      <c r="Q23" s="307">
        <f t="shared" si="48"/>
        <v>6.5</v>
      </c>
      <c r="R23" s="307">
        <f t="shared" si="48"/>
        <v>3.85</v>
      </c>
      <c r="S23" s="307">
        <f t="shared" si="48"/>
        <v>3.5</v>
      </c>
      <c r="T23" s="307">
        <f t="shared" si="48"/>
        <v>1.05</v>
      </c>
      <c r="U23" s="307">
        <f t="shared" ref="U23:AB23" si="49">+U24+U25+U26</f>
        <v>3.5</v>
      </c>
      <c r="V23" s="307">
        <f t="shared" si="49"/>
        <v>3.4000000000000004</v>
      </c>
      <c r="W23" s="307">
        <f t="shared" si="49"/>
        <v>5.9</v>
      </c>
      <c r="X23" s="307">
        <f t="shared" si="49"/>
        <v>5.15</v>
      </c>
      <c r="Y23" s="307">
        <f t="shared" si="49"/>
        <v>5.8</v>
      </c>
      <c r="Z23" s="307">
        <f>+Z24+Z25+Z26</f>
        <v>6.7</v>
      </c>
      <c r="AA23" s="307">
        <f t="shared" si="49"/>
        <v>7.7</v>
      </c>
      <c r="AB23" s="307">
        <f t="shared" si="49"/>
        <v>7.8</v>
      </c>
      <c r="AC23" s="307">
        <f t="shared" ref="AC23:AD23" si="50">+AC24+AC25+AC26</f>
        <v>7.8</v>
      </c>
      <c r="AD23" s="307">
        <f t="shared" si="50"/>
        <v>7.8</v>
      </c>
      <c r="AE23" s="307">
        <f t="shared" ref="AE23:AF23" si="51">+AE24+AE25+AE26</f>
        <v>7.8</v>
      </c>
      <c r="AF23" s="307">
        <f t="shared" si="51"/>
        <v>7.8</v>
      </c>
      <c r="AG23" s="307">
        <f t="shared" ref="AG23:AM23" si="52">+AG24+AG25+AG26</f>
        <v>7.8</v>
      </c>
      <c r="AH23" s="307">
        <f t="shared" si="52"/>
        <v>7.8</v>
      </c>
      <c r="AI23" s="307">
        <f t="shared" si="52"/>
        <v>7.8</v>
      </c>
      <c r="AJ23" s="307">
        <f t="shared" si="52"/>
        <v>7.8</v>
      </c>
      <c r="AK23" s="307">
        <f t="shared" si="52"/>
        <v>7.8</v>
      </c>
      <c r="AL23" s="307">
        <f t="shared" si="52"/>
        <v>7.8</v>
      </c>
      <c r="AM23" s="307">
        <f t="shared" si="52"/>
        <v>7.8</v>
      </c>
    </row>
    <row r="24" spans="1:43" s="276" customFormat="1">
      <c r="A24" s="284" t="s">
        <v>245</v>
      </c>
      <c r="B24" s="285" t="s">
        <v>43</v>
      </c>
      <c r="C24" s="306">
        <v>15</v>
      </c>
      <c r="D24" s="306">
        <v>15</v>
      </c>
      <c r="E24" s="306">
        <v>11</v>
      </c>
      <c r="F24" s="324">
        <v>1.8</v>
      </c>
      <c r="G24" s="306">
        <v>11</v>
      </c>
      <c r="H24" s="306">
        <v>6</v>
      </c>
      <c r="I24" s="306">
        <v>11</v>
      </c>
      <c r="J24" s="306">
        <v>11</v>
      </c>
      <c r="K24" s="306">
        <v>11</v>
      </c>
      <c r="L24" s="324">
        <v>9.5</v>
      </c>
      <c r="M24" s="324">
        <v>9.5</v>
      </c>
      <c r="N24" s="324">
        <v>9.5</v>
      </c>
      <c r="O24" s="324">
        <v>8.5</v>
      </c>
      <c r="P24" s="324">
        <v>5</v>
      </c>
      <c r="Q24" s="324">
        <v>5</v>
      </c>
      <c r="R24" s="324">
        <v>3.35</v>
      </c>
      <c r="S24" s="324">
        <v>3</v>
      </c>
      <c r="T24" s="324">
        <v>0.55000000000000004</v>
      </c>
      <c r="U24" s="324">
        <v>2</v>
      </c>
      <c r="V24" s="638">
        <v>2.7</v>
      </c>
      <c r="W24" s="324">
        <f>1.5+3.5-0.5</f>
        <v>4.5</v>
      </c>
      <c r="X24" s="324">
        <f>5-0.5-1</f>
        <v>3.5</v>
      </c>
      <c r="Y24" s="324">
        <f>4-0.7+0.7</f>
        <v>4</v>
      </c>
      <c r="Z24" s="324">
        <v>5</v>
      </c>
      <c r="AA24" s="324">
        <v>6</v>
      </c>
      <c r="AB24" s="324">
        <v>6</v>
      </c>
      <c r="AC24" s="324">
        <v>6</v>
      </c>
      <c r="AD24" s="324">
        <v>6</v>
      </c>
      <c r="AE24" s="324">
        <v>6</v>
      </c>
      <c r="AF24" s="324">
        <v>6</v>
      </c>
      <c r="AG24" s="324">
        <v>6</v>
      </c>
      <c r="AH24" s="324">
        <v>6</v>
      </c>
      <c r="AI24" s="324">
        <v>6</v>
      </c>
      <c r="AJ24" s="324">
        <v>6</v>
      </c>
      <c r="AK24" s="324">
        <v>6</v>
      </c>
      <c r="AL24" s="324">
        <v>6</v>
      </c>
      <c r="AM24" s="324">
        <v>6</v>
      </c>
    </row>
    <row r="25" spans="1:43" s="276" customFormat="1" hidden="1">
      <c r="A25" s="284" t="s">
        <v>246</v>
      </c>
      <c r="B25" s="285" t="s">
        <v>43</v>
      </c>
      <c r="C25" s="306"/>
      <c r="D25" s="306">
        <v>0.6</v>
      </c>
      <c r="E25" s="306"/>
      <c r="F25" s="306"/>
      <c r="G25" s="306"/>
      <c r="H25" s="306"/>
      <c r="I25" s="306"/>
      <c r="J25" s="306"/>
      <c r="K25" s="306"/>
      <c r="L25" s="306"/>
      <c r="M25" s="306"/>
      <c r="N25" s="306"/>
      <c r="O25" s="306"/>
      <c r="P25" s="306"/>
      <c r="Q25" s="306"/>
      <c r="R25" s="306"/>
      <c r="S25" s="306"/>
      <c r="T25" s="306"/>
      <c r="U25" s="306"/>
      <c r="V25" s="306"/>
      <c r="W25" s="306"/>
      <c r="X25" s="306"/>
      <c r="Y25" s="306"/>
      <c r="Z25" s="306"/>
      <c r="AA25" s="306"/>
      <c r="AB25" s="306"/>
      <c r="AC25" s="306"/>
      <c r="AD25" s="306"/>
      <c r="AE25" s="306"/>
      <c r="AF25" s="306"/>
      <c r="AG25" s="306"/>
      <c r="AH25" s="306"/>
      <c r="AI25" s="306"/>
      <c r="AJ25" s="306"/>
      <c r="AK25" s="306"/>
      <c r="AL25" s="306"/>
      <c r="AM25" s="306"/>
      <c r="AP25" s="787" t="s">
        <v>210</v>
      </c>
      <c r="AQ25" s="788" t="s">
        <v>211</v>
      </c>
    </row>
    <row r="26" spans="1:43" s="276" customFormat="1">
      <c r="A26" s="284" t="s">
        <v>247</v>
      </c>
      <c r="B26" s="285" t="s">
        <v>43</v>
      </c>
      <c r="C26" s="306">
        <v>3</v>
      </c>
      <c r="D26" s="306">
        <v>3</v>
      </c>
      <c r="E26" s="306">
        <v>2.5</v>
      </c>
      <c r="F26" s="306">
        <v>2</v>
      </c>
      <c r="G26" s="306">
        <v>3</v>
      </c>
      <c r="H26" s="306">
        <v>1.9</v>
      </c>
      <c r="I26" s="324">
        <v>1.9</v>
      </c>
      <c r="J26" s="324">
        <v>2.5</v>
      </c>
      <c r="K26" s="324">
        <v>2.5</v>
      </c>
      <c r="L26" s="324">
        <v>1</v>
      </c>
      <c r="M26" s="324">
        <v>1.4</v>
      </c>
      <c r="N26" s="324">
        <v>1</v>
      </c>
      <c r="O26" s="324">
        <v>1.2</v>
      </c>
      <c r="P26" s="324">
        <v>1.5</v>
      </c>
      <c r="Q26" s="324">
        <v>1.5</v>
      </c>
      <c r="R26" s="324">
        <v>0.5</v>
      </c>
      <c r="S26" s="324">
        <v>0.5</v>
      </c>
      <c r="T26" s="324">
        <v>0.5</v>
      </c>
      <c r="U26" s="324">
        <f>1+0.5</f>
        <v>1.5</v>
      </c>
      <c r="V26" s="324">
        <v>0.7</v>
      </c>
      <c r="W26" s="638">
        <f>1.05+0.35</f>
        <v>1.4</v>
      </c>
      <c r="X26" s="638">
        <f>1.05+0.6</f>
        <v>1.65</v>
      </c>
      <c r="Y26" s="638">
        <f>0.88+0.12+0.8</f>
        <v>1.8</v>
      </c>
      <c r="Z26" s="638">
        <v>1.7</v>
      </c>
      <c r="AA26" s="638">
        <v>1.7</v>
      </c>
      <c r="AB26" s="638">
        <v>1.8</v>
      </c>
      <c r="AC26" s="638">
        <v>1.8</v>
      </c>
      <c r="AD26" s="638">
        <v>1.8</v>
      </c>
      <c r="AE26" s="638">
        <v>1.8</v>
      </c>
      <c r="AF26" s="638">
        <v>1.8</v>
      </c>
      <c r="AG26" s="638">
        <v>1.8</v>
      </c>
      <c r="AH26" s="638">
        <v>1.8</v>
      </c>
      <c r="AI26" s="638">
        <v>1.8</v>
      </c>
      <c r="AJ26" s="638">
        <v>1.8</v>
      </c>
      <c r="AK26" s="638">
        <v>1.8</v>
      </c>
      <c r="AL26" s="638">
        <v>1.8</v>
      </c>
      <c r="AM26" s="638">
        <v>1.8</v>
      </c>
      <c r="AP26" s="787"/>
      <c r="AQ26" s="788"/>
    </row>
    <row r="27" spans="1:43" s="276" customFormat="1">
      <c r="A27" s="286" t="s">
        <v>106</v>
      </c>
      <c r="B27" s="287" t="s">
        <v>43</v>
      </c>
      <c r="C27" s="314">
        <v>4.3630100000000001</v>
      </c>
      <c r="D27" s="314">
        <v>4.8184300000000002</v>
      </c>
      <c r="E27" s="314">
        <v>4.7113100000000001</v>
      </c>
      <c r="F27" s="314">
        <v>4.8537400000000002</v>
      </c>
      <c r="G27" s="314">
        <v>4.01729</v>
      </c>
      <c r="H27" s="314">
        <v>4.1034899999999999</v>
      </c>
      <c r="I27" s="314">
        <v>3.9801899999999999</v>
      </c>
      <c r="J27" s="314">
        <v>3.1403699999999999</v>
      </c>
      <c r="K27" s="314">
        <v>4.1078799999999998</v>
      </c>
      <c r="L27" s="314">
        <v>4.1213299999999995</v>
      </c>
      <c r="M27" s="314">
        <v>4.4393100000000008</v>
      </c>
      <c r="N27" s="314">
        <v>4.7826300000000002</v>
      </c>
      <c r="O27" s="314">
        <v>4.9286300000000001</v>
      </c>
      <c r="P27" s="314">
        <v>4.9282299999999992</v>
      </c>
      <c r="Q27" s="314">
        <v>5.0398900000000006</v>
      </c>
      <c r="R27" s="314">
        <v>5.0159700000000003</v>
      </c>
      <c r="S27" s="314">
        <v>4.9056199999999999</v>
      </c>
      <c r="T27" s="314">
        <v>4.2280699999999998</v>
      </c>
      <c r="U27" s="314">
        <v>3.8584399999999999</v>
      </c>
      <c r="V27" s="314">
        <v>4.84267</v>
      </c>
      <c r="W27" s="314">
        <v>2.2034699999999998</v>
      </c>
      <c r="X27" s="314">
        <v>1.84476</v>
      </c>
      <c r="Y27" s="314">
        <v>2.1745799999999997</v>
      </c>
      <c r="Z27" s="652">
        <f t="shared" ref="Z27:Z30" si="53">Y27</f>
        <v>2.1745799999999997</v>
      </c>
      <c r="AA27" s="652">
        <f t="shared" ref="AA27:AF30" si="54">Z27</f>
        <v>2.1745799999999997</v>
      </c>
      <c r="AB27" s="652">
        <f t="shared" si="54"/>
        <v>2.1745799999999997</v>
      </c>
      <c r="AC27" s="652">
        <f t="shared" si="54"/>
        <v>2.1745799999999997</v>
      </c>
      <c r="AD27" s="652">
        <f t="shared" si="54"/>
        <v>2.1745799999999997</v>
      </c>
      <c r="AE27" s="652">
        <f t="shared" si="54"/>
        <v>2.1745799999999997</v>
      </c>
      <c r="AF27" s="652">
        <f t="shared" si="54"/>
        <v>2.1745799999999997</v>
      </c>
      <c r="AG27" s="652">
        <f t="shared" ref="AG27:AM30" si="55">AF27</f>
        <v>2.1745799999999997</v>
      </c>
      <c r="AH27" s="652">
        <f t="shared" si="55"/>
        <v>2.1745799999999997</v>
      </c>
      <c r="AI27" s="652">
        <f t="shared" si="55"/>
        <v>2.1745799999999997</v>
      </c>
      <c r="AJ27" s="652">
        <f t="shared" si="55"/>
        <v>2.1745799999999997</v>
      </c>
      <c r="AK27" s="652">
        <f t="shared" si="55"/>
        <v>2.1745799999999997</v>
      </c>
      <c r="AL27" s="652">
        <f t="shared" si="55"/>
        <v>2.1745799999999997</v>
      </c>
      <c r="AM27" s="652">
        <f t="shared" si="55"/>
        <v>2.1745799999999997</v>
      </c>
      <c r="AP27" s="317">
        <v>2174.58</v>
      </c>
      <c r="AQ27" s="354">
        <f t="shared" ref="AQ27:AQ32" si="56">AP27/1000</f>
        <v>2.1745799999999997</v>
      </c>
    </row>
    <row r="28" spans="1:43" s="276" customFormat="1">
      <c r="A28" s="286" t="s">
        <v>109</v>
      </c>
      <c r="B28" s="287" t="s">
        <v>43</v>
      </c>
      <c r="C28" s="314">
        <v>12.485040000000001</v>
      </c>
      <c r="D28" s="314">
        <v>9.6427199999999988</v>
      </c>
      <c r="E28" s="314">
        <v>5.1455200000000003</v>
      </c>
      <c r="F28" s="314">
        <v>8.9106900000000007</v>
      </c>
      <c r="G28" s="314">
        <v>10.6479</v>
      </c>
      <c r="H28" s="314">
        <v>11.268190000000001</v>
      </c>
      <c r="I28" s="314">
        <v>9.0518400000000003</v>
      </c>
      <c r="J28" s="314">
        <v>11.33426</v>
      </c>
      <c r="K28" s="314">
        <v>7.3439199999999998</v>
      </c>
      <c r="L28" s="314">
        <v>7.4108900000000002</v>
      </c>
      <c r="M28" s="314">
        <v>6.3707500000000001</v>
      </c>
      <c r="N28" s="314">
        <v>7.9856099999999994</v>
      </c>
      <c r="O28" s="314">
        <v>8.8895</v>
      </c>
      <c r="P28" s="314">
        <v>9.9887499999999996</v>
      </c>
      <c r="Q28" s="314">
        <v>7.2515400000000003</v>
      </c>
      <c r="R28" s="314">
        <v>9.6531599999999997</v>
      </c>
      <c r="S28" s="314">
        <v>9.087159999999999</v>
      </c>
      <c r="T28" s="314">
        <v>10.34149</v>
      </c>
      <c r="U28" s="314">
        <v>10.659940000000001</v>
      </c>
      <c r="V28" s="314">
        <v>7.6978299999999997</v>
      </c>
      <c r="W28" s="314">
        <v>9.9850400000000015</v>
      </c>
      <c r="X28" s="314">
        <v>8.6645099999999999</v>
      </c>
      <c r="Y28" s="314">
        <v>6.8640100000000004</v>
      </c>
      <c r="Z28" s="652">
        <f t="shared" si="53"/>
        <v>6.8640100000000004</v>
      </c>
      <c r="AA28" s="652">
        <f t="shared" si="54"/>
        <v>6.8640100000000004</v>
      </c>
      <c r="AB28" s="652">
        <f t="shared" si="54"/>
        <v>6.8640100000000004</v>
      </c>
      <c r="AC28" s="652">
        <f t="shared" si="54"/>
        <v>6.8640100000000004</v>
      </c>
      <c r="AD28" s="652">
        <f t="shared" si="54"/>
        <v>6.8640100000000004</v>
      </c>
      <c r="AE28" s="652">
        <f t="shared" si="54"/>
        <v>6.8640100000000004</v>
      </c>
      <c r="AF28" s="652">
        <f t="shared" si="54"/>
        <v>6.8640100000000004</v>
      </c>
      <c r="AG28" s="652">
        <f t="shared" si="55"/>
        <v>6.8640100000000004</v>
      </c>
      <c r="AH28" s="652">
        <f t="shared" si="55"/>
        <v>6.8640100000000004</v>
      </c>
      <c r="AI28" s="652">
        <f t="shared" si="55"/>
        <v>6.8640100000000004</v>
      </c>
      <c r="AJ28" s="652">
        <f t="shared" si="55"/>
        <v>6.8640100000000004</v>
      </c>
      <c r="AK28" s="652">
        <f t="shared" si="55"/>
        <v>6.8640100000000004</v>
      </c>
      <c r="AL28" s="652">
        <f t="shared" si="55"/>
        <v>6.8640100000000004</v>
      </c>
      <c r="AM28" s="652">
        <f t="shared" si="55"/>
        <v>6.8640100000000004</v>
      </c>
      <c r="AP28" s="317">
        <v>6864.01</v>
      </c>
      <c r="AQ28" s="354">
        <f t="shared" si="56"/>
        <v>6.8640100000000004</v>
      </c>
    </row>
    <row r="29" spans="1:43" s="276" customFormat="1">
      <c r="A29" s="286" t="s">
        <v>110</v>
      </c>
      <c r="B29" s="287" t="s">
        <v>43</v>
      </c>
      <c r="C29" s="314">
        <v>1.74675</v>
      </c>
      <c r="D29" s="314">
        <v>1.7093</v>
      </c>
      <c r="E29" s="314">
        <v>1.74495</v>
      </c>
      <c r="F29" s="314">
        <v>1.73674</v>
      </c>
      <c r="G29" s="314">
        <v>1.7336099999999999</v>
      </c>
      <c r="H29" s="314">
        <v>1.7284000000000002</v>
      </c>
      <c r="I29" s="314">
        <v>1.6542000000000001</v>
      </c>
      <c r="J29" s="314">
        <v>1.5305799999999998</v>
      </c>
      <c r="K29" s="314">
        <v>1.2746300000000002</v>
      </c>
      <c r="L29" s="314">
        <v>8.58765</v>
      </c>
      <c r="M29" s="314">
        <v>8.5851000000000006</v>
      </c>
      <c r="N29" s="314">
        <v>6.1211599999999997</v>
      </c>
      <c r="O29" s="314">
        <v>6.1287600000000007</v>
      </c>
      <c r="P29" s="314">
        <v>6.1342299999999996</v>
      </c>
      <c r="Q29" s="314">
        <v>6.0019999999999998</v>
      </c>
      <c r="R29" s="314">
        <v>8.2162900000000008</v>
      </c>
      <c r="S29" s="314">
        <v>3.9404299999999997</v>
      </c>
      <c r="T29" s="314">
        <v>3.4487199999999998</v>
      </c>
      <c r="U29" s="314">
        <v>3.4514</v>
      </c>
      <c r="V29" s="314">
        <v>0.92852000000000001</v>
      </c>
      <c r="W29" s="314">
        <v>3.8965100000000001</v>
      </c>
      <c r="X29" s="314">
        <v>1.51406</v>
      </c>
      <c r="Y29" s="314">
        <v>1.5146600000000001</v>
      </c>
      <c r="Z29" s="652">
        <f t="shared" si="53"/>
        <v>1.5146600000000001</v>
      </c>
      <c r="AA29" s="652">
        <f t="shared" si="54"/>
        <v>1.5146600000000001</v>
      </c>
      <c r="AB29" s="652">
        <f t="shared" si="54"/>
        <v>1.5146600000000001</v>
      </c>
      <c r="AC29" s="652">
        <f t="shared" si="54"/>
        <v>1.5146600000000001</v>
      </c>
      <c r="AD29" s="652">
        <f t="shared" si="54"/>
        <v>1.5146600000000001</v>
      </c>
      <c r="AE29" s="652">
        <f t="shared" si="54"/>
        <v>1.5146600000000001</v>
      </c>
      <c r="AF29" s="652">
        <f t="shared" si="54"/>
        <v>1.5146600000000001</v>
      </c>
      <c r="AG29" s="652">
        <f t="shared" si="55"/>
        <v>1.5146600000000001</v>
      </c>
      <c r="AH29" s="652">
        <f t="shared" si="55"/>
        <v>1.5146600000000001</v>
      </c>
      <c r="AI29" s="652">
        <f t="shared" si="55"/>
        <v>1.5146600000000001</v>
      </c>
      <c r="AJ29" s="652">
        <f t="shared" si="55"/>
        <v>1.5146600000000001</v>
      </c>
      <c r="AK29" s="652">
        <f t="shared" si="55"/>
        <v>1.5146600000000001</v>
      </c>
      <c r="AL29" s="652">
        <f t="shared" si="55"/>
        <v>1.5146600000000001</v>
      </c>
      <c r="AM29" s="652">
        <f t="shared" si="55"/>
        <v>1.5146600000000001</v>
      </c>
      <c r="AP29" s="317">
        <v>1514.66</v>
      </c>
      <c r="AQ29" s="354">
        <f t="shared" si="56"/>
        <v>1.5146600000000001</v>
      </c>
    </row>
    <row r="30" spans="1:43" s="276" customFormat="1">
      <c r="A30" s="286" t="s">
        <v>111</v>
      </c>
      <c r="B30" s="287" t="s">
        <v>43</v>
      </c>
      <c r="C30" s="314">
        <v>2.8454800000000002</v>
      </c>
      <c r="D30" s="314">
        <v>2.8450900000000003</v>
      </c>
      <c r="E30" s="314">
        <v>0.10045999999999999</v>
      </c>
      <c r="F30" s="314">
        <v>9.6069999999999989E-2</v>
      </c>
      <c r="G30" s="314">
        <v>0</v>
      </c>
      <c r="H30" s="314">
        <v>0</v>
      </c>
      <c r="I30" s="314">
        <v>4.0060000000000005E-2</v>
      </c>
      <c r="J30" s="314">
        <v>0.12368000000000001</v>
      </c>
      <c r="K30" s="314">
        <v>0.87017999999999995</v>
      </c>
      <c r="L30" s="314">
        <v>5.4668900000000002</v>
      </c>
      <c r="M30" s="314">
        <v>5.4723000000000006</v>
      </c>
      <c r="N30" s="314">
        <v>5.4638800000000005</v>
      </c>
      <c r="O30" s="314">
        <v>5.4652799999999999</v>
      </c>
      <c r="P30" s="314">
        <v>5.4606000000000003</v>
      </c>
      <c r="Q30" s="314">
        <v>5.4509300000000005</v>
      </c>
      <c r="R30" s="314">
        <v>6.7955200000000007</v>
      </c>
      <c r="S30" s="314">
        <v>6.7940100000000001</v>
      </c>
      <c r="T30" s="314">
        <v>6.7880200000000004</v>
      </c>
      <c r="U30" s="314">
        <v>6.7672700000000008</v>
      </c>
      <c r="V30" s="314">
        <v>2.4862800000000003</v>
      </c>
      <c r="W30" s="314">
        <v>8.710049999999999</v>
      </c>
      <c r="X30" s="314">
        <v>5.8685299999999998</v>
      </c>
      <c r="Y30" s="314">
        <v>0.91939000000000004</v>
      </c>
      <c r="Z30" s="652">
        <f t="shared" si="53"/>
        <v>0.91939000000000004</v>
      </c>
      <c r="AA30" s="652">
        <f t="shared" si="54"/>
        <v>0.91939000000000004</v>
      </c>
      <c r="AB30" s="652">
        <f t="shared" si="54"/>
        <v>0.91939000000000004</v>
      </c>
      <c r="AC30" s="652">
        <f t="shared" si="54"/>
        <v>0.91939000000000004</v>
      </c>
      <c r="AD30" s="652">
        <f t="shared" si="54"/>
        <v>0.91939000000000004</v>
      </c>
      <c r="AE30" s="652">
        <f t="shared" si="54"/>
        <v>0.91939000000000004</v>
      </c>
      <c r="AF30" s="652">
        <f t="shared" si="54"/>
        <v>0.91939000000000004</v>
      </c>
      <c r="AG30" s="652">
        <f t="shared" si="55"/>
        <v>0.91939000000000004</v>
      </c>
      <c r="AH30" s="652">
        <f t="shared" si="55"/>
        <v>0.91939000000000004</v>
      </c>
      <c r="AI30" s="652">
        <f t="shared" si="55"/>
        <v>0.91939000000000004</v>
      </c>
      <c r="AJ30" s="652">
        <f t="shared" si="55"/>
        <v>0.91939000000000004</v>
      </c>
      <c r="AK30" s="652">
        <f t="shared" si="55"/>
        <v>0.91939000000000004</v>
      </c>
      <c r="AL30" s="652">
        <f t="shared" si="55"/>
        <v>0.91939000000000004</v>
      </c>
      <c r="AM30" s="652">
        <f t="shared" si="55"/>
        <v>0.91939000000000004</v>
      </c>
      <c r="AP30" s="317">
        <v>919.39</v>
      </c>
      <c r="AQ30" s="354">
        <f t="shared" si="56"/>
        <v>0.91939000000000004</v>
      </c>
    </row>
    <row r="31" spans="1:43" s="276" customFormat="1">
      <c r="A31" s="286" t="s">
        <v>112</v>
      </c>
      <c r="B31" s="287" t="s">
        <v>43</v>
      </c>
      <c r="C31" s="314">
        <v>20.697040000000001</v>
      </c>
      <c r="D31" s="314">
        <v>13.78134</v>
      </c>
      <c r="E31" s="314">
        <v>7.7362799999999998</v>
      </c>
      <c r="F31" s="314">
        <v>4.9186300000000003</v>
      </c>
      <c r="G31" s="314">
        <v>13.089840000000001</v>
      </c>
      <c r="H31" s="314">
        <v>8.2105800000000002</v>
      </c>
      <c r="I31" s="314">
        <v>3.6063800000000001</v>
      </c>
      <c r="J31" s="314">
        <v>7.9523100000000007</v>
      </c>
      <c r="K31" s="314">
        <v>14.077450000000001</v>
      </c>
      <c r="L31" s="314">
        <v>20.986369999999997</v>
      </c>
      <c r="M31" s="314">
        <v>8.0376300000000001</v>
      </c>
      <c r="N31" s="314">
        <v>15.845660000000001</v>
      </c>
      <c r="O31" s="314">
        <v>4.99397</v>
      </c>
      <c r="P31" s="314">
        <v>18.02657</v>
      </c>
      <c r="Q31" s="314">
        <v>11.229280000000001</v>
      </c>
      <c r="R31" s="314">
        <v>12.113440000000001</v>
      </c>
      <c r="S31" s="314">
        <v>21.480130000000003</v>
      </c>
      <c r="T31" s="314">
        <v>17.01482</v>
      </c>
      <c r="U31" s="314">
        <v>14.103429999999999</v>
      </c>
      <c r="V31" s="314">
        <v>2.2935500000000002</v>
      </c>
      <c r="W31" s="314">
        <v>8.1916799999999999</v>
      </c>
      <c r="X31" s="314">
        <v>2.8309099999999998</v>
      </c>
      <c r="Y31" s="314">
        <v>6.8748999999999993</v>
      </c>
      <c r="Z31" s="652"/>
      <c r="AA31" s="652"/>
      <c r="AB31" s="652"/>
      <c r="AC31" s="652"/>
      <c r="AD31" s="652"/>
      <c r="AE31" s="652"/>
      <c r="AF31" s="652"/>
      <c r="AG31" s="652"/>
      <c r="AH31" s="652"/>
      <c r="AI31" s="652"/>
      <c r="AJ31" s="652"/>
      <c r="AK31" s="652"/>
      <c r="AL31" s="652"/>
      <c r="AM31" s="652"/>
      <c r="AP31" s="317">
        <v>6874.9</v>
      </c>
      <c r="AQ31" s="354">
        <f t="shared" si="56"/>
        <v>6.8748999999999993</v>
      </c>
    </row>
    <row r="32" spans="1:43" s="276" customFormat="1" ht="15" thickBot="1">
      <c r="A32" s="286" t="s">
        <v>113</v>
      </c>
      <c r="B32" s="287" t="s">
        <v>43</v>
      </c>
      <c r="C32" s="314">
        <v>21.019130000000001</v>
      </c>
      <c r="D32" s="314">
        <v>15.081700000000001</v>
      </c>
      <c r="E32" s="314">
        <v>12.372590000000001</v>
      </c>
      <c r="F32" s="314">
        <v>9.5060699999999994</v>
      </c>
      <c r="G32" s="314">
        <v>18.52337</v>
      </c>
      <c r="H32" s="314">
        <v>10.627790000000001</v>
      </c>
      <c r="I32" s="314">
        <v>2.1879599999999999</v>
      </c>
      <c r="J32" s="314">
        <v>6.5095000000000001</v>
      </c>
      <c r="K32" s="314">
        <v>13.483370000000001</v>
      </c>
      <c r="L32" s="314">
        <v>14.53547</v>
      </c>
      <c r="M32" s="314">
        <v>12.915569999999999</v>
      </c>
      <c r="N32" s="314">
        <v>14.74959</v>
      </c>
      <c r="O32" s="314">
        <v>4.77651</v>
      </c>
      <c r="P32" s="314">
        <v>20.466369999999998</v>
      </c>
      <c r="Q32" s="314">
        <v>11.72532</v>
      </c>
      <c r="R32" s="314">
        <v>13.922360000000001</v>
      </c>
      <c r="S32" s="314">
        <v>21.769310000000001</v>
      </c>
      <c r="T32" s="314">
        <v>21.638180000000002</v>
      </c>
      <c r="U32" s="314">
        <v>16.56108</v>
      </c>
      <c r="V32" s="314">
        <v>4.6611199999999995</v>
      </c>
      <c r="W32" s="314">
        <v>4.3384099999999997</v>
      </c>
      <c r="X32" s="314">
        <v>4.7323500000000003</v>
      </c>
      <c r="Y32" s="314">
        <v>5.7439999999999998</v>
      </c>
      <c r="Z32" s="652">
        <f>Y31+Y32+Z33-Z23-Z19</f>
        <v>17.918899999999994</v>
      </c>
      <c r="AA32" s="652">
        <f t="shared" ref="AA32:AF32" si="57">Z31+Z32+AA33-AA23-AA19</f>
        <v>37.218899999999991</v>
      </c>
      <c r="AB32" s="652">
        <f>AA31+AA32+AB33-AB23-AB19</f>
        <v>42.418899999999994</v>
      </c>
      <c r="AC32" s="652">
        <f t="shared" si="57"/>
        <v>41.118899999999996</v>
      </c>
      <c r="AD32" s="652">
        <f t="shared" si="57"/>
        <v>45.318899999999999</v>
      </c>
      <c r="AE32" s="652">
        <f>AD31+AD32+AE33-AE23-AE19</f>
        <v>38.518899999999988</v>
      </c>
      <c r="AF32" s="652">
        <f t="shared" si="57"/>
        <v>55.718899999999962</v>
      </c>
      <c r="AG32" s="652">
        <f t="shared" ref="AG32:AM32" si="58">AF31+AF32+AG33-AG23-AG19</f>
        <v>41.011100270438192</v>
      </c>
      <c r="AH32" s="652">
        <f t="shared" si="58"/>
        <v>46.982039696824472</v>
      </c>
      <c r="AI32" s="652">
        <f t="shared" si="58"/>
        <v>55.952980373394411</v>
      </c>
      <c r="AJ32" s="652">
        <f t="shared" si="58"/>
        <v>56.214939915072847</v>
      </c>
      <c r="AK32" s="652">
        <f t="shared" si="58"/>
        <v>32.06975991649621</v>
      </c>
      <c r="AL32" s="652">
        <f t="shared" si="58"/>
        <v>51.487560115766428</v>
      </c>
      <c r="AM32" s="652">
        <f t="shared" si="58"/>
        <v>42.433139929306378</v>
      </c>
      <c r="AP32" s="317">
        <v>5744</v>
      </c>
      <c r="AQ32" s="354">
        <f t="shared" si="56"/>
        <v>5.7439999999999998</v>
      </c>
    </row>
    <row r="33" spans="1:40" s="300" customFormat="1" ht="15" thickBot="1">
      <c r="A33" s="300" t="s">
        <v>231</v>
      </c>
      <c r="B33" s="301" t="s">
        <v>43</v>
      </c>
      <c r="C33" s="302">
        <v>44</v>
      </c>
      <c r="D33" s="303"/>
      <c r="E33" s="303"/>
      <c r="F33" s="303"/>
      <c r="G33" s="303">
        <v>23</v>
      </c>
      <c r="H33" s="303">
        <v>0</v>
      </c>
      <c r="I33" s="303"/>
      <c r="J33" s="303">
        <v>44</v>
      </c>
      <c r="K33" s="303">
        <v>44</v>
      </c>
      <c r="L33" s="303">
        <v>47</v>
      </c>
      <c r="M33" s="303"/>
      <c r="N33" s="303">
        <v>47.5</v>
      </c>
      <c r="O33" s="303">
        <f>4+4+0.5</f>
        <v>8.5</v>
      </c>
      <c r="P33" s="303">
        <v>45.58</v>
      </c>
      <c r="Q33" s="303">
        <v>22</v>
      </c>
      <c r="R33" s="303">
        <v>44</v>
      </c>
      <c r="S33" s="303">
        <f>44</f>
        <v>44</v>
      </c>
      <c r="T33" s="586">
        <f>46-'C3LPG'!AC98</f>
        <v>29</v>
      </c>
      <c r="U33" s="586">
        <f>44-'C3LPG'!AD98</f>
        <v>26</v>
      </c>
      <c r="V33" s="303">
        <f>V47-'C3LPG'!AE98</f>
        <v>66</v>
      </c>
      <c r="W33" s="303">
        <f>W47-'C3LPG'!AF98</f>
        <v>44</v>
      </c>
      <c r="X33" s="303">
        <f>X47-'C3LPG'!AG98</f>
        <v>46</v>
      </c>
      <c r="Y33" s="303">
        <f>Y47-'C3LPG'!AH98</f>
        <v>44</v>
      </c>
      <c r="Z33" s="303">
        <f>Z47-'C3LPG'!AI98</f>
        <v>44</v>
      </c>
      <c r="AA33" s="303">
        <f>AA47-'C3LPG'!AJ98</f>
        <v>66</v>
      </c>
      <c r="AB33" s="770">
        <f>AB47-7-10</f>
        <v>71</v>
      </c>
      <c r="AC33" s="770">
        <f>AC47-3.5-14</f>
        <v>70.5</v>
      </c>
      <c r="AD33" s="780">
        <f>AD47</f>
        <v>88</v>
      </c>
      <c r="AE33" s="771">
        <f>AE47-'C3LPG'!AN98-'C3LPG'!AN99-'C3LPG'!AN100</f>
        <v>88</v>
      </c>
      <c r="AF33" s="706">
        <f>AF47-'C3LPG'!AO98-'C3LPG'!AO99-'C3LPG'!AO100</f>
        <v>118</v>
      </c>
      <c r="AG33" s="706">
        <f>AG47-'C3LPG'!AP98-'C3LPG'!AP99-'C3LPG'!AP100</f>
        <v>84.092200270438227</v>
      </c>
      <c r="AH33" s="706">
        <f>AH47-'C3LPG'!AQ98-'C3LPG'!AQ99-'C3LPG'!AQ100</f>
        <v>114.77093942638629</v>
      </c>
      <c r="AI33" s="706">
        <f>AI47-'C3LPG'!AR98-'C3LPG'!AR99-'C3LPG'!AR100</f>
        <v>124.77094067656995</v>
      </c>
      <c r="AJ33" s="706">
        <f>AJ47-'C3LPG'!AS98-'C3LPG'!AS99-'C3LPG'!AS100</f>
        <v>99.061959541678448</v>
      </c>
      <c r="AK33" s="706">
        <f>AK47-'C3LPG'!AT98-'C3LPG'!AT99-'C3LPG'!AT100</f>
        <v>77.654820001423346</v>
      </c>
      <c r="AL33" s="706">
        <f>AL47-'C3LPG'!AU98-'C3LPG'!AU99-'C3LPG'!AU100</f>
        <v>122.21780019927023</v>
      </c>
      <c r="AM33" s="706">
        <f>AM47-'C3LPG'!AV98-'C3LPG'!AV99-'C3LPG'!AV100</f>
        <v>103.74557981353996</v>
      </c>
      <c r="AN33" s="717" t="s">
        <v>244</v>
      </c>
    </row>
    <row r="34" spans="1:40" s="300" customFormat="1" ht="26.5" customHeight="1">
      <c r="A34" s="699" t="s">
        <v>229</v>
      </c>
      <c r="B34" s="299" t="s">
        <v>43</v>
      </c>
      <c r="C34" s="304"/>
      <c r="D34" s="304">
        <f t="shared" ref="D34:T34" si="59">+SUM(D27:D32)+D14</f>
        <v>64.706463907470706</v>
      </c>
      <c r="E34" s="304">
        <f t="shared" si="59"/>
        <v>67.831637630224606</v>
      </c>
      <c r="F34" s="304">
        <f t="shared" si="59"/>
        <v>63.70610145751953</v>
      </c>
      <c r="G34" s="304">
        <f t="shared" si="59"/>
        <v>66.647852199999988</v>
      </c>
      <c r="H34" s="304">
        <f t="shared" si="59"/>
        <v>65.481283899999994</v>
      </c>
      <c r="I34" s="304">
        <f t="shared" si="59"/>
        <v>34.979469999999999</v>
      </c>
      <c r="J34" s="304">
        <f t="shared" si="59"/>
        <v>48.598420000000004</v>
      </c>
      <c r="K34" s="304">
        <f t="shared" si="59"/>
        <v>56.282089999999997</v>
      </c>
      <c r="L34" s="304">
        <f t="shared" si="59"/>
        <v>87.805459999999997</v>
      </c>
      <c r="M34" s="304">
        <f t="shared" si="59"/>
        <v>60.257900000000006</v>
      </c>
      <c r="N34" s="304">
        <f t="shared" si="59"/>
        <v>77.369380699999994</v>
      </c>
      <c r="O34" s="304">
        <f t="shared" si="59"/>
        <v>53.237692360000004</v>
      </c>
      <c r="P34" s="304">
        <f t="shared" si="59"/>
        <v>89.407150000000001</v>
      </c>
      <c r="Q34" s="304">
        <f t="shared" si="59"/>
        <v>75.576880000000003</v>
      </c>
      <c r="R34" s="304">
        <f t="shared" si="59"/>
        <v>78.759662528000007</v>
      </c>
      <c r="S34" s="304">
        <f t="shared" si="59"/>
        <v>101.88334820000001</v>
      </c>
      <c r="T34" s="304">
        <f t="shared" si="59"/>
        <v>97.174213788000003</v>
      </c>
      <c r="U34" s="304">
        <f t="shared" ref="U34:AB34" si="60">+SUM(U27:U32)+U14</f>
        <v>75.491817854000004</v>
      </c>
      <c r="V34" s="304">
        <f t="shared" si="60"/>
        <v>41.458376900000005</v>
      </c>
      <c r="W34" s="304">
        <f t="shared" si="60"/>
        <v>65.234798357999992</v>
      </c>
      <c r="X34" s="304">
        <f>+SUM(X27:X32)+X14</f>
        <v>39.336402000000007</v>
      </c>
      <c r="Y34" s="304">
        <f>+SUM(Y27:Y32)+Y14</f>
        <v>37.541536600000001</v>
      </c>
      <c r="Z34" s="304">
        <f t="shared" si="60"/>
        <v>46.842751599999993</v>
      </c>
      <c r="AA34" s="304">
        <f t="shared" si="60"/>
        <v>74.578637289999989</v>
      </c>
      <c r="AB34" s="700">
        <f t="shared" si="60"/>
        <v>77.582371716227186</v>
      </c>
      <c r="AC34" s="700">
        <f t="shared" ref="AC34:AD34" si="61">+SUM(AC27:AC32)+AC14</f>
        <v>75.014945807137991</v>
      </c>
      <c r="AD34" s="700">
        <f t="shared" si="61"/>
        <v>79.025144438172461</v>
      </c>
      <c r="AE34" s="700">
        <f>+SUM(AE27:AE32)+AE14</f>
        <v>74.313460978517256</v>
      </c>
      <c r="AF34" s="700">
        <f t="shared" ref="AF34" si="62">+SUM(AF27:AF32)+AF14</f>
        <v>91.64108995203199</v>
      </c>
      <c r="AG34" s="700">
        <f t="shared" ref="AG34:AM34" si="63">+SUM(AG27:AG32)+AG14</f>
        <v>74.534083614648409</v>
      </c>
      <c r="AH34" s="700">
        <f t="shared" si="63"/>
        <v>80.923599648860375</v>
      </c>
      <c r="AI34" s="700">
        <f>+SUM(AI27:AI32)+AI14</f>
        <v>92.209047516208614</v>
      </c>
      <c r="AJ34" s="700">
        <f t="shared" si="63"/>
        <v>90.115414829511593</v>
      </c>
      <c r="AK34" s="700">
        <f t="shared" si="63"/>
        <v>66.370195334624668</v>
      </c>
      <c r="AL34" s="700">
        <f t="shared" si="63"/>
        <v>87.156599623541354</v>
      </c>
      <c r="AM34" s="700">
        <f t="shared" si="63"/>
        <v>78.406731833457741</v>
      </c>
    </row>
    <row r="35" spans="1:40" s="276" customFormat="1">
      <c r="C35" s="317"/>
      <c r="D35" s="288"/>
    </row>
    <row r="36" spans="1:40" s="276" customFormat="1">
      <c r="A36" s="293"/>
      <c r="B36" s="469" t="s">
        <v>163</v>
      </c>
      <c r="C36" s="292"/>
      <c r="D36" s="288"/>
      <c r="P36" s="468">
        <v>22</v>
      </c>
      <c r="Q36" s="468">
        <v>33</v>
      </c>
      <c r="R36" s="468">
        <v>33</v>
      </c>
      <c r="S36" s="468">
        <v>13</v>
      </c>
      <c r="T36" s="468">
        <v>33</v>
      </c>
      <c r="U36" s="468">
        <v>23</v>
      </c>
      <c r="V36" s="468">
        <v>55</v>
      </c>
      <c r="W36" s="468">
        <v>11</v>
      </c>
      <c r="X36" s="468">
        <v>33</v>
      </c>
      <c r="Y36" s="468">
        <v>33</v>
      </c>
      <c r="Z36" s="468" t="s">
        <v>60</v>
      </c>
      <c r="AA36" s="468">
        <v>11</v>
      </c>
      <c r="AB36" s="468">
        <v>11</v>
      </c>
      <c r="AC36" s="468">
        <v>11</v>
      </c>
      <c r="AD36" s="468">
        <v>11</v>
      </c>
      <c r="AE36" s="468">
        <v>11</v>
      </c>
      <c r="AF36" s="468">
        <v>11</v>
      </c>
      <c r="AG36" s="468">
        <v>11</v>
      </c>
      <c r="AH36" s="468">
        <v>11</v>
      </c>
      <c r="AI36" s="468">
        <v>11</v>
      </c>
      <c r="AJ36" s="468">
        <v>11</v>
      </c>
      <c r="AK36" s="468">
        <v>11</v>
      </c>
      <c r="AL36" s="468">
        <v>11</v>
      </c>
      <c r="AM36" s="468">
        <v>11</v>
      </c>
    </row>
    <row r="37" spans="1:40">
      <c r="B37" s="536" t="s">
        <v>164</v>
      </c>
      <c r="C37" s="318"/>
      <c r="D37" s="288"/>
      <c r="P37" s="303">
        <f t="shared" ref="P37:AA37" si="64">P33-P24</f>
        <v>40.58</v>
      </c>
      <c r="Q37" s="303">
        <f t="shared" si="64"/>
        <v>17</v>
      </c>
      <c r="R37" s="303">
        <f t="shared" si="64"/>
        <v>40.65</v>
      </c>
      <c r="S37" s="303">
        <f t="shared" si="64"/>
        <v>41</v>
      </c>
      <c r="T37" s="303">
        <f t="shared" si="64"/>
        <v>28.45</v>
      </c>
      <c r="U37" s="303">
        <f t="shared" si="64"/>
        <v>24</v>
      </c>
      <c r="V37" s="303">
        <f t="shared" si="64"/>
        <v>63.3</v>
      </c>
      <c r="W37" s="303">
        <f t="shared" si="64"/>
        <v>39.5</v>
      </c>
      <c r="X37" s="303">
        <f t="shared" si="64"/>
        <v>42.5</v>
      </c>
      <c r="Y37" s="303">
        <f t="shared" si="64"/>
        <v>40</v>
      </c>
      <c r="Z37" s="303">
        <f t="shared" si="64"/>
        <v>39</v>
      </c>
      <c r="AA37" s="303">
        <f t="shared" si="64"/>
        <v>60</v>
      </c>
      <c r="AB37" s="303">
        <f t="shared" ref="AB37:AF37" si="65">AB33-AB24</f>
        <v>65</v>
      </c>
      <c r="AC37" s="303">
        <f t="shared" si="65"/>
        <v>64.5</v>
      </c>
      <c r="AD37" s="303">
        <f t="shared" si="65"/>
        <v>82</v>
      </c>
      <c r="AE37" s="303">
        <f t="shared" si="65"/>
        <v>82</v>
      </c>
      <c r="AF37" s="303">
        <f t="shared" si="65"/>
        <v>112</v>
      </c>
      <c r="AG37" s="303">
        <f t="shared" ref="AG37:AM37" si="66">AG33-AG24</f>
        <v>78.092200270438227</v>
      </c>
      <c r="AH37" s="303">
        <f t="shared" si="66"/>
        <v>108.77093942638629</v>
      </c>
      <c r="AI37" s="303">
        <f t="shared" si="66"/>
        <v>118.77094067656995</v>
      </c>
      <c r="AJ37" s="303">
        <f t="shared" si="66"/>
        <v>93.061959541678448</v>
      </c>
      <c r="AK37" s="303">
        <f t="shared" si="66"/>
        <v>71.654820001423346</v>
      </c>
      <c r="AL37" s="303">
        <f t="shared" si="66"/>
        <v>116.21780019927023</v>
      </c>
      <c r="AM37" s="303">
        <f t="shared" si="66"/>
        <v>97.745579813539962</v>
      </c>
    </row>
    <row r="38" spans="1:40">
      <c r="R38" s="509"/>
    </row>
    <row r="39" spans="1:40">
      <c r="C39" s="295"/>
      <c r="D39" s="316">
        <f t="shared" ref="D39:Q39" si="67">D1</f>
        <v>43832</v>
      </c>
      <c r="E39" s="316">
        <f t="shared" si="67"/>
        <v>43863</v>
      </c>
      <c r="F39" s="316">
        <f t="shared" si="67"/>
        <v>43892</v>
      </c>
      <c r="G39" s="316">
        <f t="shared" si="67"/>
        <v>43923</v>
      </c>
      <c r="H39" s="316">
        <f t="shared" si="67"/>
        <v>43953</v>
      </c>
      <c r="I39" s="316">
        <f t="shared" si="67"/>
        <v>43984</v>
      </c>
      <c r="J39" s="316">
        <f t="shared" si="67"/>
        <v>44014</v>
      </c>
      <c r="K39" s="316">
        <f t="shared" si="67"/>
        <v>44045</v>
      </c>
      <c r="L39" s="316">
        <f t="shared" si="67"/>
        <v>44076</v>
      </c>
      <c r="M39" s="316">
        <f t="shared" si="67"/>
        <v>44106</v>
      </c>
      <c r="N39" s="316">
        <f t="shared" si="67"/>
        <v>44137</v>
      </c>
      <c r="O39" s="316">
        <f t="shared" si="67"/>
        <v>44167</v>
      </c>
      <c r="P39" s="316">
        <f t="shared" si="67"/>
        <v>44198</v>
      </c>
      <c r="Q39" s="316">
        <f t="shared" si="67"/>
        <v>44229</v>
      </c>
      <c r="R39" s="316">
        <f t="shared" ref="R39:AB39" si="68">R1</f>
        <v>44257</v>
      </c>
      <c r="S39" s="316">
        <f t="shared" si="68"/>
        <v>44288</v>
      </c>
      <c r="T39" s="316">
        <f t="shared" si="68"/>
        <v>44318</v>
      </c>
      <c r="U39" s="316">
        <f t="shared" si="68"/>
        <v>44349</v>
      </c>
      <c r="V39" s="316">
        <f t="shared" si="68"/>
        <v>44379</v>
      </c>
      <c r="W39" s="316">
        <f t="shared" si="68"/>
        <v>44410</v>
      </c>
      <c r="X39" s="316">
        <f t="shared" si="68"/>
        <v>44441</v>
      </c>
      <c r="Y39" s="316">
        <f t="shared" si="68"/>
        <v>44471</v>
      </c>
      <c r="Z39" s="316">
        <f t="shared" si="68"/>
        <v>44502</v>
      </c>
      <c r="AA39" s="316">
        <f t="shared" si="68"/>
        <v>44532</v>
      </c>
      <c r="AB39" s="316">
        <f t="shared" si="68"/>
        <v>44563</v>
      </c>
      <c r="AC39" s="316">
        <f t="shared" ref="AC39:AD39" si="69">AC1</f>
        <v>44594</v>
      </c>
      <c r="AD39" s="316">
        <f t="shared" si="69"/>
        <v>44622</v>
      </c>
      <c r="AE39" s="316">
        <f t="shared" ref="AE39:AF39" si="70">AE1</f>
        <v>44653</v>
      </c>
      <c r="AF39" s="316">
        <f t="shared" si="70"/>
        <v>44683</v>
      </c>
      <c r="AG39" s="316">
        <f t="shared" ref="AG39:AM39" si="71">AG1</f>
        <v>44714</v>
      </c>
      <c r="AH39" s="316">
        <f t="shared" si="71"/>
        <v>44744</v>
      </c>
      <c r="AI39" s="316">
        <f t="shared" si="71"/>
        <v>44775</v>
      </c>
      <c r="AJ39" s="316">
        <f t="shared" si="71"/>
        <v>44806</v>
      </c>
      <c r="AK39" s="316">
        <f t="shared" si="71"/>
        <v>44836</v>
      </c>
      <c r="AL39" s="316">
        <f t="shared" si="71"/>
        <v>44867</v>
      </c>
      <c r="AM39" s="316">
        <f t="shared" si="71"/>
        <v>44897</v>
      </c>
    </row>
    <row r="40" spans="1:40">
      <c r="A40" s="294" t="s">
        <v>251</v>
      </c>
      <c r="C40" s="295"/>
      <c r="D40" s="296">
        <f t="shared" ref="D40:Q40" si="72">D34</f>
        <v>64.706463907470706</v>
      </c>
      <c r="E40" s="296">
        <f t="shared" si="72"/>
        <v>67.831637630224606</v>
      </c>
      <c r="F40" s="296">
        <f t="shared" si="72"/>
        <v>63.70610145751953</v>
      </c>
      <c r="G40" s="296">
        <f t="shared" si="72"/>
        <v>66.647852199999988</v>
      </c>
      <c r="H40" s="296">
        <f t="shared" si="72"/>
        <v>65.481283899999994</v>
      </c>
      <c r="I40" s="296">
        <f t="shared" si="72"/>
        <v>34.979469999999999</v>
      </c>
      <c r="J40" s="296">
        <f t="shared" si="72"/>
        <v>48.598420000000004</v>
      </c>
      <c r="K40" s="296">
        <f t="shared" si="72"/>
        <v>56.282089999999997</v>
      </c>
      <c r="L40" s="296">
        <f t="shared" si="72"/>
        <v>87.805459999999997</v>
      </c>
      <c r="M40" s="296">
        <f t="shared" si="72"/>
        <v>60.257900000000006</v>
      </c>
      <c r="N40" s="296">
        <f t="shared" si="72"/>
        <v>77.369380699999994</v>
      </c>
      <c r="O40" s="296">
        <f t="shared" si="72"/>
        <v>53.237692360000004</v>
      </c>
      <c r="P40" s="296">
        <f t="shared" si="72"/>
        <v>89.407150000000001</v>
      </c>
      <c r="Q40" s="296">
        <f t="shared" si="72"/>
        <v>75.576880000000003</v>
      </c>
      <c r="R40" s="296">
        <f t="shared" ref="R40:AB40" si="73">R34</f>
        <v>78.759662528000007</v>
      </c>
      <c r="S40" s="296">
        <f t="shared" si="73"/>
        <v>101.88334820000001</v>
      </c>
      <c r="T40" s="296">
        <f t="shared" si="73"/>
        <v>97.174213788000003</v>
      </c>
      <c r="U40" s="296">
        <f t="shared" si="73"/>
        <v>75.491817854000004</v>
      </c>
      <c r="V40" s="296">
        <f t="shared" si="73"/>
        <v>41.458376900000005</v>
      </c>
      <c r="W40" s="296">
        <f t="shared" si="73"/>
        <v>65.234798357999992</v>
      </c>
      <c r="X40" s="296">
        <f t="shared" si="73"/>
        <v>39.336402000000007</v>
      </c>
      <c r="Y40" s="296">
        <f t="shared" si="73"/>
        <v>37.541536600000001</v>
      </c>
      <c r="Z40" s="296">
        <f t="shared" si="73"/>
        <v>46.842751599999993</v>
      </c>
      <c r="AA40" s="296">
        <f t="shared" si="73"/>
        <v>74.578637289999989</v>
      </c>
      <c r="AB40" s="296">
        <f t="shared" si="73"/>
        <v>77.582371716227186</v>
      </c>
      <c r="AC40" s="296">
        <f t="shared" ref="AC40:AD40" si="74">AC34</f>
        <v>75.014945807137991</v>
      </c>
      <c r="AD40" s="296">
        <f t="shared" si="74"/>
        <v>79.025144438172461</v>
      </c>
      <c r="AE40" s="296">
        <f t="shared" ref="AE40:AF40" si="75">AE34</f>
        <v>74.313460978517256</v>
      </c>
      <c r="AF40" s="296">
        <f t="shared" si="75"/>
        <v>91.64108995203199</v>
      </c>
      <c r="AG40" s="296">
        <f t="shared" ref="AG40:AM40" si="76">AG34</f>
        <v>74.534083614648409</v>
      </c>
      <c r="AH40" s="296">
        <f t="shared" si="76"/>
        <v>80.923599648860375</v>
      </c>
      <c r="AI40" s="296">
        <f t="shared" si="76"/>
        <v>92.209047516208614</v>
      </c>
      <c r="AJ40" s="296">
        <f t="shared" si="76"/>
        <v>90.115414829511593</v>
      </c>
      <c r="AK40" s="296">
        <f t="shared" si="76"/>
        <v>66.370195334624668</v>
      </c>
      <c r="AL40" s="296">
        <f t="shared" si="76"/>
        <v>87.156599623541354</v>
      </c>
      <c r="AM40" s="296">
        <f t="shared" si="76"/>
        <v>78.406731833457741</v>
      </c>
    </row>
    <row r="41" spans="1:40">
      <c r="A41" s="294" t="s">
        <v>252</v>
      </c>
      <c r="D41" s="296">
        <f>D40-D42</f>
        <v>64.706463907470706</v>
      </c>
      <c r="E41" s="296">
        <f t="shared" ref="E41:Q41" si="77">E40-E42</f>
        <v>67.831637630224606</v>
      </c>
      <c r="F41" s="296">
        <f t="shared" si="77"/>
        <v>63.70610145751953</v>
      </c>
      <c r="G41" s="296">
        <f t="shared" si="77"/>
        <v>43.647852199999988</v>
      </c>
      <c r="H41" s="296">
        <f t="shared" si="77"/>
        <v>65.481283899999994</v>
      </c>
      <c r="I41" s="296">
        <f t="shared" si="77"/>
        <v>34.979469999999999</v>
      </c>
      <c r="J41" s="296">
        <f t="shared" si="77"/>
        <v>4.5984200000000044</v>
      </c>
      <c r="K41" s="296">
        <f t="shared" si="77"/>
        <v>12.282089999999997</v>
      </c>
      <c r="L41" s="296">
        <f t="shared" si="77"/>
        <v>40.805459999999997</v>
      </c>
      <c r="M41" s="296">
        <f t="shared" si="77"/>
        <v>60.257900000000006</v>
      </c>
      <c r="N41" s="296">
        <f t="shared" si="77"/>
        <v>29.869380699999994</v>
      </c>
      <c r="O41" s="296">
        <f t="shared" si="77"/>
        <v>44.737692360000004</v>
      </c>
      <c r="P41" s="296">
        <f t="shared" si="77"/>
        <v>43.827150000000003</v>
      </c>
      <c r="Q41" s="296">
        <f t="shared" si="77"/>
        <v>53.576880000000003</v>
      </c>
      <c r="R41" s="296">
        <f t="shared" ref="R41:AB41" si="78">R40-R42</f>
        <v>34.759662528000007</v>
      </c>
      <c r="S41" s="296">
        <f t="shared" si="78"/>
        <v>57.883348200000015</v>
      </c>
      <c r="T41" s="296">
        <f t="shared" si="78"/>
        <v>68.174213788000003</v>
      </c>
      <c r="U41" s="296">
        <f t="shared" si="78"/>
        <v>49.491817854000004</v>
      </c>
      <c r="V41" s="296">
        <f t="shared" si="78"/>
        <v>-24.541623099999995</v>
      </c>
      <c r="W41" s="296">
        <f t="shared" si="78"/>
        <v>21.234798357999992</v>
      </c>
      <c r="X41" s="296">
        <f t="shared" si="78"/>
        <v>-6.6635979999999932</v>
      </c>
      <c r="Y41" s="296">
        <f t="shared" si="78"/>
        <v>-6.4584633999999994</v>
      </c>
      <c r="Z41" s="296">
        <f t="shared" si="78"/>
        <v>2.8427515999999926</v>
      </c>
      <c r="AA41" s="296">
        <f t="shared" si="78"/>
        <v>8.578637289999989</v>
      </c>
      <c r="AB41" s="296">
        <f t="shared" si="78"/>
        <v>6.5823717162271862</v>
      </c>
      <c r="AC41" s="296">
        <f t="shared" ref="AC41:AD41" si="79">AC40-AC42</f>
        <v>4.5149458071379911</v>
      </c>
      <c r="AD41" s="296">
        <f t="shared" si="79"/>
        <v>-8.974855561827539</v>
      </c>
      <c r="AE41" s="296">
        <f t="shared" ref="AE41:AF41" si="80">AE40-AE42</f>
        <v>-13.686539021482744</v>
      </c>
      <c r="AF41" s="296">
        <f t="shared" si="80"/>
        <v>-26.35891004796801</v>
      </c>
      <c r="AG41" s="296">
        <f t="shared" ref="AG41:AM41" si="81">AG40-AG42</f>
        <v>-9.5581166557898172</v>
      </c>
      <c r="AH41" s="296">
        <f t="shared" si="81"/>
        <v>-33.847339777525917</v>
      </c>
      <c r="AI41" s="296">
        <f t="shared" si="81"/>
        <v>-32.561893160361336</v>
      </c>
      <c r="AJ41" s="296">
        <f t="shared" si="81"/>
        <v>-8.9465447121668547</v>
      </c>
      <c r="AK41" s="296">
        <f t="shared" si="81"/>
        <v>-11.284624666798678</v>
      </c>
      <c r="AL41" s="296">
        <f t="shared" si="81"/>
        <v>-35.061200575728876</v>
      </c>
      <c r="AM41" s="296">
        <f t="shared" si="81"/>
        <v>-25.338847980082221</v>
      </c>
    </row>
    <row r="42" spans="1:40">
      <c r="A42" s="294" t="s">
        <v>88</v>
      </c>
      <c r="D42" s="296">
        <f>D33</f>
        <v>0</v>
      </c>
      <c r="E42" s="296">
        <f t="shared" ref="E42:Q42" si="82">E33</f>
        <v>0</v>
      </c>
      <c r="F42" s="296">
        <f t="shared" si="82"/>
        <v>0</v>
      </c>
      <c r="G42" s="296">
        <f t="shared" si="82"/>
        <v>23</v>
      </c>
      <c r="H42" s="296">
        <f t="shared" si="82"/>
        <v>0</v>
      </c>
      <c r="I42" s="296">
        <f t="shared" si="82"/>
        <v>0</v>
      </c>
      <c r="J42" s="296">
        <f t="shared" si="82"/>
        <v>44</v>
      </c>
      <c r="K42" s="296">
        <f t="shared" si="82"/>
        <v>44</v>
      </c>
      <c r="L42" s="296">
        <f t="shared" si="82"/>
        <v>47</v>
      </c>
      <c r="M42" s="296">
        <f t="shared" si="82"/>
        <v>0</v>
      </c>
      <c r="N42" s="296">
        <f t="shared" si="82"/>
        <v>47.5</v>
      </c>
      <c r="O42" s="296">
        <f t="shared" si="82"/>
        <v>8.5</v>
      </c>
      <c r="P42" s="296">
        <f t="shared" si="82"/>
        <v>45.58</v>
      </c>
      <c r="Q42" s="296">
        <f t="shared" si="82"/>
        <v>22</v>
      </c>
      <c r="R42" s="296">
        <f t="shared" ref="R42:AB42" si="83">R33</f>
        <v>44</v>
      </c>
      <c r="S42" s="296">
        <f t="shared" si="83"/>
        <v>44</v>
      </c>
      <c r="T42" s="296">
        <f t="shared" si="83"/>
        <v>29</v>
      </c>
      <c r="U42" s="296">
        <f>U33</f>
        <v>26</v>
      </c>
      <c r="V42" s="296">
        <f t="shared" si="83"/>
        <v>66</v>
      </c>
      <c r="W42" s="296">
        <f>W33</f>
        <v>44</v>
      </c>
      <c r="X42" s="296">
        <f t="shared" si="83"/>
        <v>46</v>
      </c>
      <c r="Y42" s="296">
        <f t="shared" si="83"/>
        <v>44</v>
      </c>
      <c r="Z42" s="296">
        <f>Z33</f>
        <v>44</v>
      </c>
      <c r="AA42" s="296">
        <f t="shared" si="83"/>
        <v>66</v>
      </c>
      <c r="AB42" s="296">
        <f t="shared" si="83"/>
        <v>71</v>
      </c>
      <c r="AC42" s="296">
        <f t="shared" ref="AC42:AD42" si="84">AC33</f>
        <v>70.5</v>
      </c>
      <c r="AD42" s="296">
        <f t="shared" si="84"/>
        <v>88</v>
      </c>
      <c r="AE42" s="665">
        <f>AE33</f>
        <v>88</v>
      </c>
      <c r="AF42" s="665">
        <f>AF33</f>
        <v>118</v>
      </c>
      <c r="AG42" s="665">
        <f t="shared" ref="AG42:AI42" si="85">AG33</f>
        <v>84.092200270438227</v>
      </c>
      <c r="AH42" s="665">
        <f t="shared" si="85"/>
        <v>114.77093942638629</v>
      </c>
      <c r="AI42" s="665">
        <f t="shared" si="85"/>
        <v>124.77094067656995</v>
      </c>
      <c r="AJ42" s="665">
        <f t="shared" ref="AJ42:AK42" si="86">AJ33</f>
        <v>99.061959541678448</v>
      </c>
      <c r="AK42" s="665">
        <f t="shared" si="86"/>
        <v>77.654820001423346</v>
      </c>
      <c r="AL42" s="665">
        <f t="shared" ref="AL42:AM42" si="87">AL33</f>
        <v>122.21780019927023</v>
      </c>
      <c r="AM42" s="665">
        <f t="shared" si="87"/>
        <v>103.74557981353996</v>
      </c>
    </row>
    <row r="43" spans="1:40">
      <c r="A43" s="294" t="s">
        <v>107</v>
      </c>
      <c r="D43" s="294">
        <v>25.57</v>
      </c>
      <c r="E43" s="294">
        <v>25.57</v>
      </c>
      <c r="F43" s="294">
        <v>25.57</v>
      </c>
      <c r="G43" s="294">
        <v>25.57</v>
      </c>
      <c r="H43" s="294">
        <v>25.57</v>
      </c>
      <c r="I43" s="294">
        <v>25.57</v>
      </c>
      <c r="J43" s="294">
        <v>25.57</v>
      </c>
      <c r="K43" s="294">
        <v>25.57</v>
      </c>
      <c r="L43" s="294">
        <v>25.57</v>
      </c>
      <c r="M43" s="294">
        <v>25.57</v>
      </c>
      <c r="N43" s="294">
        <v>25.57</v>
      </c>
      <c r="O43" s="294">
        <v>25.57</v>
      </c>
      <c r="P43" s="294">
        <f>5+14</f>
        <v>19</v>
      </c>
      <c r="Q43" s="294">
        <f t="shared" ref="Q43:U43" si="88">5+14</f>
        <v>19</v>
      </c>
      <c r="R43" s="294">
        <f t="shared" si="88"/>
        <v>19</v>
      </c>
      <c r="S43" s="294">
        <f t="shared" si="88"/>
        <v>19</v>
      </c>
      <c r="T43" s="294">
        <f t="shared" si="88"/>
        <v>19</v>
      </c>
      <c r="U43" s="294">
        <f t="shared" si="88"/>
        <v>19</v>
      </c>
      <c r="V43" s="649">
        <v>22.03</v>
      </c>
      <c r="W43" s="649">
        <v>22.03</v>
      </c>
      <c r="X43" s="649">
        <v>22.03</v>
      </c>
      <c r="Y43" s="649">
        <v>22.03</v>
      </c>
      <c r="Z43" s="649">
        <v>22.03</v>
      </c>
      <c r="AA43" s="649">
        <v>22.03</v>
      </c>
      <c r="AB43" s="649">
        <v>37.6</v>
      </c>
      <c r="AC43" s="649">
        <v>37.6</v>
      </c>
      <c r="AD43" s="649">
        <v>37.6</v>
      </c>
      <c r="AE43" s="649">
        <v>37.6</v>
      </c>
      <c r="AF43" s="649">
        <v>37.6</v>
      </c>
      <c r="AG43" s="649">
        <v>37.6</v>
      </c>
      <c r="AH43" s="649">
        <v>37.6</v>
      </c>
      <c r="AI43" s="649">
        <v>37.6</v>
      </c>
      <c r="AJ43" s="649">
        <v>37.6</v>
      </c>
      <c r="AK43" s="649">
        <v>37.6</v>
      </c>
      <c r="AL43" s="649">
        <v>37.6</v>
      </c>
      <c r="AM43" s="649">
        <v>37.6</v>
      </c>
    </row>
    <row r="44" spans="1:40">
      <c r="A44" s="294" t="s">
        <v>108</v>
      </c>
      <c r="D44" s="294">
        <v>41.7</v>
      </c>
      <c r="E44" s="294">
        <v>41.7</v>
      </c>
      <c r="F44" s="294">
        <v>41.7</v>
      </c>
      <c r="G44" s="294">
        <v>41.7</v>
      </c>
      <c r="H44" s="294">
        <v>41.7</v>
      </c>
      <c r="I44" s="294">
        <v>41.7</v>
      </c>
      <c r="J44" s="294">
        <v>41.7</v>
      </c>
      <c r="K44" s="294">
        <v>41.7</v>
      </c>
      <c r="L44" s="294">
        <v>41.7</v>
      </c>
      <c r="M44" s="294">
        <v>41.7</v>
      </c>
      <c r="N44" s="294">
        <v>41.7</v>
      </c>
      <c r="O44" s="294">
        <v>41.7</v>
      </c>
      <c r="P44" s="294">
        <f>19+17</f>
        <v>36</v>
      </c>
      <c r="Q44" s="294">
        <f t="shared" ref="Q44:U44" si="89">19+17</f>
        <v>36</v>
      </c>
      <c r="R44" s="294">
        <f t="shared" si="89"/>
        <v>36</v>
      </c>
      <c r="S44" s="294">
        <f t="shared" si="89"/>
        <v>36</v>
      </c>
      <c r="T44" s="294">
        <f t="shared" si="89"/>
        <v>36</v>
      </c>
      <c r="U44" s="294">
        <f t="shared" si="89"/>
        <v>36</v>
      </c>
      <c r="V44" s="649">
        <v>39.03</v>
      </c>
      <c r="W44" s="649">
        <v>39.03</v>
      </c>
      <c r="X44" s="649">
        <v>39.03</v>
      </c>
      <c r="Y44" s="720">
        <v>39.03</v>
      </c>
      <c r="Z44" s="720">
        <v>39.03</v>
      </c>
      <c r="AA44" s="720">
        <v>39.03</v>
      </c>
      <c r="AB44" s="719">
        <v>54.6</v>
      </c>
      <c r="AC44" s="719">
        <v>54.6</v>
      </c>
      <c r="AD44" s="719">
        <v>54.6</v>
      </c>
      <c r="AE44" s="719">
        <v>54.6</v>
      </c>
      <c r="AF44" s="719">
        <v>54.6</v>
      </c>
      <c r="AG44" s="719">
        <v>54.6</v>
      </c>
      <c r="AH44" s="719">
        <v>54.6</v>
      </c>
      <c r="AI44" s="719">
        <v>54.6</v>
      </c>
      <c r="AJ44" s="719">
        <v>54.6</v>
      </c>
      <c r="AK44" s="719">
        <v>54.6</v>
      </c>
      <c r="AL44" s="719">
        <v>54.6</v>
      </c>
      <c r="AM44" s="719">
        <v>54.6</v>
      </c>
    </row>
    <row r="47" spans="1:40">
      <c r="A47" s="300" t="s">
        <v>232</v>
      </c>
      <c r="V47" s="645">
        <v>66</v>
      </c>
      <c r="W47" s="645">
        <v>44</v>
      </c>
      <c r="X47" s="645">
        <v>46</v>
      </c>
      <c r="Y47" s="645">
        <v>44</v>
      </c>
      <c r="Z47" s="646">
        <v>44</v>
      </c>
      <c r="AA47" s="646">
        <f>44+22</f>
        <v>66</v>
      </c>
      <c r="AB47" s="645">
        <f>44+44</f>
        <v>88</v>
      </c>
      <c r="AC47" s="645">
        <f>44*2</f>
        <v>88</v>
      </c>
      <c r="AD47" s="645">
        <v>88</v>
      </c>
      <c r="AE47" s="645">
        <f>44*2</f>
        <v>88</v>
      </c>
      <c r="AF47" s="645">
        <f>44*3</f>
        <v>132</v>
      </c>
      <c r="AG47" s="645">
        <f>44*3</f>
        <v>132</v>
      </c>
      <c r="AH47" s="645">
        <f>44*4</f>
        <v>176</v>
      </c>
      <c r="AI47" s="645">
        <f>44*4</f>
        <v>176</v>
      </c>
      <c r="AJ47" s="645">
        <f>44*3</f>
        <v>132</v>
      </c>
      <c r="AK47" s="645">
        <f>44*3</f>
        <v>132</v>
      </c>
      <c r="AL47" s="645">
        <f>44*4</f>
        <v>176</v>
      </c>
      <c r="AM47" s="645">
        <f t="shared" ref="AM47" si="90">44*3</f>
        <v>132</v>
      </c>
    </row>
    <row r="48" spans="1:40">
      <c r="A48" s="294" t="s">
        <v>236</v>
      </c>
      <c r="Z48" s="703" t="s">
        <v>230</v>
      </c>
      <c r="AA48" s="721" t="s">
        <v>230</v>
      </c>
      <c r="AB48" s="703" t="s">
        <v>237</v>
      </c>
    </row>
    <row r="49" spans="1:39">
      <c r="A49" s="294" t="s">
        <v>200</v>
      </c>
      <c r="X49" s="711">
        <f>'C3LPG'!AG98</f>
        <v>0</v>
      </c>
      <c r="Y49" s="711">
        <f>'C3LPG'!AH98</f>
        <v>0</v>
      </c>
      <c r="Z49" s="711">
        <f>'C3LPG'!AI98</f>
        <v>0</v>
      </c>
      <c r="AA49" s="711">
        <f>'C3LPG'!AJ98</f>
        <v>0</v>
      </c>
      <c r="AB49" s="711">
        <f>'C3LPG'!AK98</f>
        <v>7</v>
      </c>
      <c r="AC49" s="711">
        <f>'C3LPG'!AL98</f>
        <v>13.5</v>
      </c>
      <c r="AD49" s="711">
        <f>'C3LPG'!AM98</f>
        <v>14</v>
      </c>
      <c r="AE49" s="711">
        <f>'C3LPG'!AN98</f>
        <v>0</v>
      </c>
      <c r="AF49" s="711">
        <f>'C3LPG'!AO98</f>
        <v>0</v>
      </c>
      <c r="AG49" s="711">
        <f>'C3LPG'!AP98</f>
        <v>0</v>
      </c>
      <c r="AH49" s="711">
        <f>'C3LPG'!AQ98</f>
        <v>0</v>
      </c>
      <c r="AI49" s="711">
        <f>'C3LPG'!AR98</f>
        <v>0</v>
      </c>
      <c r="AJ49" s="711">
        <f>'C3LPG'!AS98</f>
        <v>0</v>
      </c>
      <c r="AK49" s="711">
        <f>'C3LPG'!AT98</f>
        <v>0</v>
      </c>
      <c r="AL49" s="711">
        <f>'C3LPG'!AU98</f>
        <v>0</v>
      </c>
      <c r="AM49" s="711">
        <f>'C3LPG'!AV98</f>
        <v>0</v>
      </c>
    </row>
    <row r="50" spans="1:39">
      <c r="A50" s="294" t="s">
        <v>234</v>
      </c>
      <c r="X50" s="711"/>
      <c r="Y50" s="711">
        <f>'C3LPG'!AH99</f>
        <v>0</v>
      </c>
      <c r="Z50" s="711">
        <f>'C3LPG'!AI99</f>
        <v>0</v>
      </c>
      <c r="AA50" s="711">
        <f>'C3LPG'!AJ99</f>
        <v>0</v>
      </c>
      <c r="AB50" s="711">
        <f>'C3LPG'!AK99</f>
        <v>0</v>
      </c>
      <c r="AC50" s="711">
        <f>'C3LPG'!AL99</f>
        <v>0</v>
      </c>
      <c r="AD50" s="711">
        <f>'C3LPG'!AM99</f>
        <v>0</v>
      </c>
      <c r="AE50" s="711">
        <f>'C3LPG'!AN99</f>
        <v>0</v>
      </c>
      <c r="AF50" s="711">
        <f>'C3LPG'!AO99</f>
        <v>14</v>
      </c>
      <c r="AG50" s="711">
        <f>'C3LPG'!AP99</f>
        <v>13.045999999999999</v>
      </c>
      <c r="AH50" s="711">
        <f>'C3LPG'!AQ99</f>
        <v>13.481</v>
      </c>
      <c r="AI50" s="711">
        <f>'C3LPG'!AR99</f>
        <v>3.4809999999999999</v>
      </c>
      <c r="AJ50" s="711">
        <f>'C3LPG'!AS99</f>
        <v>13.045999999999999</v>
      </c>
      <c r="AK50" s="711">
        <f>'C3LPG'!AT99</f>
        <v>10.8</v>
      </c>
      <c r="AL50" s="711">
        <f>'C3LPG'!AU99</f>
        <v>10.8</v>
      </c>
      <c r="AM50" s="711">
        <f>'C3LPG'!AV99</f>
        <v>10.8</v>
      </c>
    </row>
    <row r="51" spans="1:39">
      <c r="A51" s="294" t="s">
        <v>235</v>
      </c>
      <c r="X51" s="711"/>
      <c r="Y51" s="711">
        <f>'C3LPG'!AH100</f>
        <v>0</v>
      </c>
      <c r="Z51" s="711">
        <f>'C3LPG'!AI100</f>
        <v>0</v>
      </c>
      <c r="AA51" s="711">
        <f>'C3LPG'!AJ100</f>
        <v>0</v>
      </c>
      <c r="AB51" s="711">
        <f>'C3LPG'!AK100</f>
        <v>0</v>
      </c>
      <c r="AC51" s="711">
        <f>'C3LPG'!AL100</f>
        <v>0</v>
      </c>
      <c r="AD51" s="711">
        <f>'C3LPG'!AM100</f>
        <v>0</v>
      </c>
      <c r="AE51" s="711">
        <f>'C3LPG'!AN100</f>
        <v>0</v>
      </c>
      <c r="AF51" s="711">
        <f>'C3LPG'!AO100</f>
        <v>0</v>
      </c>
      <c r="AG51" s="711">
        <f>'C3LPG'!AP100</f>
        <v>34.861799729561781</v>
      </c>
      <c r="AH51" s="711">
        <f>'C3LPG'!AQ100</f>
        <v>47.748060573613706</v>
      </c>
      <c r="AI51" s="711">
        <f>'C3LPG'!AR100</f>
        <v>47.748059323430049</v>
      </c>
      <c r="AJ51" s="711">
        <f>'C3LPG'!AS100</f>
        <v>19.89204045832156</v>
      </c>
      <c r="AK51" s="711">
        <f>'C3LPG'!AT100</f>
        <v>43.545179998576657</v>
      </c>
      <c r="AL51" s="711">
        <f>'C3LPG'!AU100</f>
        <v>42.982199800729759</v>
      </c>
      <c r="AM51" s="711">
        <f>'C3LPG'!AV100</f>
        <v>17.454420186460034</v>
      </c>
    </row>
    <row r="53" spans="1:39">
      <c r="A53" s="286" t="s">
        <v>106</v>
      </c>
    </row>
    <row r="54" spans="1:39">
      <c r="A54" s="286" t="s">
        <v>109</v>
      </c>
    </row>
    <row r="55" spans="1:39">
      <c r="A55" s="286" t="s">
        <v>110</v>
      </c>
    </row>
    <row r="56" spans="1:39">
      <c r="A56" s="286" t="s">
        <v>111</v>
      </c>
    </row>
    <row r="57" spans="1:39">
      <c r="A57" s="286" t="s">
        <v>112</v>
      </c>
    </row>
    <row r="58" spans="1:39">
      <c r="A58" s="286" t="s">
        <v>113</v>
      </c>
    </row>
  </sheetData>
  <mergeCells count="2">
    <mergeCell ref="AP25:AP26"/>
    <mergeCell ref="AQ25:AQ26"/>
  </mergeCells>
  <conditionalFormatting sqref="V33">
    <cfRule type="cellIs" dxfId="16" priority="18" operator="equal">
      <formula>$V$47</formula>
    </cfRule>
  </conditionalFormatting>
  <conditionalFormatting sqref="W33">
    <cfRule type="cellIs" dxfId="15" priority="17" operator="equal">
      <formula>$W$47</formula>
    </cfRule>
  </conditionalFormatting>
  <conditionalFormatting sqref="X33">
    <cfRule type="cellIs" dxfId="14" priority="16" operator="equal">
      <formula>$X$47</formula>
    </cfRule>
  </conditionalFormatting>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rgb="FFFFC000"/>
  </sheetPr>
  <dimension ref="A1:BQ294"/>
  <sheetViews>
    <sheetView tabSelected="1" zoomScale="55" zoomScaleNormal="55" workbookViewId="0">
      <pane xSplit="4" ySplit="19" topLeftCell="AE107" activePane="bottomRight" state="frozen"/>
      <selection pane="topRight" activeCell="E1" sqref="E1"/>
      <selection pane="bottomLeft" activeCell="A20" sqref="A20"/>
      <selection pane="bottomRight" activeCell="AN100" sqref="AN100"/>
    </sheetView>
  </sheetViews>
  <sheetFormatPr defaultRowHeight="14.5" outlineLevelRow="1"/>
  <cols>
    <col min="1" max="1" width="22.08984375" style="1" customWidth="1"/>
    <col min="2" max="2" width="16.90625" style="2" customWidth="1"/>
    <col min="3" max="3" width="26.6328125" customWidth="1"/>
    <col min="4" max="4" width="22.54296875" customWidth="1"/>
    <col min="5" max="17" width="10.08984375" bestFit="1" customWidth="1"/>
    <col min="18" max="18" width="9.90625" customWidth="1"/>
    <col min="19" max="24" width="10.08984375" bestFit="1" customWidth="1"/>
    <col min="25" max="26" width="10" bestFit="1" customWidth="1"/>
    <col min="27" max="27" width="10" customWidth="1"/>
    <col min="28" max="29" width="10.08984375" customWidth="1"/>
    <col min="30" max="31" width="10.08984375" bestFit="1" customWidth="1"/>
    <col min="32" max="32" width="11" bestFit="1" customWidth="1"/>
    <col min="33" max="33" width="10.6328125" bestFit="1" customWidth="1"/>
    <col min="34" max="36" width="10.08984375" bestFit="1" customWidth="1"/>
    <col min="37" max="37" width="10.1796875" bestFit="1" customWidth="1"/>
    <col min="38" max="45" width="10.08984375" bestFit="1" customWidth="1"/>
    <col min="46" max="48" width="10.36328125" customWidth="1"/>
    <col min="49" max="49" width="3.54296875" customWidth="1"/>
    <col min="50" max="50" width="11.08984375" bestFit="1" customWidth="1"/>
    <col min="51" max="51" width="8.90625" customWidth="1"/>
    <col min="52" max="52" width="9.453125" customWidth="1"/>
    <col min="53" max="53" width="6.81640625" customWidth="1"/>
    <col min="56" max="56" width="9.1796875" bestFit="1" customWidth="1"/>
  </cols>
  <sheetData>
    <row r="1" spans="1:69" s="31" customFormat="1" ht="15.5" customHeight="1">
      <c r="A1" s="6"/>
      <c r="B1" s="30"/>
      <c r="C1" s="50"/>
      <c r="D1" s="534" t="s">
        <v>135</v>
      </c>
      <c r="R1" s="31">
        <v>30</v>
      </c>
      <c r="S1" s="31">
        <v>31</v>
      </c>
      <c r="T1" s="31">
        <v>31</v>
      </c>
      <c r="U1" s="31">
        <v>30</v>
      </c>
      <c r="V1" s="31">
        <v>31</v>
      </c>
      <c r="W1" s="31">
        <v>30</v>
      </c>
      <c r="X1" s="31">
        <v>31</v>
      </c>
      <c r="Y1" s="31">
        <v>31</v>
      </c>
      <c r="Z1" s="533">
        <v>28</v>
      </c>
      <c r="AA1" s="533">
        <v>31</v>
      </c>
      <c r="AB1" s="533">
        <v>30</v>
      </c>
      <c r="AC1" s="533">
        <v>31</v>
      </c>
      <c r="AD1" s="533">
        <v>30</v>
      </c>
      <c r="AE1" s="533">
        <v>31</v>
      </c>
      <c r="AF1" s="533">
        <v>31</v>
      </c>
      <c r="AG1" s="533">
        <v>30</v>
      </c>
      <c r="AH1" s="533">
        <v>31</v>
      </c>
      <c r="AI1" s="533">
        <v>30</v>
      </c>
      <c r="AJ1" s="533">
        <v>31</v>
      </c>
      <c r="AK1" s="533">
        <v>31</v>
      </c>
      <c r="AL1" s="533">
        <v>28</v>
      </c>
      <c r="AM1" s="533">
        <v>31</v>
      </c>
      <c r="AN1" s="533">
        <v>30</v>
      </c>
      <c r="AO1" s="533">
        <v>31</v>
      </c>
      <c r="AP1" s="533">
        <v>30</v>
      </c>
      <c r="AQ1" s="533">
        <v>31</v>
      </c>
      <c r="AR1" s="533">
        <v>31</v>
      </c>
      <c r="AS1" s="533">
        <v>30</v>
      </c>
      <c r="AT1" s="533">
        <v>31</v>
      </c>
      <c r="AU1" s="533">
        <v>30</v>
      </c>
      <c r="AV1" s="533">
        <v>31</v>
      </c>
    </row>
    <row r="2" spans="1:69" ht="14.75" customHeight="1" thickBot="1">
      <c r="A2" s="39" t="s">
        <v>124</v>
      </c>
      <c r="B2" s="30"/>
      <c r="C2" s="31"/>
      <c r="D2" s="50"/>
      <c r="E2" s="31"/>
      <c r="F2" s="31"/>
      <c r="G2" s="217">
        <v>43678</v>
      </c>
      <c r="H2" s="217">
        <v>43698</v>
      </c>
      <c r="I2" s="31"/>
      <c r="J2" s="31"/>
      <c r="K2" s="31"/>
      <c r="L2" s="272">
        <f>L6/1000</f>
        <v>31.888097230590823</v>
      </c>
      <c r="M2" s="272">
        <f>M6/1000</f>
        <v>16.827883907470703</v>
      </c>
      <c r="N2" s="272">
        <f t="shared" ref="N2:Y2" si="0">N6/1000</f>
        <v>36.020527630224606</v>
      </c>
      <c r="O2" s="272">
        <f t="shared" si="0"/>
        <v>33.684161457519529</v>
      </c>
      <c r="P2" s="272">
        <f t="shared" si="0"/>
        <v>18.635842199999999</v>
      </c>
      <c r="Q2" s="272">
        <f t="shared" si="0"/>
        <v>29.542833899999998</v>
      </c>
      <c r="R2" s="272">
        <f t="shared" si="0"/>
        <v>14.458839999999999</v>
      </c>
      <c r="S2" s="272">
        <f t="shared" si="0"/>
        <v>18.007720000000003</v>
      </c>
      <c r="T2" s="272">
        <f t="shared" si="0"/>
        <v>15.124660000000002</v>
      </c>
      <c r="U2" s="272">
        <f t="shared" si="0"/>
        <v>26.696860000000001</v>
      </c>
      <c r="V2" s="272">
        <f t="shared" si="0"/>
        <v>14.437240000000001</v>
      </c>
      <c r="W2" s="272">
        <f t="shared" si="0"/>
        <v>22.420850699999999</v>
      </c>
      <c r="X2" s="272">
        <f t="shared" si="0"/>
        <v>18.055042360000002</v>
      </c>
      <c r="Y2" s="272">
        <f t="shared" si="0"/>
        <v>24.4024</v>
      </c>
      <c r="Z2" s="272">
        <f t="shared" ref="Z2:AE2" si="1">Z6/1000</f>
        <v>28.877920000000003</v>
      </c>
      <c r="AA2" s="272">
        <f t="shared" si="1"/>
        <v>23.042922528000002</v>
      </c>
      <c r="AB2" s="272">
        <f t="shared" si="1"/>
        <v>33.906688200000005</v>
      </c>
      <c r="AC2" s="272">
        <f t="shared" si="1"/>
        <v>33.714913788000004</v>
      </c>
      <c r="AD2" s="272">
        <f>AD6/1000</f>
        <v>20.090257854000004</v>
      </c>
      <c r="AE2" s="272">
        <f t="shared" si="1"/>
        <v>18.548406900000003</v>
      </c>
      <c r="AF2" s="272">
        <f t="shared" ref="AF2:AK2" si="2">AF6/1000</f>
        <v>27.909638357999999</v>
      </c>
      <c r="AG2" s="272">
        <f t="shared" si="2"/>
        <v>13.881282000000002</v>
      </c>
      <c r="AH2" s="272">
        <f>AH6/1000</f>
        <v>13.449996600000002</v>
      </c>
      <c r="AI2" s="272">
        <f t="shared" si="2"/>
        <v>17.451211600000001</v>
      </c>
      <c r="AJ2" s="272">
        <f t="shared" si="2"/>
        <v>25.887097290000007</v>
      </c>
      <c r="AK2" s="272">
        <f t="shared" si="2"/>
        <v>23.690831716227198</v>
      </c>
      <c r="AL2" s="272">
        <f t="shared" ref="AL2:AM2" si="3">AL6/1000</f>
        <v>22.423405807138003</v>
      </c>
      <c r="AM2" s="272">
        <f t="shared" si="3"/>
        <v>22.233604438172467</v>
      </c>
      <c r="AN2" s="272">
        <f t="shared" ref="AN2" si="4">AN6/1000</f>
        <v>24.321920978517269</v>
      </c>
      <c r="AO2" s="272">
        <f>AO6/1000</f>
        <v>24.449549952032029</v>
      </c>
      <c r="AP2" s="272">
        <f t="shared" ref="AP2:AQ2" si="5">AP6/1000</f>
        <v>22.050343344210212</v>
      </c>
      <c r="AQ2" s="272">
        <f t="shared" si="5"/>
        <v>22.468919952035897</v>
      </c>
      <c r="AR2" s="272">
        <f t="shared" ref="AR2:AS2" si="6">AR6/1000</f>
        <v>24.783427142814197</v>
      </c>
      <c r="AS2" s="272">
        <f t="shared" si="6"/>
        <v>22.427834914438741</v>
      </c>
      <c r="AT2" s="272">
        <f t="shared" ref="AT2:AU2" si="7">AT6/1000</f>
        <v>22.827795418128467</v>
      </c>
      <c r="AU2" s="272">
        <f t="shared" si="7"/>
        <v>24.196399507774935</v>
      </c>
      <c r="AV2" s="272">
        <f t="shared" ref="AV2" si="8">AV6/1000</f>
        <v>24.500951904151371</v>
      </c>
      <c r="AW2" s="31"/>
      <c r="AX2" s="31"/>
      <c r="AY2" s="31"/>
      <c r="AZ2" s="31"/>
      <c r="BA2" s="31"/>
    </row>
    <row r="3" spans="1:69" s="75" customFormat="1" ht="15" thickBot="1">
      <c r="A3" s="799" t="s">
        <v>32</v>
      </c>
      <c r="B3" s="800"/>
      <c r="C3" s="369"/>
      <c r="D3" s="372"/>
      <c r="E3" s="78">
        <v>43587</v>
      </c>
      <c r="F3" s="78">
        <v>43618</v>
      </c>
      <c r="G3" s="78">
        <v>43648</v>
      </c>
      <c r="H3" s="78">
        <v>43679</v>
      </c>
      <c r="I3" s="229">
        <v>43710</v>
      </c>
      <c r="J3" s="229">
        <v>43740</v>
      </c>
      <c r="K3" s="78">
        <v>43771</v>
      </c>
      <c r="L3" s="258">
        <v>43801</v>
      </c>
      <c r="M3" s="229">
        <v>43832</v>
      </c>
      <c r="N3" s="229">
        <v>43863</v>
      </c>
      <c r="O3" s="78">
        <v>43892</v>
      </c>
      <c r="P3" s="78">
        <v>43923</v>
      </c>
      <c r="Q3" s="78">
        <v>43953</v>
      </c>
      <c r="R3" s="229">
        <v>43984</v>
      </c>
      <c r="S3" s="229">
        <v>44014</v>
      </c>
      <c r="T3" s="229">
        <v>44045</v>
      </c>
      <c r="U3" s="229">
        <v>44076</v>
      </c>
      <c r="V3" s="229">
        <v>44106</v>
      </c>
      <c r="W3" s="229">
        <v>44137</v>
      </c>
      <c r="X3" s="229">
        <v>44167</v>
      </c>
      <c r="Y3" s="229">
        <v>44198</v>
      </c>
      <c r="Z3" s="229">
        <v>44229</v>
      </c>
      <c r="AA3" s="704">
        <v>44257</v>
      </c>
      <c r="AB3" s="704">
        <v>44288</v>
      </c>
      <c r="AC3" s="704">
        <v>44318</v>
      </c>
      <c r="AD3" s="704">
        <v>44349</v>
      </c>
      <c r="AE3" s="704">
        <v>44379</v>
      </c>
      <c r="AF3" s="704">
        <v>44410</v>
      </c>
      <c r="AG3" s="704">
        <v>44441</v>
      </c>
      <c r="AH3" s="229">
        <v>44471</v>
      </c>
      <c r="AI3" s="229">
        <v>44502</v>
      </c>
      <c r="AJ3" s="229">
        <v>44532</v>
      </c>
      <c r="AK3" s="229">
        <v>44563</v>
      </c>
      <c r="AL3" s="229">
        <v>44594</v>
      </c>
      <c r="AM3" s="229">
        <v>44622</v>
      </c>
      <c r="AN3" s="229">
        <v>44653</v>
      </c>
      <c r="AO3" s="229">
        <v>44683</v>
      </c>
      <c r="AP3" s="229">
        <v>44714</v>
      </c>
      <c r="AQ3" s="229">
        <v>44744</v>
      </c>
      <c r="AR3" s="229">
        <v>44775</v>
      </c>
      <c r="AS3" s="229">
        <v>44806</v>
      </c>
      <c r="AT3" s="229">
        <v>44836</v>
      </c>
      <c r="AU3" s="229">
        <v>44867</v>
      </c>
      <c r="AV3" s="229">
        <v>44897</v>
      </c>
      <c r="AW3" s="76"/>
      <c r="AX3" s="623"/>
      <c r="AY3" s="74"/>
      <c r="AZ3" s="74"/>
      <c r="BA3" s="74"/>
    </row>
    <row r="4" spans="1:69">
      <c r="A4" s="21" t="s">
        <v>3</v>
      </c>
      <c r="B4" s="370"/>
      <c r="C4" s="46"/>
      <c r="D4" s="374"/>
      <c r="E4" s="92"/>
      <c r="F4" s="89"/>
      <c r="G4" s="89"/>
      <c r="H4" s="89"/>
      <c r="I4" s="89"/>
      <c r="J4" s="89"/>
      <c r="K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c r="AP4" s="89"/>
      <c r="AQ4" s="89"/>
      <c r="AR4" s="89"/>
      <c r="AS4" s="89"/>
      <c r="AT4" s="89"/>
      <c r="AU4" s="89"/>
      <c r="AV4" s="89"/>
      <c r="AW4" s="38"/>
      <c r="AX4" s="623"/>
      <c r="AY4" s="31"/>
      <c r="AZ4" s="31"/>
      <c r="BA4" s="31"/>
      <c r="BE4" s="210">
        <v>0.25403924107025933</v>
      </c>
      <c r="BF4" s="244">
        <v>0.33483128996932265</v>
      </c>
      <c r="BG4" s="244">
        <v>0.44030814595945017</v>
      </c>
      <c r="BH4" s="244">
        <v>0.52359343951186588</v>
      </c>
      <c r="BI4" s="244">
        <v>0.46103669107740353</v>
      </c>
      <c r="BJ4" s="244">
        <v>0.39779918773241624</v>
      </c>
      <c r="BK4" s="244">
        <v>0.66942577304125628</v>
      </c>
      <c r="BL4" s="244"/>
      <c r="BM4" s="244"/>
      <c r="BN4" s="244"/>
      <c r="BO4" s="244"/>
      <c r="BP4" s="244"/>
      <c r="BQ4" s="244"/>
    </row>
    <row r="5" spans="1:69">
      <c r="A5" s="86" t="s">
        <v>191</v>
      </c>
      <c r="B5" s="366"/>
      <c r="C5" s="38"/>
      <c r="D5" s="375" t="s">
        <v>44</v>
      </c>
      <c r="E5" s="82">
        <v>49624.800000000003</v>
      </c>
      <c r="F5" s="82">
        <v>49624.800000000003</v>
      </c>
      <c r="G5" s="82">
        <v>49624.800000000003</v>
      </c>
      <c r="H5" s="83">
        <v>46018</v>
      </c>
      <c r="I5" s="82">
        <v>49624.800000000003</v>
      </c>
      <c r="J5" s="83">
        <v>45790.8</v>
      </c>
      <c r="K5" s="82">
        <v>45791</v>
      </c>
      <c r="L5" s="82">
        <v>49624.800000000003</v>
      </c>
      <c r="M5" s="82">
        <v>49624.800000000003</v>
      </c>
      <c r="N5" s="82">
        <v>49624.800000000003</v>
      </c>
      <c r="O5" s="82">
        <v>49624.800000000003</v>
      </c>
      <c r="P5" s="82">
        <v>49624.800000000003</v>
      </c>
      <c r="Q5" s="83">
        <v>45790.8</v>
      </c>
      <c r="R5" s="83">
        <v>45790.8</v>
      </c>
      <c r="S5" s="83">
        <v>45790.8</v>
      </c>
      <c r="T5" s="83">
        <v>45790.8</v>
      </c>
      <c r="U5" s="83">
        <v>45790.8</v>
      </c>
      <c r="V5" s="268">
        <v>46018</v>
      </c>
      <c r="W5" s="83">
        <v>46018</v>
      </c>
      <c r="X5" s="359">
        <v>49624.800000000003</v>
      </c>
      <c r="Y5" s="359">
        <v>49624.80000000001</v>
      </c>
      <c r="Z5" s="268">
        <v>45790.8</v>
      </c>
      <c r="AA5" s="268">
        <v>43641.600000000006</v>
      </c>
      <c r="AB5" s="359">
        <v>47475.62</v>
      </c>
      <c r="AC5" s="268">
        <v>47475.62</v>
      </c>
      <c r="AD5" s="268">
        <v>43641.599999999999</v>
      </c>
      <c r="AE5" s="268">
        <v>43641.600000000006</v>
      </c>
      <c r="AF5" s="268">
        <v>43641.600000000006</v>
      </c>
      <c r="AG5" s="359">
        <v>47475.600000000006</v>
      </c>
      <c r="AH5" s="268">
        <v>43641.600000000006</v>
      </c>
      <c r="AI5" s="268">
        <v>43641.600000000006</v>
      </c>
      <c r="AJ5" s="359">
        <v>47475.600000000006</v>
      </c>
      <c r="AK5" s="359">
        <v>47475.62</v>
      </c>
      <c r="AL5" s="268">
        <v>43641.600000000006</v>
      </c>
      <c r="AM5" s="268">
        <v>43641.600000000006</v>
      </c>
      <c r="AN5" s="359">
        <v>47475.62</v>
      </c>
      <c r="AO5" s="359">
        <v>47475.62</v>
      </c>
      <c r="AP5" s="268">
        <v>43641.600000000006</v>
      </c>
      <c r="AQ5" s="268">
        <v>43641.600000000006</v>
      </c>
      <c r="AR5" s="359">
        <v>47475.600000000006</v>
      </c>
      <c r="AS5" s="268">
        <v>43641.600000000006</v>
      </c>
      <c r="AT5" s="268">
        <v>43641.600000000006</v>
      </c>
      <c r="AU5" s="359">
        <v>47475.600000000006</v>
      </c>
      <c r="AV5" s="359">
        <v>47475.600000000006</v>
      </c>
      <c r="AW5" s="38"/>
      <c r="AX5" s="623"/>
      <c r="AY5" s="623"/>
      <c r="AZ5" s="31"/>
      <c r="BA5" s="31"/>
      <c r="BE5" s="210">
        <v>0.39594825138632178</v>
      </c>
      <c r="BF5" s="244">
        <v>0.44985506108216866</v>
      </c>
      <c r="BG5" s="244">
        <v>0.54112680515879441</v>
      </c>
      <c r="BH5" s="244">
        <v>0.54734175247857253</v>
      </c>
      <c r="BI5" s="244">
        <v>0.79395000579712582</v>
      </c>
      <c r="BJ5" s="244">
        <v>0.5347436121558915</v>
      </c>
      <c r="BK5" s="244">
        <v>0.5117306731540433</v>
      </c>
      <c r="BL5" s="244"/>
      <c r="BM5" s="244"/>
      <c r="BN5" s="244"/>
      <c r="BO5" s="244"/>
      <c r="BP5" s="244"/>
      <c r="BQ5" s="244"/>
    </row>
    <row r="6" spans="1:69">
      <c r="A6" s="87" t="s">
        <v>127</v>
      </c>
      <c r="B6" s="366"/>
      <c r="C6" s="38"/>
      <c r="D6" s="375" t="s">
        <v>44</v>
      </c>
      <c r="E6" s="90">
        <v>11096.775659790039</v>
      </c>
      <c r="F6" s="90">
        <v>22008.60853326934</v>
      </c>
      <c r="G6" s="90">
        <v>16060</v>
      </c>
      <c r="H6" s="90">
        <v>18030.939999999999</v>
      </c>
      <c r="I6" s="90">
        <v>10997.417582917811</v>
      </c>
      <c r="J6" s="90">
        <v>27311.326601295474</v>
      </c>
      <c r="K6" s="90">
        <v>26097.899326025392</v>
      </c>
      <c r="L6" s="90">
        <v>31888.097230590822</v>
      </c>
      <c r="M6" s="90">
        <v>16827.883907470703</v>
      </c>
      <c r="N6" s="90">
        <v>36020.527630224606</v>
      </c>
      <c r="O6" s="90">
        <v>33684.161457519527</v>
      </c>
      <c r="P6" s="90">
        <v>18635.842199999999</v>
      </c>
      <c r="Q6" s="90">
        <v>29542.833899999998</v>
      </c>
      <c r="R6" s="90">
        <v>14458.839999999998</v>
      </c>
      <c r="S6" s="90">
        <v>18007.72</v>
      </c>
      <c r="T6" s="90">
        <v>15124.660000000002</v>
      </c>
      <c r="U6" s="90">
        <v>26696.86</v>
      </c>
      <c r="V6" s="90">
        <v>14437.240000000002</v>
      </c>
      <c r="W6" s="90">
        <v>22420.850699999999</v>
      </c>
      <c r="X6" s="90">
        <v>18055.042360000003</v>
      </c>
      <c r="Y6" s="90">
        <v>24402.400000000001</v>
      </c>
      <c r="Z6" s="90">
        <v>28877.920000000002</v>
      </c>
      <c r="AA6" s="90">
        <v>23042.922528000003</v>
      </c>
      <c r="AB6" s="90">
        <v>33906.688200000004</v>
      </c>
      <c r="AC6" s="90">
        <v>33714.913788000005</v>
      </c>
      <c r="AD6" s="90">
        <v>20090.257854000003</v>
      </c>
      <c r="AE6" s="90">
        <v>18548.406900000002</v>
      </c>
      <c r="AF6" s="90">
        <v>27909.638358</v>
      </c>
      <c r="AG6" s="90">
        <v>13881.282000000003</v>
      </c>
      <c r="AH6" s="90">
        <v>13449.996600000002</v>
      </c>
      <c r="AI6" s="90">
        <v>17451.211600000002</v>
      </c>
      <c r="AJ6" s="90">
        <f t="shared" ref="AJ6:AV6" si="9">((AJ59+(AI6/1000)+AJ8+AJ61+AJ10)-AJ107-AJ111-AJ112-AJ113-AJ114-AJ115-AJ116-AJ117-AJ118-AJ119-AJ120-AJ121-AJ122-AJ123-AJ124-AJ125-AJ126-AJ127-AJ128-AJ129-AJ130-AJ131-AJ132-AJ133-AJ134-AJ135-AJ136-AJ137-AJ138-AJ139-AJ140-AJ141-AJ142-AJ143-AJ147-AJ148-AJ149-AJ150-AJ151-AJ152-AJ153-AJ154-AJ155-AJ156-AJ157-AJ158-AJ159-AJ160-AJ161-AJ162-AJ163-AJ9)*1000</f>
        <v>25887.097290000005</v>
      </c>
      <c r="AK6" s="90">
        <f t="shared" si="9"/>
        <v>23690.831716227196</v>
      </c>
      <c r="AL6" s="90">
        <f t="shared" si="9"/>
        <v>22423.405807138002</v>
      </c>
      <c r="AM6" s="90">
        <f t="shared" si="9"/>
        <v>22233.604438172468</v>
      </c>
      <c r="AN6" s="90">
        <f t="shared" si="9"/>
        <v>24321.920978517268</v>
      </c>
      <c r="AO6" s="90">
        <f t="shared" si="9"/>
        <v>24449.54995203203</v>
      </c>
      <c r="AP6" s="90">
        <f t="shared" si="9"/>
        <v>22050.34334421021</v>
      </c>
      <c r="AQ6" s="90">
        <f t="shared" si="9"/>
        <v>22468.919952035896</v>
      </c>
      <c r="AR6" s="90">
        <f t="shared" si="9"/>
        <v>24783.427142814198</v>
      </c>
      <c r="AS6" s="90">
        <f t="shared" si="9"/>
        <v>22427.834914438739</v>
      </c>
      <c r="AT6" s="90">
        <f t="shared" si="9"/>
        <v>22827.795418128466</v>
      </c>
      <c r="AU6" s="90">
        <f t="shared" si="9"/>
        <v>24196.399507774935</v>
      </c>
      <c r="AV6" s="90">
        <f t="shared" si="9"/>
        <v>24500.95190415137</v>
      </c>
      <c r="AW6" s="38"/>
      <c r="AX6" s="623"/>
      <c r="AY6" s="623"/>
      <c r="AZ6" s="31"/>
      <c r="BA6" s="31"/>
      <c r="BE6" s="210">
        <v>0.2101324533610899</v>
      </c>
      <c r="BF6" s="244">
        <v>0.2992428217775443</v>
      </c>
      <c r="BG6" s="244">
        <v>0.40911475339945874</v>
      </c>
      <c r="BH6" s="244">
        <v>0.51624568806495075</v>
      </c>
      <c r="BI6" s="244">
        <v>0.39914928946670375</v>
      </c>
      <c r="BJ6" s="244">
        <v>0.3596143769310105</v>
      </c>
      <c r="BK6" s="244">
        <v>0.71339658513420401</v>
      </c>
      <c r="BL6" s="244"/>
      <c r="BM6" s="244"/>
      <c r="BN6" s="244"/>
      <c r="BO6" s="244"/>
      <c r="BP6" s="244"/>
      <c r="BQ6" s="244"/>
    </row>
    <row r="7" spans="1:69">
      <c r="A7" s="365" t="s">
        <v>131</v>
      </c>
      <c r="B7" s="366"/>
      <c r="C7" s="38"/>
      <c r="D7" s="375" t="s">
        <v>45</v>
      </c>
      <c r="E7" s="99">
        <f>E6/E5</f>
        <v>0.22361350896708981</v>
      </c>
      <c r="F7" s="99">
        <f t="shared" ref="F7:N7" si="10">F6/F5</f>
        <v>0.44350019613720032</v>
      </c>
      <c r="G7" s="99">
        <f t="shared" si="10"/>
        <v>0.32362850832648188</v>
      </c>
      <c r="H7" s="116">
        <f t="shared" si="10"/>
        <v>0.39182363423008387</v>
      </c>
      <c r="I7" s="116">
        <f t="shared" si="10"/>
        <v>0.2216113230263459</v>
      </c>
      <c r="J7" s="116">
        <f t="shared" si="10"/>
        <v>0.59643698300303716</v>
      </c>
      <c r="K7" s="116">
        <f t="shared" si="10"/>
        <v>0.56993512537453628</v>
      </c>
      <c r="L7" s="116">
        <f t="shared" si="10"/>
        <v>0.64258389415354455</v>
      </c>
      <c r="M7" s="116">
        <f t="shared" si="10"/>
        <v>0.33910230182228851</v>
      </c>
      <c r="N7" s="116">
        <f t="shared" si="10"/>
        <v>0.72585738643227993</v>
      </c>
      <c r="O7" s="116">
        <f t="shared" ref="O7:AK7" si="11">O6/O5</f>
        <v>0.67877677003271597</v>
      </c>
      <c r="P7" s="116">
        <f t="shared" si="11"/>
        <v>0.37553485757121435</v>
      </c>
      <c r="Q7" s="116">
        <f t="shared" si="11"/>
        <v>0.64516963887942547</v>
      </c>
      <c r="R7" s="364">
        <f t="shared" si="11"/>
        <v>0.31575862400307481</v>
      </c>
      <c r="S7" s="364">
        <f t="shared" si="11"/>
        <v>0.39326065497872936</v>
      </c>
      <c r="T7" s="364">
        <f t="shared" si="11"/>
        <v>0.3302990993824087</v>
      </c>
      <c r="U7" s="364">
        <f t="shared" si="11"/>
        <v>0.58301798614568867</v>
      </c>
      <c r="V7" s="364">
        <f t="shared" si="11"/>
        <v>0.31373027945586512</v>
      </c>
      <c r="W7" s="364">
        <f t="shared" si="11"/>
        <v>0.48721914685557821</v>
      </c>
      <c r="X7" s="364">
        <f t="shared" si="11"/>
        <v>0.36383103528880723</v>
      </c>
      <c r="Y7" s="364">
        <f t="shared" si="11"/>
        <v>0.49173800196675849</v>
      </c>
      <c r="Z7" s="364">
        <f t="shared" si="11"/>
        <v>0.63064895131773191</v>
      </c>
      <c r="AA7" s="364">
        <f t="shared" si="11"/>
        <v>0.52800361416630004</v>
      </c>
      <c r="AB7" s="364">
        <f t="shared" si="11"/>
        <v>0.71419158296405616</v>
      </c>
      <c r="AC7" s="364">
        <f t="shared" si="11"/>
        <v>0.7101521536316957</v>
      </c>
      <c r="AD7" s="364">
        <f t="shared" si="11"/>
        <v>0.46034650090739121</v>
      </c>
      <c r="AE7" s="364">
        <f t="shared" si="11"/>
        <v>0.42501665612626482</v>
      </c>
      <c r="AF7" s="364">
        <f>AF6/AF5</f>
        <v>0.63951913674109095</v>
      </c>
      <c r="AG7" s="364">
        <f t="shared" si="11"/>
        <v>0.29238771073983272</v>
      </c>
      <c r="AH7" s="364">
        <f t="shared" si="11"/>
        <v>0.30819210569731631</v>
      </c>
      <c r="AI7" s="364">
        <f t="shared" si="11"/>
        <v>0.39987561409297551</v>
      </c>
      <c r="AJ7" s="364">
        <f t="shared" si="11"/>
        <v>0.54527161931602763</v>
      </c>
      <c r="AK7" s="766">
        <f t="shared" si="11"/>
        <v>0.49901047561310824</v>
      </c>
      <c r="AL7" s="364">
        <f t="shared" ref="AL7:AT7" si="12">AL6/AL5</f>
        <v>0.51380805944644559</v>
      </c>
      <c r="AM7" s="364">
        <f t="shared" si="12"/>
        <v>0.50945896663212309</v>
      </c>
      <c r="AN7" s="364">
        <f t="shared" si="12"/>
        <v>0.51230338810777543</v>
      </c>
      <c r="AO7" s="364">
        <f t="shared" si="12"/>
        <v>0.5149916936741854</v>
      </c>
      <c r="AP7" s="364">
        <f t="shared" si="12"/>
        <v>0.50525973713636085</v>
      </c>
      <c r="AQ7" s="364">
        <f t="shared" si="12"/>
        <v>0.51485096678480835</v>
      </c>
      <c r="AR7" s="364">
        <f t="shared" si="12"/>
        <v>0.52202451665306382</v>
      </c>
      <c r="AS7" s="364">
        <f t="shared" si="12"/>
        <v>0.51390954764350383</v>
      </c>
      <c r="AT7" s="364">
        <f t="shared" si="12"/>
        <v>0.52307420942697935</v>
      </c>
      <c r="AU7" s="364">
        <f t="shared" ref="AU7:AV7" si="13">AU6/AU5</f>
        <v>0.50965968850893795</v>
      </c>
      <c r="AV7" s="364">
        <f t="shared" si="13"/>
        <v>0.51607461315183734</v>
      </c>
      <c r="AW7" s="38"/>
      <c r="AX7" s="433" t="s">
        <v>155</v>
      </c>
      <c r="AY7" s="31"/>
      <c r="AZ7" s="433" t="s">
        <v>219</v>
      </c>
      <c r="BA7" s="31"/>
    </row>
    <row r="8" spans="1:69">
      <c r="A8" s="96" t="s">
        <v>76</v>
      </c>
      <c r="B8" s="366"/>
      <c r="C8" s="38"/>
      <c r="D8" s="375" t="s">
        <v>43</v>
      </c>
      <c r="E8" s="94"/>
      <c r="F8" s="94"/>
      <c r="G8" s="125"/>
      <c r="H8" s="125">
        <f>3.5+1.5+3.6</f>
        <v>8.6</v>
      </c>
      <c r="I8" s="230">
        <v>2.46</v>
      </c>
      <c r="J8" s="245">
        <v>33</v>
      </c>
      <c r="K8" s="245">
        <v>11.6</v>
      </c>
      <c r="L8" s="267">
        <f>12+2.1</f>
        <v>14.1</v>
      </c>
      <c r="M8" s="125"/>
      <c r="N8" s="298">
        <v>3.4</v>
      </c>
      <c r="O8" s="125"/>
      <c r="P8" s="94"/>
      <c r="Q8" s="94">
        <v>2</v>
      </c>
      <c r="R8" s="125">
        <f>3+0.58</f>
        <v>3.58</v>
      </c>
      <c r="S8" s="94">
        <f>19+4</f>
        <v>23</v>
      </c>
      <c r="T8" s="94">
        <v>27</v>
      </c>
      <c r="U8" s="94">
        <v>13</v>
      </c>
      <c r="V8" s="94">
        <v>7</v>
      </c>
      <c r="W8" s="94">
        <f>32</f>
        <v>32</v>
      </c>
      <c r="X8" s="94">
        <v>20.677</v>
      </c>
      <c r="Y8" s="94">
        <f>1+2+3</f>
        <v>6</v>
      </c>
      <c r="Z8" s="94">
        <v>39</v>
      </c>
      <c r="AA8" s="94">
        <v>37</v>
      </c>
      <c r="AB8" s="267">
        <f>35.5-1-6+1</f>
        <v>29.5</v>
      </c>
      <c r="AC8" s="94">
        <v>35</v>
      </c>
      <c r="AD8" s="125">
        <v>31.5</v>
      </c>
      <c r="AE8" s="125">
        <v>100</v>
      </c>
      <c r="AF8" s="125">
        <v>26</v>
      </c>
      <c r="AG8" s="125">
        <v>51</v>
      </c>
      <c r="AH8" s="125">
        <v>42</v>
      </c>
      <c r="AI8" s="125">
        <f>29+5-2</f>
        <v>32</v>
      </c>
      <c r="AJ8" s="125">
        <v>39</v>
      </c>
      <c r="AK8" s="125">
        <v>58</v>
      </c>
      <c r="AL8" s="125">
        <v>64</v>
      </c>
      <c r="AM8" s="125">
        <v>76</v>
      </c>
      <c r="AN8" s="125">
        <v>87</v>
      </c>
      <c r="AO8" s="125">
        <v>93</v>
      </c>
      <c r="AP8" s="125">
        <v>91</v>
      </c>
      <c r="AQ8" s="125">
        <v>101</v>
      </c>
      <c r="AR8" s="125">
        <v>108</v>
      </c>
      <c r="AS8" s="125">
        <v>91</v>
      </c>
      <c r="AT8" s="125">
        <v>94</v>
      </c>
      <c r="AU8" s="125">
        <v>95</v>
      </c>
      <c r="AV8" s="125">
        <v>105</v>
      </c>
      <c r="AW8" s="38"/>
      <c r="AX8" s="434">
        <f>SUM(Y8:AJ8)</f>
        <v>468</v>
      </c>
      <c r="AY8" s="31"/>
      <c r="AZ8" s="732">
        <f>SUM(AK8:AV8)</f>
        <v>1063</v>
      </c>
      <c r="BA8" s="31"/>
    </row>
    <row r="9" spans="1:69" ht="15" thickBot="1">
      <c r="A9" s="97" t="s">
        <v>47</v>
      </c>
      <c r="B9" s="368"/>
      <c r="C9" s="48"/>
      <c r="D9" s="376" t="s">
        <v>43</v>
      </c>
      <c r="E9" s="95"/>
      <c r="F9" s="95"/>
      <c r="G9" s="95"/>
      <c r="H9" s="95"/>
      <c r="I9" s="228"/>
      <c r="J9" s="95"/>
      <c r="K9" s="95"/>
      <c r="L9" s="95">
        <f>-4</f>
        <v>-4</v>
      </c>
      <c r="M9" s="228"/>
      <c r="N9" s="95">
        <v>-5.97</v>
      </c>
      <c r="O9" s="323">
        <v>5.85</v>
      </c>
      <c r="P9" s="95"/>
      <c r="Q9" s="95"/>
      <c r="R9" s="228"/>
      <c r="S9" s="95"/>
      <c r="T9" s="427"/>
      <c r="U9" s="442">
        <v>-5</v>
      </c>
      <c r="V9" s="95"/>
      <c r="W9" s="95"/>
      <c r="X9" s="95"/>
      <c r="Y9" s="95"/>
      <c r="Z9" s="95"/>
      <c r="AA9" s="95"/>
      <c r="AB9" s="95"/>
      <c r="AC9" s="95"/>
      <c r="AD9" s="95"/>
      <c r="AE9" s="95"/>
      <c r="AF9" s="95">
        <v>-2</v>
      </c>
      <c r="AG9" s="95"/>
      <c r="AH9" s="95"/>
      <c r="AI9" s="228">
        <f>0.5</f>
        <v>0.5</v>
      </c>
      <c r="AJ9" s="95"/>
      <c r="AK9" s="95"/>
      <c r="AL9" s="95"/>
      <c r="AM9" s="95"/>
      <c r="AN9" s="95"/>
      <c r="AO9" s="95"/>
      <c r="AP9" s="95"/>
      <c r="AQ9" s="95"/>
      <c r="AR9" s="95"/>
      <c r="AS9" s="95"/>
      <c r="AT9" s="95"/>
      <c r="AU9" s="95"/>
      <c r="AV9" s="95"/>
      <c r="AW9" s="38"/>
      <c r="AX9" s="31"/>
      <c r="AY9" s="31"/>
      <c r="AZ9" s="31"/>
      <c r="BA9" s="31"/>
    </row>
    <row r="10" spans="1:69" s="31" customFormat="1">
      <c r="A10" s="86" t="s">
        <v>51</v>
      </c>
      <c r="B10" s="270"/>
      <c r="C10" s="653"/>
      <c r="D10" s="88"/>
      <c r="E10" s="114"/>
      <c r="F10" s="115">
        <v>2</v>
      </c>
      <c r="G10" s="114"/>
      <c r="H10" s="114"/>
      <c r="I10" s="114"/>
      <c r="J10" s="114"/>
      <c r="K10" s="114"/>
      <c r="L10" s="114"/>
      <c r="M10" s="114"/>
      <c r="N10" s="114"/>
      <c r="O10" s="114"/>
      <c r="P10" s="114"/>
      <c r="Q10" s="114"/>
      <c r="R10" s="384">
        <v>1.6</v>
      </c>
      <c r="S10" s="114">
        <v>1</v>
      </c>
      <c r="T10" s="114"/>
      <c r="U10" s="114">
        <v>1</v>
      </c>
      <c r="V10" s="384"/>
      <c r="W10" s="384"/>
      <c r="X10" s="384"/>
      <c r="Y10" s="114"/>
      <c r="Z10" s="114"/>
      <c r="AA10" s="114"/>
      <c r="AB10" s="601">
        <v>1.5</v>
      </c>
      <c r="AC10" s="114"/>
      <c r="AD10" s="114"/>
      <c r="AE10" s="114"/>
      <c r="AF10" s="114"/>
      <c r="AG10" s="114"/>
      <c r="AH10" s="657"/>
      <c r="AI10" s="761">
        <v>0.7</v>
      </c>
      <c r="AJ10" s="115">
        <v>0.7</v>
      </c>
      <c r="AK10" s="114"/>
      <c r="AL10" s="114"/>
      <c r="AM10" s="114"/>
      <c r="AN10" s="114"/>
      <c r="AO10" s="114"/>
      <c r="AP10" s="114"/>
      <c r="AQ10" s="114"/>
      <c r="AR10" s="114"/>
      <c r="AS10" s="114"/>
      <c r="AT10" s="114"/>
      <c r="AU10" s="114"/>
      <c r="AV10" s="114"/>
      <c r="AW10" s="38"/>
    </row>
    <row r="11" spans="1:69" s="31" customFormat="1" hidden="1">
      <c r="A11" s="86" t="s">
        <v>75</v>
      </c>
      <c r="B11" s="270"/>
      <c r="C11" s="38"/>
      <c r="D11" s="641"/>
      <c r="E11" s="114"/>
      <c r="F11" s="115"/>
      <c r="G11" s="114"/>
      <c r="H11" s="115">
        <v>3.12</v>
      </c>
      <c r="I11" s="114"/>
      <c r="J11" s="114"/>
      <c r="K11" s="114"/>
      <c r="L11" s="114"/>
      <c r="M11" s="114"/>
      <c r="N11" s="114"/>
      <c r="O11" s="114"/>
      <c r="P11" s="114"/>
      <c r="Q11" s="114"/>
      <c r="R11" s="114"/>
      <c r="S11" s="114"/>
      <c r="T11" s="114"/>
      <c r="U11" s="114"/>
      <c r="V11" s="114"/>
      <c r="W11" s="114"/>
      <c r="X11" s="114"/>
      <c r="Y11" s="114"/>
      <c r="Z11" s="114"/>
      <c r="AA11" s="114"/>
      <c r="AB11" s="114"/>
      <c r="AC11" s="114"/>
      <c r="AD11" s="114"/>
      <c r="AE11" s="640"/>
      <c r="AF11" s="114"/>
      <c r="AG11" s="657"/>
      <c r="AH11" s="657"/>
      <c r="AI11" s="114"/>
      <c r="AJ11" s="114"/>
      <c r="AK11" s="114"/>
      <c r="AL11" s="114"/>
      <c r="AM11" s="114"/>
      <c r="AN11" s="114"/>
      <c r="AO11" s="114"/>
      <c r="AP11" s="114"/>
      <c r="AQ11" s="114"/>
      <c r="AR11" s="114"/>
      <c r="AS11" s="114"/>
      <c r="AT11" s="114"/>
      <c r="AU11" s="114"/>
      <c r="AV11" s="114"/>
      <c r="AW11" s="38"/>
    </row>
    <row r="12" spans="1:69" ht="15" customHeight="1" thickBot="1">
      <c r="A12" s="39" t="s">
        <v>122</v>
      </c>
      <c r="B12" s="30"/>
      <c r="C12" s="31"/>
      <c r="D12" s="50"/>
      <c r="E12" s="31"/>
      <c r="F12" s="31"/>
      <c r="G12" s="217">
        <v>43678</v>
      </c>
      <c r="H12" s="217">
        <v>43698</v>
      </c>
      <c r="I12" s="31"/>
      <c r="J12" s="31"/>
      <c r="K12" s="31"/>
      <c r="L12" s="272">
        <f t="shared" ref="L12:Q12" si="14">L16/1000</f>
        <v>0</v>
      </c>
      <c r="M12" s="272">
        <f t="shared" si="14"/>
        <v>0</v>
      </c>
      <c r="N12" s="272">
        <f t="shared" si="14"/>
        <v>0</v>
      </c>
      <c r="O12" s="272">
        <f t="shared" si="14"/>
        <v>0</v>
      </c>
      <c r="P12" s="272">
        <f t="shared" si="14"/>
        <v>0</v>
      </c>
      <c r="Q12" s="272">
        <f t="shared" si="14"/>
        <v>8.6043339000000003</v>
      </c>
      <c r="R12" s="272"/>
      <c r="S12" s="272"/>
      <c r="T12" s="272"/>
      <c r="U12" s="272"/>
      <c r="V12" s="272"/>
      <c r="W12" s="272"/>
      <c r="X12" s="272"/>
      <c r="Y12" s="272"/>
      <c r="Z12" s="272"/>
      <c r="AA12" s="272"/>
      <c r="AB12" s="272"/>
      <c r="AC12" s="272"/>
      <c r="AD12" s="272"/>
      <c r="AE12" s="272"/>
      <c r="AF12" s="272"/>
      <c r="AG12" s="272"/>
      <c r="AH12" s="272"/>
      <c r="AI12" s="272"/>
      <c r="AJ12" s="272"/>
      <c r="AK12" s="272"/>
      <c r="AL12" s="272"/>
      <c r="AM12" s="272"/>
      <c r="AN12" s="272"/>
      <c r="AO12" s="272"/>
      <c r="AP12" s="272"/>
      <c r="AQ12" s="272"/>
      <c r="AR12" s="272"/>
      <c r="AS12" s="272"/>
      <c r="AT12" s="272"/>
      <c r="AU12" s="272"/>
      <c r="AV12" s="272"/>
      <c r="AW12" s="38"/>
      <c r="AX12" s="38"/>
      <c r="AY12" s="31"/>
      <c r="AZ12" s="31"/>
      <c r="BA12" s="31"/>
    </row>
    <row r="13" spans="1:69" s="75" customFormat="1" ht="15" thickBot="1">
      <c r="A13" s="799" t="s">
        <v>32</v>
      </c>
      <c r="B13" s="800"/>
      <c r="C13" s="369"/>
      <c r="D13" s="372"/>
      <c r="E13" s="78">
        <v>43587</v>
      </c>
      <c r="F13" s="78">
        <v>43618</v>
      </c>
      <c r="G13" s="78">
        <v>43648</v>
      </c>
      <c r="H13" s="78">
        <v>43679</v>
      </c>
      <c r="I13" s="229">
        <v>43710</v>
      </c>
      <c r="J13" s="229">
        <v>43740</v>
      </c>
      <c r="K13" s="78">
        <v>43771</v>
      </c>
      <c r="L13" s="258">
        <v>43801</v>
      </c>
      <c r="M13" s="229">
        <v>43832</v>
      </c>
      <c r="N13" s="229">
        <v>43863</v>
      </c>
      <c r="O13" s="78">
        <v>43892</v>
      </c>
      <c r="P13" s="78">
        <v>43923</v>
      </c>
      <c r="Q13" s="78">
        <v>43953</v>
      </c>
      <c r="R13" s="229">
        <v>43984</v>
      </c>
      <c r="S13" s="229">
        <v>44014</v>
      </c>
      <c r="T13" s="229">
        <v>44045</v>
      </c>
      <c r="U13" s="229">
        <v>44076</v>
      </c>
      <c r="V13" s="229">
        <v>44106</v>
      </c>
      <c r="W13" s="229">
        <v>44137</v>
      </c>
      <c r="X13" s="229">
        <v>44167</v>
      </c>
      <c r="Y13" s="229">
        <f>Y3</f>
        <v>44198</v>
      </c>
      <c r="Z13" s="229">
        <f t="shared" ref="Z13:AK13" si="15">Z3</f>
        <v>44229</v>
      </c>
      <c r="AA13" s="229">
        <f t="shared" si="15"/>
        <v>44257</v>
      </c>
      <c r="AB13" s="229">
        <f t="shared" si="15"/>
        <v>44288</v>
      </c>
      <c r="AC13" s="229">
        <f t="shared" si="15"/>
        <v>44318</v>
      </c>
      <c r="AD13" s="229">
        <f t="shared" si="15"/>
        <v>44349</v>
      </c>
      <c r="AE13" s="229">
        <f t="shared" si="15"/>
        <v>44379</v>
      </c>
      <c r="AF13" s="229">
        <f t="shared" si="15"/>
        <v>44410</v>
      </c>
      <c r="AG13" s="229">
        <f t="shared" si="15"/>
        <v>44441</v>
      </c>
      <c r="AH13" s="229">
        <f t="shared" si="15"/>
        <v>44471</v>
      </c>
      <c r="AI13" s="229">
        <f t="shared" si="15"/>
        <v>44502</v>
      </c>
      <c r="AJ13" s="229">
        <f t="shared" si="15"/>
        <v>44532</v>
      </c>
      <c r="AK13" s="229">
        <f t="shared" si="15"/>
        <v>44563</v>
      </c>
      <c r="AL13" s="229">
        <f t="shared" ref="AL13:AM13" si="16">AL3</f>
        <v>44594</v>
      </c>
      <c r="AM13" s="229">
        <f t="shared" si="16"/>
        <v>44622</v>
      </c>
      <c r="AN13" s="229">
        <f t="shared" ref="AN13:AO13" si="17">AN3</f>
        <v>44653</v>
      </c>
      <c r="AO13" s="229">
        <f t="shared" si="17"/>
        <v>44683</v>
      </c>
      <c r="AP13" s="229">
        <f t="shared" ref="AP13:AQ13" si="18">AP3</f>
        <v>44714</v>
      </c>
      <c r="AQ13" s="229">
        <f t="shared" si="18"/>
        <v>44744</v>
      </c>
      <c r="AR13" s="229">
        <f t="shared" ref="AR13:AS13" si="19">AR3</f>
        <v>44775</v>
      </c>
      <c r="AS13" s="229">
        <f t="shared" si="19"/>
        <v>44806</v>
      </c>
      <c r="AT13" s="229">
        <f t="shared" ref="AT13:AU13" si="20">AT3</f>
        <v>44836</v>
      </c>
      <c r="AU13" s="229">
        <f t="shared" si="20"/>
        <v>44867</v>
      </c>
      <c r="AV13" s="229">
        <f t="shared" ref="AV13" si="21">AV3</f>
        <v>44897</v>
      </c>
      <c r="AW13" s="73"/>
      <c r="AX13" s="73"/>
      <c r="AY13" s="74"/>
      <c r="AZ13" s="74"/>
      <c r="BA13" s="74"/>
    </row>
    <row r="14" spans="1:69">
      <c r="A14" s="21" t="s">
        <v>3</v>
      </c>
      <c r="B14" s="370"/>
      <c r="C14" s="46"/>
      <c r="D14" s="374"/>
      <c r="E14" s="92"/>
      <c r="F14" s="89"/>
      <c r="G14" s="89"/>
      <c r="H14" s="89"/>
      <c r="I14" s="89"/>
      <c r="J14" s="89"/>
      <c r="K14" s="89"/>
      <c r="L14" s="89"/>
      <c r="M14" s="89"/>
      <c r="N14" s="89"/>
      <c r="O14" s="89"/>
      <c r="P14" s="89"/>
      <c r="Q14" s="89"/>
      <c r="R14" s="377"/>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U14" s="89"/>
      <c r="AV14" s="89"/>
      <c r="AW14" s="38"/>
      <c r="AX14" s="38"/>
      <c r="AY14" s="31"/>
      <c r="AZ14" s="31"/>
      <c r="BA14" s="31"/>
    </row>
    <row r="15" spans="1:69">
      <c r="A15" s="86" t="s">
        <v>189</v>
      </c>
      <c r="B15" s="366"/>
      <c r="C15" s="38"/>
      <c r="D15" s="375" t="s">
        <v>44</v>
      </c>
      <c r="E15" s="82"/>
      <c r="F15" s="82"/>
      <c r="G15" s="82"/>
      <c r="H15" s="83"/>
      <c r="I15" s="82"/>
      <c r="J15" s="83"/>
      <c r="K15" s="82"/>
      <c r="L15" s="82"/>
      <c r="M15" s="82"/>
      <c r="N15" s="82"/>
      <c r="O15" s="82"/>
      <c r="P15" s="82"/>
      <c r="Q15" s="359">
        <v>10820</v>
      </c>
      <c r="R15" s="378">
        <v>10820</v>
      </c>
      <c r="S15" s="359">
        <v>10820</v>
      </c>
      <c r="T15" s="359">
        <v>10820</v>
      </c>
      <c r="U15" s="359">
        <v>10820</v>
      </c>
      <c r="V15" s="268">
        <v>7213.6</v>
      </c>
      <c r="W15" s="268">
        <v>7213.6</v>
      </c>
      <c r="X15" s="359">
        <v>10820</v>
      </c>
      <c r="Y15" s="359">
        <v>10820.4</v>
      </c>
      <c r="Z15" s="359">
        <v>10820.4</v>
      </c>
      <c r="AA15" s="359">
        <v>10820.4</v>
      </c>
      <c r="AB15" s="359">
        <v>10820.4</v>
      </c>
      <c r="AC15" s="359">
        <v>10820.4</v>
      </c>
      <c r="AD15" s="359">
        <v>10820.4</v>
      </c>
      <c r="AE15" s="359">
        <v>10820.4</v>
      </c>
      <c r="AF15" s="359">
        <v>10820.4</v>
      </c>
      <c r="AG15" s="359">
        <v>10820.4</v>
      </c>
      <c r="AH15" s="359">
        <v>10820.4</v>
      </c>
      <c r="AI15" s="359">
        <v>10820.4</v>
      </c>
      <c r="AJ15" s="359">
        <v>10820.4</v>
      </c>
      <c r="AK15" s="359">
        <v>10820.4</v>
      </c>
      <c r="AL15" s="359">
        <v>10820.4</v>
      </c>
      <c r="AM15" s="359">
        <v>10820.4</v>
      </c>
      <c r="AN15" s="359">
        <v>10820.4</v>
      </c>
      <c r="AO15" s="359">
        <v>10820.4</v>
      </c>
      <c r="AP15" s="359">
        <v>10820.4</v>
      </c>
      <c r="AQ15" s="359">
        <v>10820.4</v>
      </c>
      <c r="AR15" s="359">
        <v>10820.4</v>
      </c>
      <c r="AS15" s="359">
        <v>10820.4</v>
      </c>
      <c r="AT15" s="359">
        <v>10820.4</v>
      </c>
      <c r="AU15" s="359">
        <v>10820.4</v>
      </c>
      <c r="AV15" s="359">
        <v>10820.4</v>
      </c>
      <c r="AW15" s="38"/>
      <c r="AX15" s="38"/>
      <c r="AY15" s="31"/>
      <c r="AZ15" s="31"/>
      <c r="BA15" s="31"/>
    </row>
    <row r="16" spans="1:69">
      <c r="A16" s="86" t="s">
        <v>125</v>
      </c>
      <c r="B16" s="366"/>
      <c r="C16" s="38"/>
      <c r="D16" s="375" t="s">
        <v>44</v>
      </c>
      <c r="E16" s="90"/>
      <c r="F16" s="90"/>
      <c r="G16" s="90"/>
      <c r="H16" s="90"/>
      <c r="I16" s="90"/>
      <c r="J16" s="90"/>
      <c r="K16" s="90"/>
      <c r="L16" s="90"/>
      <c r="M16" s="90"/>
      <c r="N16" s="90"/>
      <c r="O16" s="90"/>
      <c r="P16" s="90"/>
      <c r="Q16" s="90">
        <v>8604.3338999999996</v>
      </c>
      <c r="R16" s="379">
        <v>4280.92</v>
      </c>
      <c r="S16" s="90">
        <v>4603.84</v>
      </c>
      <c r="T16" s="90">
        <v>5097.9400000000005</v>
      </c>
      <c r="U16" s="90">
        <v>8486.9800000000014</v>
      </c>
      <c r="V16" s="90">
        <v>4215.0621000000001</v>
      </c>
      <c r="W16" s="90">
        <v>5552.8707000000004</v>
      </c>
      <c r="X16" s="90">
        <v>3405.2722000000003</v>
      </c>
      <c r="Y16" s="90">
        <v>8673.82</v>
      </c>
      <c r="Z16" s="90">
        <f>Y16-Z17+((Z55-Z109-Z111-Z112-Z114-Z115-Z116-Z117)*1000)</f>
        <v>4479.3540188754459</v>
      </c>
      <c r="AA16" s="90">
        <v>7425.2542080000003</v>
      </c>
      <c r="AB16" s="90">
        <v>8816.1281999999992</v>
      </c>
      <c r="AC16" s="90">
        <v>6700.0745879999995</v>
      </c>
      <c r="AD16" s="90">
        <v>8681.2604339999998</v>
      </c>
      <c r="AE16" s="90">
        <v>5998.8068999999996</v>
      </c>
      <c r="AF16" s="90">
        <v>8494.6376579999996</v>
      </c>
      <c r="AG16" s="90">
        <v>4459.3620000000001</v>
      </c>
      <c r="AH16" s="90">
        <v>3328.7766000000006</v>
      </c>
      <c r="AI16" s="90">
        <v>6807.8916000000008</v>
      </c>
      <c r="AJ16" s="90">
        <f t="shared" ref="AJ16:AV16" si="22">AI16-AJ17+((AJ55-AJ109-AJ111-AJ112-AJ114-AJ115-AJ116-AJ117)*1000)</f>
        <v>9362.6863855340671</v>
      </c>
      <c r="AK16" s="90">
        <f t="shared" si="22"/>
        <v>6204.0735456125676</v>
      </c>
      <c r="AL16" s="90">
        <f t="shared" si="22"/>
        <v>6050.7396515839791</v>
      </c>
      <c r="AM16" s="90">
        <f t="shared" si="22"/>
        <v>6805.1063462854181</v>
      </c>
      <c r="AN16" s="90">
        <f t="shared" si="22"/>
        <v>6694.6269518363169</v>
      </c>
      <c r="AO16" s="90">
        <f t="shared" si="22"/>
        <v>6080.4321454298788</v>
      </c>
      <c r="AP16" s="90">
        <f t="shared" si="22"/>
        <v>6414.1396684593528</v>
      </c>
      <c r="AQ16" s="90">
        <f t="shared" si="22"/>
        <v>6962.0705255531029</v>
      </c>
      <c r="AR16" s="90">
        <f t="shared" si="22"/>
        <v>6311.9396815546952</v>
      </c>
      <c r="AS16" s="90">
        <f t="shared" si="22"/>
        <v>6457.0784176173438</v>
      </c>
      <c r="AT16" s="90">
        <f t="shared" si="22"/>
        <v>6923.7217782154312</v>
      </c>
      <c r="AU16" s="90">
        <f t="shared" si="22"/>
        <v>7179.2563621423906</v>
      </c>
      <c r="AV16" s="90">
        <f t="shared" si="22"/>
        <v>7040.7847601517633</v>
      </c>
      <c r="AW16" s="38"/>
      <c r="AX16" s="38"/>
      <c r="AY16" s="31"/>
      <c r="AZ16" s="31"/>
      <c r="BA16" s="31"/>
    </row>
    <row r="17" spans="1:53">
      <c r="A17" s="86" t="s">
        <v>208</v>
      </c>
      <c r="B17" s="366"/>
      <c r="C17" s="38"/>
      <c r="D17" s="375" t="s">
        <v>44</v>
      </c>
      <c r="E17" s="90"/>
      <c r="F17" s="90"/>
      <c r="G17" s="90"/>
      <c r="H17" s="90"/>
      <c r="I17" s="90"/>
      <c r="J17" s="90"/>
      <c r="K17" s="90"/>
      <c r="L17" s="90"/>
      <c r="M17" s="90"/>
      <c r="N17" s="90"/>
      <c r="O17" s="90"/>
      <c r="P17" s="90"/>
      <c r="Q17" s="90"/>
      <c r="R17" s="379">
        <v>4303.2400800000014</v>
      </c>
      <c r="S17" s="90">
        <v>2500</v>
      </c>
      <c r="T17" s="90">
        <v>8500</v>
      </c>
      <c r="U17" s="90">
        <v>1000</v>
      </c>
      <c r="V17" s="90">
        <v>8000</v>
      </c>
      <c r="W17" s="90">
        <v>5005</v>
      </c>
      <c r="X17" s="90">
        <v>3000</v>
      </c>
      <c r="Y17" s="90">
        <v>7000</v>
      </c>
      <c r="Z17" s="90">
        <v>6000</v>
      </c>
      <c r="AA17" s="90">
        <f>2000</f>
        <v>2000</v>
      </c>
      <c r="AB17" s="90">
        <v>18500</v>
      </c>
      <c r="AC17" s="90">
        <f>6560-300</f>
        <v>6260</v>
      </c>
      <c r="AD17" s="90">
        <v>3900</v>
      </c>
      <c r="AE17" s="90">
        <v>3200</v>
      </c>
      <c r="AF17" s="90">
        <v>14500</v>
      </c>
      <c r="AG17" s="90">
        <v>4500</v>
      </c>
      <c r="AH17" s="722">
        <v>14100</v>
      </c>
      <c r="AI17" s="722">
        <v>17000</v>
      </c>
      <c r="AJ17" s="90">
        <f>3000+9000</f>
        <v>12000</v>
      </c>
      <c r="AK17" s="90">
        <v>3000</v>
      </c>
      <c r="AL17" s="90">
        <v>3000</v>
      </c>
      <c r="AM17" s="90">
        <v>3000</v>
      </c>
      <c r="AN17" s="90">
        <v>3000</v>
      </c>
      <c r="AO17" s="90">
        <v>3000</v>
      </c>
      <c r="AP17" s="90">
        <v>3000</v>
      </c>
      <c r="AQ17" s="90">
        <v>3000</v>
      </c>
      <c r="AR17" s="90">
        <v>3000</v>
      </c>
      <c r="AS17" s="90">
        <v>3000</v>
      </c>
      <c r="AT17" s="90">
        <v>3000</v>
      </c>
      <c r="AU17" s="90">
        <v>3000</v>
      </c>
      <c r="AV17" s="90">
        <v>3000</v>
      </c>
      <c r="AW17" s="38"/>
      <c r="AX17" s="434">
        <f>SUM(Y17:AJ17)</f>
        <v>108960</v>
      </c>
      <c r="AY17" s="31"/>
      <c r="AZ17" s="732">
        <f>SUM(AK17:AV17)</f>
        <v>36000</v>
      </c>
      <c r="BA17" s="31"/>
    </row>
    <row r="18" spans="1:53" ht="15" thickBot="1">
      <c r="A18" s="221" t="s">
        <v>41</v>
      </c>
      <c r="B18" s="368" t="s">
        <v>216</v>
      </c>
      <c r="C18" s="48"/>
      <c r="D18" s="376" t="s">
        <v>45</v>
      </c>
      <c r="E18" s="99" t="e">
        <f>E16/E15</f>
        <v>#DIV/0!</v>
      </c>
      <c r="F18" s="99" t="e">
        <f t="shared" ref="F18:Y18" si="23">F16/F15</f>
        <v>#DIV/0!</v>
      </c>
      <c r="G18" s="99" t="e">
        <f t="shared" si="23"/>
        <v>#DIV/0!</v>
      </c>
      <c r="H18" s="116" t="e">
        <f t="shared" si="23"/>
        <v>#DIV/0!</v>
      </c>
      <c r="I18" s="116" t="e">
        <f t="shared" si="23"/>
        <v>#DIV/0!</v>
      </c>
      <c r="J18" s="116" t="e">
        <f t="shared" si="23"/>
        <v>#DIV/0!</v>
      </c>
      <c r="K18" s="116" t="e">
        <f t="shared" si="23"/>
        <v>#DIV/0!</v>
      </c>
      <c r="L18" s="116" t="e">
        <f t="shared" si="23"/>
        <v>#DIV/0!</v>
      </c>
      <c r="M18" s="116" t="e">
        <f t="shared" si="23"/>
        <v>#DIV/0!</v>
      </c>
      <c r="N18" s="116" t="e">
        <f t="shared" si="23"/>
        <v>#DIV/0!</v>
      </c>
      <c r="O18" s="116" t="e">
        <f t="shared" si="23"/>
        <v>#DIV/0!</v>
      </c>
      <c r="P18" s="116" t="e">
        <f t="shared" si="23"/>
        <v>#DIV/0!</v>
      </c>
      <c r="Q18" s="116">
        <f t="shared" si="23"/>
        <v>0.79522494454713488</v>
      </c>
      <c r="R18" s="402">
        <f t="shared" si="23"/>
        <v>0.39564879852125695</v>
      </c>
      <c r="S18" s="403">
        <f t="shared" si="23"/>
        <v>0.42549353049907579</v>
      </c>
      <c r="T18" s="403">
        <f t="shared" si="23"/>
        <v>0.47115896487985215</v>
      </c>
      <c r="U18" s="403">
        <f t="shared" si="23"/>
        <v>0.7843789279112755</v>
      </c>
      <c r="V18" s="403">
        <f t="shared" si="23"/>
        <v>0.58432157313962518</v>
      </c>
      <c r="W18" s="403">
        <f t="shared" si="23"/>
        <v>0.76977801652434297</v>
      </c>
      <c r="X18" s="403">
        <f t="shared" si="23"/>
        <v>0.31472016635859523</v>
      </c>
      <c r="Y18" s="403">
        <f t="shared" si="23"/>
        <v>0.80161731544120363</v>
      </c>
      <c r="Z18" s="541">
        <f>Z16/Z15</f>
        <v>0.41397305264827972</v>
      </c>
      <c r="AA18" s="541">
        <f t="shared" ref="AA18:AJ18" si="24">AA16/AA15</f>
        <v>0.68622733059775987</v>
      </c>
      <c r="AB18" s="541">
        <f t="shared" si="24"/>
        <v>0.81476915825662632</v>
      </c>
      <c r="AC18" s="541">
        <f t="shared" si="24"/>
        <v>0.61920766219363421</v>
      </c>
      <c r="AD18" s="541">
        <f t="shared" si="24"/>
        <v>0.80230494565820121</v>
      </c>
      <c r="AE18" s="541">
        <f t="shared" si="24"/>
        <v>0.55439788732394368</v>
      </c>
      <c r="AF18" s="541">
        <f>AF16/AF15</f>
        <v>0.78505763724076738</v>
      </c>
      <c r="AG18" s="541">
        <f t="shared" si="24"/>
        <v>0.41212542974381727</v>
      </c>
      <c r="AH18" s="541">
        <f t="shared" si="24"/>
        <v>0.30763895974270827</v>
      </c>
      <c r="AI18" s="541">
        <f>AI16/AI15</f>
        <v>0.62917189752689373</v>
      </c>
      <c r="AJ18" s="541">
        <f t="shared" si="24"/>
        <v>0.86528098642694051</v>
      </c>
      <c r="AK18" s="541">
        <f t="shared" ref="AK18:AP18" si="25">AK16/AK15</f>
        <v>0.57336822535327414</v>
      </c>
      <c r="AL18" s="541">
        <f t="shared" si="25"/>
        <v>0.55919740966914155</v>
      </c>
      <c r="AM18" s="541">
        <f t="shared" si="25"/>
        <v>0.62891448987887866</v>
      </c>
      <c r="AN18" s="541">
        <f t="shared" si="25"/>
        <v>0.61870420241731516</v>
      </c>
      <c r="AO18" s="541">
        <f t="shared" si="25"/>
        <v>0.56194153131398827</v>
      </c>
      <c r="AP18" s="541">
        <f t="shared" si="25"/>
        <v>0.59278212159063925</v>
      </c>
      <c r="AQ18" s="541">
        <f t="shared" ref="AQ18:AR18" si="26">AQ16/AQ15</f>
        <v>0.64342080935576351</v>
      </c>
      <c r="AR18" s="541">
        <f t="shared" si="26"/>
        <v>0.58333700062425564</v>
      </c>
      <c r="AS18" s="541">
        <f t="shared" ref="AS18:AT18" si="27">AS16/AS15</f>
        <v>0.59675043599287869</v>
      </c>
      <c r="AT18" s="541">
        <f t="shared" si="27"/>
        <v>0.63987669385747581</v>
      </c>
      <c r="AU18" s="541">
        <f t="shared" ref="AU18:AV18" si="28">AU16/AU15</f>
        <v>0.66349269547728285</v>
      </c>
      <c r="AV18" s="541">
        <f t="shared" si="28"/>
        <v>0.65069542347341724</v>
      </c>
      <c r="AW18" s="38"/>
      <c r="AX18" s="38"/>
      <c r="AY18" s="31"/>
      <c r="AZ18" s="31"/>
      <c r="BA18" s="31"/>
    </row>
    <row r="19" spans="1:53" s="31" customFormat="1" hidden="1">
      <c r="A19" s="6" t="s">
        <v>132</v>
      </c>
      <c r="B19" s="30"/>
      <c r="R19" s="363">
        <f t="shared" ref="R19:AV19" si="29">R55-R109-R111-R114-R115-R117</f>
        <v>-2.0173819999998344E-2</v>
      </c>
      <c r="S19" s="363">
        <f t="shared" si="29"/>
        <v>5.0584090909090627</v>
      </c>
      <c r="T19" s="363">
        <f t="shared" si="29"/>
        <v>7.5176373626373696</v>
      </c>
      <c r="U19" s="363">
        <f t="shared" si="29"/>
        <v>0.61100000000000709</v>
      </c>
      <c r="V19" s="363">
        <f t="shared" si="29"/>
        <v>4.01</v>
      </c>
      <c r="W19" s="363">
        <f t="shared" si="29"/>
        <v>6.3309999999999977</v>
      </c>
      <c r="X19" s="363">
        <f t="shared" si="29"/>
        <v>1.0260000000000011</v>
      </c>
      <c r="Y19" s="363">
        <f t="shared" si="29"/>
        <v>11.852380729154897</v>
      </c>
      <c r="Z19" s="363">
        <f t="shared" si="29"/>
        <v>6.3055340188754467</v>
      </c>
      <c r="AA19" s="363">
        <f t="shared" si="29"/>
        <v>11.984000000000007</v>
      </c>
      <c r="AB19" s="363">
        <f t="shared" si="29"/>
        <v>19.509000000000011</v>
      </c>
      <c r="AC19" s="363">
        <f t="shared" si="29"/>
        <v>6.1730000000000036</v>
      </c>
      <c r="AD19" s="363">
        <f t="shared" si="29"/>
        <v>12.952</v>
      </c>
      <c r="AE19" s="363">
        <f t="shared" si="29"/>
        <v>-0.19799999999999685</v>
      </c>
      <c r="AF19" s="363">
        <f t="shared" si="29"/>
        <v>25.516651273033133</v>
      </c>
      <c r="AG19" s="363">
        <f t="shared" si="29"/>
        <v>17.629616232137248</v>
      </c>
      <c r="AH19" s="363">
        <f t="shared" si="29"/>
        <v>30.770076812202284</v>
      </c>
      <c r="AI19" s="363">
        <f t="shared" si="29"/>
        <v>24.094000000000008</v>
      </c>
      <c r="AJ19" s="363">
        <f t="shared" si="29"/>
        <v>25.354794785534065</v>
      </c>
      <c r="AK19" s="363">
        <f t="shared" si="29"/>
        <v>12.496455653229187</v>
      </c>
      <c r="AL19" s="363">
        <f t="shared" si="29"/>
        <v>8.7399537772042883</v>
      </c>
      <c r="AM19" s="363">
        <f t="shared" si="29"/>
        <v>8.9294351878521248</v>
      </c>
      <c r="AN19" s="363">
        <f t="shared" si="29"/>
        <v>8.9873288247289835</v>
      </c>
      <c r="AO19" s="363">
        <f t="shared" si="29"/>
        <v>2.385805193593562</v>
      </c>
      <c r="AP19" s="624">
        <f t="shared" si="29"/>
        <v>5.8337075230294744</v>
      </c>
      <c r="AQ19" s="624">
        <f t="shared" si="29"/>
        <v>6.0479308570937498</v>
      </c>
      <c r="AR19" s="624">
        <f t="shared" si="29"/>
        <v>9.3889376491522789</v>
      </c>
      <c r="AS19" s="624">
        <f t="shared" si="29"/>
        <v>9.1451387360626484</v>
      </c>
      <c r="AT19" s="624">
        <f t="shared" si="29"/>
        <v>9.4666433605980878</v>
      </c>
      <c r="AU19" s="624">
        <f t="shared" si="29"/>
        <v>8.7555345839269592</v>
      </c>
      <c r="AV19" s="624">
        <f t="shared" si="29"/>
        <v>8.8615283980093729</v>
      </c>
      <c r="AW19" s="38"/>
      <c r="AX19" s="38"/>
      <c r="AZ19" s="433"/>
    </row>
    <row r="20" spans="1:53" ht="24" outlineLevel="1" thickBot="1">
      <c r="A20" s="39" t="s">
        <v>123</v>
      </c>
      <c r="B20" s="30"/>
      <c r="C20" s="31"/>
      <c r="D20" s="50"/>
      <c r="E20" s="31"/>
      <c r="F20" s="31"/>
      <c r="G20" s="217">
        <v>43678</v>
      </c>
      <c r="H20" s="217">
        <v>43698</v>
      </c>
      <c r="I20" s="31"/>
      <c r="J20" s="31"/>
      <c r="K20" s="31"/>
      <c r="L20" s="272">
        <f t="shared" ref="L20:Q20" si="30">L24/1000</f>
        <v>0</v>
      </c>
      <c r="M20" s="272">
        <f t="shared" si="30"/>
        <v>0</v>
      </c>
      <c r="N20" s="272">
        <f t="shared" si="30"/>
        <v>0</v>
      </c>
      <c r="O20" s="272">
        <f t="shared" si="30"/>
        <v>0</v>
      </c>
      <c r="P20" s="272">
        <f t="shared" si="30"/>
        <v>0</v>
      </c>
      <c r="Q20" s="272">
        <f t="shared" si="30"/>
        <v>20.938500000000001</v>
      </c>
      <c r="R20" s="272"/>
      <c r="S20" s="272"/>
      <c r="T20" s="272"/>
      <c r="U20" s="272"/>
      <c r="V20" s="272"/>
      <c r="W20" s="272"/>
      <c r="X20" s="272"/>
      <c r="Y20" s="272"/>
      <c r="Z20" s="272"/>
      <c r="AA20" s="272"/>
      <c r="AB20" s="272"/>
      <c r="AC20" s="272"/>
      <c r="AD20" s="272"/>
      <c r="AE20" s="272"/>
      <c r="AF20" s="272"/>
      <c r="AG20" s="272"/>
      <c r="AH20" s="272"/>
      <c r="AI20" s="272"/>
      <c r="AJ20" s="272"/>
      <c r="AK20" s="272"/>
      <c r="AL20" s="272"/>
      <c r="AM20" s="272"/>
      <c r="AN20" s="272"/>
      <c r="AO20" s="272"/>
      <c r="AP20" s="272"/>
      <c r="AQ20" s="272"/>
      <c r="AR20" s="272"/>
      <c r="AS20" s="272"/>
      <c r="AT20" s="272"/>
      <c r="AU20" s="272"/>
      <c r="AV20" s="272"/>
      <c r="AW20" s="38"/>
      <c r="AX20" s="38"/>
      <c r="AY20" s="31"/>
      <c r="AZ20" s="31"/>
      <c r="BA20" s="31"/>
    </row>
    <row r="21" spans="1:53" s="75" customFormat="1" ht="15" outlineLevel="1" thickBot="1">
      <c r="A21" s="799" t="s">
        <v>32</v>
      </c>
      <c r="B21" s="800"/>
      <c r="C21" s="357"/>
      <c r="D21" s="358"/>
      <c r="E21" s="77">
        <v>43587</v>
      </c>
      <c r="F21" s="78">
        <v>43618</v>
      </c>
      <c r="G21" s="78">
        <v>43648</v>
      </c>
      <c r="H21" s="78">
        <v>43679</v>
      </c>
      <c r="I21" s="229">
        <v>43710</v>
      </c>
      <c r="J21" s="229">
        <v>43740</v>
      </c>
      <c r="K21" s="78">
        <v>43771</v>
      </c>
      <c r="L21" s="258">
        <v>43801</v>
      </c>
      <c r="M21" s="229">
        <v>43832</v>
      </c>
      <c r="N21" s="229">
        <v>43863</v>
      </c>
      <c r="O21" s="78">
        <v>43892</v>
      </c>
      <c r="P21" s="78">
        <v>43923</v>
      </c>
      <c r="Q21" s="78">
        <v>43953</v>
      </c>
      <c r="R21" s="229">
        <v>43984</v>
      </c>
      <c r="S21" s="229">
        <v>44014</v>
      </c>
      <c r="T21" s="229">
        <v>44045</v>
      </c>
      <c r="U21" s="229">
        <v>44076</v>
      </c>
      <c r="V21" s="229">
        <v>44106</v>
      </c>
      <c r="W21" s="229">
        <v>44137</v>
      </c>
      <c r="X21" s="229">
        <v>44167</v>
      </c>
      <c r="Y21" s="229">
        <f>Y3</f>
        <v>44198</v>
      </c>
      <c r="Z21" s="229">
        <f t="shared" ref="Z21:AK21" si="31">Z3</f>
        <v>44229</v>
      </c>
      <c r="AA21" s="229">
        <f t="shared" si="31"/>
        <v>44257</v>
      </c>
      <c r="AB21" s="229">
        <f t="shared" si="31"/>
        <v>44288</v>
      </c>
      <c r="AC21" s="229">
        <f t="shared" si="31"/>
        <v>44318</v>
      </c>
      <c r="AD21" s="229">
        <f t="shared" si="31"/>
        <v>44349</v>
      </c>
      <c r="AE21" s="229">
        <f t="shared" si="31"/>
        <v>44379</v>
      </c>
      <c r="AF21" s="229">
        <f t="shared" si="31"/>
        <v>44410</v>
      </c>
      <c r="AG21" s="229">
        <f t="shared" si="31"/>
        <v>44441</v>
      </c>
      <c r="AH21" s="229">
        <f t="shared" si="31"/>
        <v>44471</v>
      </c>
      <c r="AI21" s="229">
        <f t="shared" si="31"/>
        <v>44502</v>
      </c>
      <c r="AJ21" s="229">
        <f t="shared" si="31"/>
        <v>44532</v>
      </c>
      <c r="AK21" s="229">
        <f t="shared" si="31"/>
        <v>44563</v>
      </c>
      <c r="AL21" s="229">
        <f t="shared" ref="AL21:AM21" si="32">AL3</f>
        <v>44594</v>
      </c>
      <c r="AM21" s="229">
        <f t="shared" si="32"/>
        <v>44622</v>
      </c>
      <c r="AN21" s="229">
        <f t="shared" ref="AN21:AO21" si="33">AN3</f>
        <v>44653</v>
      </c>
      <c r="AO21" s="229">
        <f t="shared" si="33"/>
        <v>44683</v>
      </c>
      <c r="AP21" s="229">
        <f t="shared" ref="AP21:AQ21" si="34">AP3</f>
        <v>44714</v>
      </c>
      <c r="AQ21" s="229">
        <f t="shared" si="34"/>
        <v>44744</v>
      </c>
      <c r="AR21" s="229">
        <f t="shared" ref="AR21:AS21" si="35">AR3</f>
        <v>44775</v>
      </c>
      <c r="AS21" s="229">
        <f t="shared" si="35"/>
        <v>44806</v>
      </c>
      <c r="AT21" s="229">
        <f t="shared" ref="AT21:AU21" si="36">AT3</f>
        <v>44836</v>
      </c>
      <c r="AU21" s="229">
        <f t="shared" si="36"/>
        <v>44867</v>
      </c>
      <c r="AV21" s="229">
        <f t="shared" ref="AV21" si="37">AV3</f>
        <v>44897</v>
      </c>
      <c r="AW21" s="31"/>
      <c r="AX21" s="73"/>
      <c r="AY21" s="74"/>
      <c r="AZ21" s="74"/>
      <c r="BA21" s="74"/>
    </row>
    <row r="22" spans="1:53" outlineLevel="1">
      <c r="A22" s="21" t="s">
        <v>3</v>
      </c>
      <c r="B22" s="370"/>
      <c r="C22" s="46"/>
      <c r="D22" s="374"/>
      <c r="E22" s="92"/>
      <c r="F22" s="89"/>
      <c r="G22" s="89"/>
      <c r="H22" s="89"/>
      <c r="I22" s="89"/>
      <c r="J22" s="89"/>
      <c r="K22" s="89"/>
      <c r="L22" s="89"/>
      <c r="M22" s="89"/>
      <c r="N22" s="89"/>
      <c r="O22" s="89"/>
      <c r="P22" s="89"/>
      <c r="Q22" s="89"/>
      <c r="R22" s="377"/>
      <c r="S22" s="89"/>
      <c r="T22" s="89"/>
      <c r="U22" s="89"/>
      <c r="V22" s="89"/>
      <c r="W22" s="89"/>
      <c r="X22" s="89"/>
      <c r="Y22" s="89"/>
      <c r="Z22" s="89"/>
      <c r="AA22" s="89"/>
      <c r="AB22" s="89"/>
      <c r="AC22" s="89"/>
      <c r="AD22" s="89"/>
      <c r="AE22" s="89"/>
      <c r="AF22" s="89"/>
      <c r="AG22" s="89"/>
      <c r="AH22" s="89"/>
      <c r="AI22" s="89"/>
      <c r="AJ22" s="89"/>
      <c r="AK22" s="89"/>
      <c r="AL22" s="89"/>
      <c r="AM22" s="89"/>
      <c r="AN22" s="89"/>
      <c r="AO22" s="89"/>
      <c r="AP22" s="89"/>
      <c r="AQ22" s="89"/>
      <c r="AR22" s="89"/>
      <c r="AS22" s="89"/>
      <c r="AT22" s="89"/>
      <c r="AU22" s="89"/>
      <c r="AV22" s="89"/>
      <c r="AW22" s="38"/>
      <c r="AX22" s="38"/>
      <c r="AY22" s="31"/>
      <c r="AZ22" s="31"/>
      <c r="BA22" s="31"/>
    </row>
    <row r="23" spans="1:53" outlineLevel="1">
      <c r="A23" s="86" t="s">
        <v>188</v>
      </c>
      <c r="B23" s="366"/>
      <c r="C23" s="38"/>
      <c r="D23" s="375" t="s">
        <v>44</v>
      </c>
      <c r="E23" s="82"/>
      <c r="F23" s="82"/>
      <c r="G23" s="82"/>
      <c r="H23" s="83"/>
      <c r="I23" s="82"/>
      <c r="J23" s="83"/>
      <c r="K23" s="82"/>
      <c r="L23" s="82"/>
      <c r="M23" s="82"/>
      <c r="N23" s="82"/>
      <c r="O23" s="82"/>
      <c r="P23" s="82"/>
      <c r="Q23" s="83">
        <v>34970.800000000003</v>
      </c>
      <c r="R23" s="83">
        <f>R5-R15</f>
        <v>34970.800000000003</v>
      </c>
      <c r="S23" s="83">
        <f>S5-S15</f>
        <v>34970.800000000003</v>
      </c>
      <c r="T23" s="83">
        <v>34970.800000000003</v>
      </c>
      <c r="U23" s="83">
        <v>34970.800000000003</v>
      </c>
      <c r="V23" s="359">
        <v>38804.400000000001</v>
      </c>
      <c r="W23" s="359">
        <v>38804.400000000001</v>
      </c>
      <c r="X23" s="359">
        <v>38804.800000000003</v>
      </c>
      <c r="Y23" s="359">
        <v>38804.400000000009</v>
      </c>
      <c r="Z23" s="268">
        <v>34970.400000000001</v>
      </c>
      <c r="AA23" s="268">
        <v>32821.200000000004</v>
      </c>
      <c r="AB23" s="359">
        <v>36655.22</v>
      </c>
      <c r="AC23" s="268">
        <v>36655.22</v>
      </c>
      <c r="AD23" s="268">
        <v>32821.200000000004</v>
      </c>
      <c r="AE23" s="268">
        <v>32821.200000000004</v>
      </c>
      <c r="AF23" s="359">
        <v>36655.200000000004</v>
      </c>
      <c r="AG23" s="359">
        <v>36655.200000000004</v>
      </c>
      <c r="AH23" s="268">
        <v>32821.200000000004</v>
      </c>
      <c r="AI23" s="268">
        <v>32821.200000000004</v>
      </c>
      <c r="AJ23" s="359">
        <v>36655.200000000004</v>
      </c>
      <c r="AK23" s="359">
        <v>36655.22</v>
      </c>
      <c r="AL23" s="268">
        <v>32821.200000000004</v>
      </c>
      <c r="AM23" s="268">
        <v>32821.200000000004</v>
      </c>
      <c r="AN23" s="359">
        <v>36655.22</v>
      </c>
      <c r="AO23" s="359">
        <v>36655.22</v>
      </c>
      <c r="AP23" s="268">
        <v>32821.200000000004</v>
      </c>
      <c r="AQ23" s="268">
        <v>32821.200000000004</v>
      </c>
      <c r="AR23" s="359">
        <v>36655.200000000004</v>
      </c>
      <c r="AS23" s="268">
        <v>32821.200000000004</v>
      </c>
      <c r="AT23" s="268">
        <v>32821.200000000004</v>
      </c>
      <c r="AU23" s="359">
        <v>36655.200000000004</v>
      </c>
      <c r="AV23" s="359">
        <v>36655.200000000004</v>
      </c>
      <c r="AW23" s="38"/>
      <c r="AX23" s="38"/>
      <c r="AY23" s="31"/>
      <c r="AZ23" s="31"/>
      <c r="BA23" s="31"/>
    </row>
    <row r="24" spans="1:53" outlineLevel="1">
      <c r="A24" s="87" t="s">
        <v>126</v>
      </c>
      <c r="B24" s="366"/>
      <c r="C24" s="38"/>
      <c r="D24" s="375" t="s">
        <v>44</v>
      </c>
      <c r="E24" s="90"/>
      <c r="F24" s="90"/>
      <c r="G24" s="90"/>
      <c r="H24" s="90"/>
      <c r="I24" s="90"/>
      <c r="J24" s="90"/>
      <c r="K24" s="90"/>
      <c r="L24" s="90"/>
      <c r="M24" s="90"/>
      <c r="N24" s="90"/>
      <c r="O24" s="90"/>
      <c r="P24" s="90"/>
      <c r="Q24" s="90">
        <v>20938.5</v>
      </c>
      <c r="R24" s="90">
        <v>10177.919999999998</v>
      </c>
      <c r="S24" s="90">
        <v>13403.88</v>
      </c>
      <c r="T24" s="90">
        <v>10026.720000000001</v>
      </c>
      <c r="U24" s="90">
        <v>18209.88</v>
      </c>
      <c r="V24" s="90">
        <v>10209.780000000001</v>
      </c>
      <c r="W24" s="90">
        <v>16867.98</v>
      </c>
      <c r="X24" s="90">
        <v>14649.770160000002</v>
      </c>
      <c r="Y24" s="90">
        <v>15728.580000000002</v>
      </c>
      <c r="Z24" s="90">
        <f>Y24+Z17+((Z56+Z61+Z8-Z9+Z10-Z110-Z113-Z118-Z119-Z120-Z121-Z122-Z123-Z124-Z125-Z126-Z127-Z128-Z129-Z130-Z131-Z132-Z133-Z134-Z135-Z136-Z137-Z138-Z139-Z140-Z141-Z142-Z143-Z147-Z148-Z149-Z150-Z151-Z152-Z153-Z154-Z155-Z156-Z157-Z158-Z159-Z160-Z161-Z162-Z163)*1000)</f>
        <v>25479.838805474872</v>
      </c>
      <c r="AA24" s="90">
        <v>15617.668320000001</v>
      </c>
      <c r="AB24" s="90">
        <v>25090.560000000001</v>
      </c>
      <c r="AC24" s="90">
        <v>27014.839200000002</v>
      </c>
      <c r="AD24" s="90">
        <f>AC24+AD17+((AD56+AD61+AD8-AD9+AD10-AD110-AD113-AD118-AD119-AD120-AD121-AD122-AD123-AD124-AD125-AD126-AD127-AD128-AD129-AD130-AD131-AD132-AD133-AD134-AD135-AD136-AD137-AD138-AD139-AD140-AD141-AD142-AD143-AD147-AD148-AD149-AD150-AD151-AD152-AD153-AD154-AD155-AD156-AD157-AD158-AD159-AD160-AD161-AD162-AD163)*1000)</f>
        <v>12951.692701773027</v>
      </c>
      <c r="AE24" s="90">
        <f>AD24+AE17+((AE56+AE61+AE8-AE9+AE10-AE110-AE113-AE118-AE119-AE120-AE121-AE122-AE123-AE124-AE125-AE126-AE127-AE128-AE129-AE130-AE131-AE132-AE133-AE134-AE135-AE136-AE137-AE138-AE139-AE140-AE141-AE142-AE143-AE147-AE148-AE149-AE150-AE151-AE152-AE153-AE154-AE155-AE156-AE157-AE158-AE159-AE160-AE161-AE162-AE163)*1000)</f>
        <v>14310.692701773016</v>
      </c>
      <c r="AF24" s="90">
        <v>19415.000700000001</v>
      </c>
      <c r="AG24" s="90">
        <v>9421.9200000000019</v>
      </c>
      <c r="AH24" s="90">
        <v>10121.220000000001</v>
      </c>
      <c r="AI24" s="90">
        <v>10643.32</v>
      </c>
      <c r="AJ24" s="90">
        <f t="shared" ref="AJ24:AV24" si="38">AI24+AJ17+((AJ56+AJ61+AJ8-AJ9+AJ10-AJ110-AJ113-AJ118-AJ119-AJ120-AJ121-AJ122-AJ123-AJ124-AJ125-AJ126-AJ127-AJ128-AJ129-AJ130-AJ131-AJ132-AJ133-AJ134-AJ135-AJ136-AJ137-AJ138-AJ139-AJ140-AJ141-AJ142-AJ143-AJ147-AJ148-AJ149-AJ150-AJ151-AJ152-AJ153-AJ154-AJ155-AJ156-AJ157-AJ158-AJ159-AJ160-AJ161-AJ162-AJ163)*1000)</f>
        <v>16524.41090446592</v>
      </c>
      <c r="AK24" s="90">
        <f t="shared" si="38"/>
        <v>17486.758170614623</v>
      </c>
      <c r="AL24" s="90">
        <f t="shared" si="38"/>
        <v>16372.666155553987</v>
      </c>
      <c r="AM24" s="90">
        <f t="shared" si="38"/>
        <v>15428.49809188703</v>
      </c>
      <c r="AN24" s="90">
        <f t="shared" si="38"/>
        <v>17627.294026680927</v>
      </c>
      <c r="AO24" s="90">
        <f t="shared" si="38"/>
        <v>18369.117806602138</v>
      </c>
      <c r="AP24" s="90">
        <f t="shared" si="38"/>
        <v>15636.20367575085</v>
      </c>
      <c r="AQ24" s="90">
        <f t="shared" si="38"/>
        <v>15506.849426482859</v>
      </c>
      <c r="AR24" s="90">
        <f t="shared" si="38"/>
        <v>18471.48746125957</v>
      </c>
      <c r="AS24" s="90">
        <f t="shared" si="38"/>
        <v>15970.756496821476</v>
      </c>
      <c r="AT24" s="90">
        <f t="shared" si="38"/>
        <v>15904.073639913158</v>
      </c>
      <c r="AU24" s="90">
        <f t="shared" si="38"/>
        <v>17017.143145632675</v>
      </c>
      <c r="AV24" s="90">
        <f t="shared" si="38"/>
        <v>17460.167143999795</v>
      </c>
      <c r="AW24" s="38"/>
      <c r="AX24" s="38"/>
      <c r="AY24" s="31"/>
      <c r="AZ24" s="31"/>
      <c r="BA24" s="31"/>
    </row>
    <row r="25" spans="1:53" ht="15" outlineLevel="1" thickBot="1">
      <c r="A25" s="221" t="s">
        <v>151</v>
      </c>
      <c r="B25" s="368"/>
      <c r="C25" s="48"/>
      <c r="D25" s="376" t="s">
        <v>45</v>
      </c>
      <c r="E25" s="99" t="e">
        <f>E24/E23</f>
        <v>#DIV/0!</v>
      </c>
      <c r="F25" s="99" t="e">
        <f t="shared" ref="F25:AJ25" si="39">F24/F23</f>
        <v>#DIV/0!</v>
      </c>
      <c r="G25" s="99" t="e">
        <f t="shared" si="39"/>
        <v>#DIV/0!</v>
      </c>
      <c r="H25" s="116" t="e">
        <f t="shared" si="39"/>
        <v>#DIV/0!</v>
      </c>
      <c r="I25" s="116" t="e">
        <f t="shared" si="39"/>
        <v>#DIV/0!</v>
      </c>
      <c r="J25" s="116" t="e">
        <f t="shared" si="39"/>
        <v>#DIV/0!</v>
      </c>
      <c r="K25" s="116" t="e">
        <f t="shared" si="39"/>
        <v>#DIV/0!</v>
      </c>
      <c r="L25" s="116" t="e">
        <f t="shared" si="39"/>
        <v>#DIV/0!</v>
      </c>
      <c r="M25" s="116" t="e">
        <f t="shared" si="39"/>
        <v>#DIV/0!</v>
      </c>
      <c r="N25" s="116" t="e">
        <f t="shared" si="39"/>
        <v>#DIV/0!</v>
      </c>
      <c r="O25" s="116" t="e">
        <f t="shared" si="39"/>
        <v>#DIV/0!</v>
      </c>
      <c r="P25" s="116" t="e">
        <f t="shared" si="39"/>
        <v>#DIV/0!</v>
      </c>
      <c r="Q25" s="116">
        <f t="shared" si="39"/>
        <v>0.59874237935649166</v>
      </c>
      <c r="R25" s="402">
        <f t="shared" si="39"/>
        <v>0.29104052523819868</v>
      </c>
      <c r="S25" s="403">
        <f t="shared" si="39"/>
        <v>0.38328777151223303</v>
      </c>
      <c r="T25" s="403">
        <f t="shared" si="39"/>
        <v>0.28671691811454131</v>
      </c>
      <c r="U25" s="403">
        <f t="shared" si="39"/>
        <v>0.5207167122284877</v>
      </c>
      <c r="V25" s="403">
        <f t="shared" si="39"/>
        <v>0.26310882271082664</v>
      </c>
      <c r="W25" s="403">
        <f t="shared" si="39"/>
        <v>0.43469245755635955</v>
      </c>
      <c r="X25" s="403">
        <f t="shared" si="39"/>
        <v>0.3775246917907063</v>
      </c>
      <c r="Y25" s="403">
        <f t="shared" si="39"/>
        <v>0.40532980795992202</v>
      </c>
      <c r="Z25" s="403">
        <f t="shared" si="39"/>
        <v>0.72861159167395484</v>
      </c>
      <c r="AA25" s="403">
        <f t="shared" si="39"/>
        <v>0.47584086870681142</v>
      </c>
      <c r="AB25" s="403">
        <f t="shared" si="39"/>
        <v>0.68450168898181485</v>
      </c>
      <c r="AC25" s="403">
        <f t="shared" si="39"/>
        <v>0.73699841932472376</v>
      </c>
      <c r="AD25" s="403">
        <f t="shared" si="39"/>
        <v>0.39461362478437795</v>
      </c>
      <c r="AE25" s="403">
        <f t="shared" si="39"/>
        <v>0.43601978909281242</v>
      </c>
      <c r="AF25" s="403">
        <f t="shared" si="39"/>
        <v>0.52966565998821447</v>
      </c>
      <c r="AG25" s="403">
        <f t="shared" si="39"/>
        <v>0.25704183853859752</v>
      </c>
      <c r="AH25" s="403">
        <f t="shared" si="39"/>
        <v>0.30837446528463308</v>
      </c>
      <c r="AI25" s="403">
        <f t="shared" si="39"/>
        <v>0.32428186659841807</v>
      </c>
      <c r="AJ25" s="403">
        <f t="shared" si="39"/>
        <v>0.45080673149964856</v>
      </c>
      <c r="AK25" s="403">
        <f t="shared" ref="AK25:AP25" si="40">AK24/AK23</f>
        <v>0.47706051609060379</v>
      </c>
      <c r="AL25" s="403">
        <f t="shared" si="40"/>
        <v>0.4988442273760248</v>
      </c>
      <c r="AM25" s="403">
        <f t="shared" si="40"/>
        <v>0.4700772089956195</v>
      </c>
      <c r="AN25" s="403">
        <f t="shared" si="40"/>
        <v>0.48089450906803799</v>
      </c>
      <c r="AO25" s="403">
        <f t="shared" si="40"/>
        <v>0.5011323845990322</v>
      </c>
      <c r="AP25" s="403">
        <f t="shared" si="40"/>
        <v>0.47640560600315796</v>
      </c>
      <c r="AQ25" s="403">
        <f t="shared" ref="AQ25:AR25" si="41">AQ24/AQ23</f>
        <v>0.47246442623922513</v>
      </c>
      <c r="AR25" s="403">
        <f t="shared" si="41"/>
        <v>0.50392543107825272</v>
      </c>
      <c r="AS25" s="403">
        <f t="shared" ref="AS25:AT25" si="42">AS24/AS23</f>
        <v>0.48659879885017837</v>
      </c>
      <c r="AT25" s="403">
        <f t="shared" si="42"/>
        <v>0.48456709809248766</v>
      </c>
      <c r="AU25" s="403">
        <f t="shared" ref="AU25:AV25" si="43">AU24/AU23</f>
        <v>0.46424908732274472</v>
      </c>
      <c r="AV25" s="403">
        <f t="shared" si="43"/>
        <v>0.47633533970622977</v>
      </c>
      <c r="AW25" s="38"/>
      <c r="AX25" s="38"/>
      <c r="AY25" s="31"/>
      <c r="AZ25" s="31"/>
      <c r="BA25" s="31"/>
    </row>
    <row r="26" spans="1:53" ht="16" outlineLevel="1" thickBot="1">
      <c r="A26" s="545" t="s">
        <v>206</v>
      </c>
      <c r="B26" s="546"/>
      <c r="C26" s="547"/>
      <c r="D26" s="548"/>
      <c r="E26" s="31"/>
      <c r="F26" s="31"/>
      <c r="G26" s="217">
        <v>43678</v>
      </c>
      <c r="H26" s="217">
        <v>43698</v>
      </c>
      <c r="I26" s="31"/>
      <c r="J26" s="31"/>
      <c r="K26" s="31"/>
      <c r="L26" s="272">
        <f t="shared" ref="L26:Q26" si="44">L30/1000</f>
        <v>0</v>
      </c>
      <c r="M26" s="272">
        <f t="shared" si="44"/>
        <v>0</v>
      </c>
      <c r="N26" s="272">
        <f t="shared" si="44"/>
        <v>0</v>
      </c>
      <c r="O26" s="272">
        <f t="shared" si="44"/>
        <v>0</v>
      </c>
      <c r="P26" s="272">
        <f t="shared" si="44"/>
        <v>0</v>
      </c>
      <c r="Q26" s="272">
        <f t="shared" si="44"/>
        <v>0</v>
      </c>
      <c r="R26" s="272"/>
      <c r="S26" s="272"/>
      <c r="T26" s="272"/>
      <c r="U26" s="272"/>
      <c r="V26" s="272"/>
      <c r="W26" s="272"/>
      <c r="X26" s="272"/>
      <c r="Y26" s="272"/>
      <c r="Z26" s="272"/>
      <c r="AA26" s="272"/>
      <c r="AB26" s="272"/>
      <c r="AC26" s="272"/>
      <c r="AD26" s="272"/>
      <c r="AE26" s="272"/>
      <c r="AF26" s="272"/>
      <c r="AG26" s="272"/>
      <c r="AH26" s="272"/>
      <c r="AI26" s="272"/>
      <c r="AJ26" s="272"/>
      <c r="AK26" s="272"/>
      <c r="AL26" s="272"/>
      <c r="AM26" s="272"/>
      <c r="AN26" s="272"/>
      <c r="AO26" s="272"/>
      <c r="AP26" s="272"/>
      <c r="AQ26" s="272"/>
      <c r="AR26" s="272"/>
      <c r="AS26" s="272"/>
      <c r="AT26" s="272"/>
      <c r="AU26" s="272"/>
      <c r="AV26" s="272"/>
      <c r="AW26" s="38"/>
      <c r="AX26" s="38"/>
      <c r="AY26" s="31"/>
      <c r="AZ26" s="31"/>
      <c r="BA26" s="31"/>
    </row>
    <row r="27" spans="1:53" s="75" customFormat="1" ht="15" outlineLevel="1" thickBot="1">
      <c r="A27" s="802" t="s">
        <v>32</v>
      </c>
      <c r="B27" s="803"/>
      <c r="C27" s="549"/>
      <c r="D27" s="550"/>
      <c r="E27" s="77">
        <v>43587</v>
      </c>
      <c r="F27" s="78">
        <v>43618</v>
      </c>
      <c r="G27" s="78">
        <v>43648</v>
      </c>
      <c r="H27" s="78">
        <v>43679</v>
      </c>
      <c r="I27" s="229">
        <v>43710</v>
      </c>
      <c r="J27" s="229">
        <v>43740</v>
      </c>
      <c r="K27" s="78">
        <v>43771</v>
      </c>
      <c r="L27" s="258">
        <v>43801</v>
      </c>
      <c r="M27" s="229">
        <v>43832</v>
      </c>
      <c r="N27" s="229">
        <v>43863</v>
      </c>
      <c r="O27" s="78">
        <v>43892</v>
      </c>
      <c r="P27" s="78">
        <v>43923</v>
      </c>
      <c r="Q27" s="78">
        <v>43953</v>
      </c>
      <c r="R27" s="229">
        <v>43984</v>
      </c>
      <c r="S27" s="229">
        <v>44014</v>
      </c>
      <c r="T27" s="229">
        <v>44045</v>
      </c>
      <c r="U27" s="229">
        <v>44076</v>
      </c>
      <c r="V27" s="229">
        <v>44106</v>
      </c>
      <c r="W27" s="229">
        <v>44137</v>
      </c>
      <c r="X27" s="229">
        <v>44167</v>
      </c>
      <c r="Y27" s="229">
        <v>44198</v>
      </c>
      <c r="Z27" s="229">
        <f t="shared" ref="Z27:AL27" si="45">Z3</f>
        <v>44229</v>
      </c>
      <c r="AA27" s="229">
        <f t="shared" si="45"/>
        <v>44257</v>
      </c>
      <c r="AB27" s="229">
        <f t="shared" si="45"/>
        <v>44288</v>
      </c>
      <c r="AC27" s="229">
        <f t="shared" si="45"/>
        <v>44318</v>
      </c>
      <c r="AD27" s="229">
        <f t="shared" si="45"/>
        <v>44349</v>
      </c>
      <c r="AE27" s="229">
        <f t="shared" si="45"/>
        <v>44379</v>
      </c>
      <c r="AF27" s="229">
        <f t="shared" si="45"/>
        <v>44410</v>
      </c>
      <c r="AG27" s="229">
        <f t="shared" si="45"/>
        <v>44441</v>
      </c>
      <c r="AH27" s="229">
        <f t="shared" si="45"/>
        <v>44471</v>
      </c>
      <c r="AI27" s="229">
        <f t="shared" si="45"/>
        <v>44502</v>
      </c>
      <c r="AJ27" s="229">
        <f t="shared" si="45"/>
        <v>44532</v>
      </c>
      <c r="AK27" s="229">
        <f t="shared" si="45"/>
        <v>44563</v>
      </c>
      <c r="AL27" s="229">
        <f t="shared" si="45"/>
        <v>44594</v>
      </c>
      <c r="AM27" s="229">
        <f t="shared" ref="AM27:AN27" si="46">AM3</f>
        <v>44622</v>
      </c>
      <c r="AN27" s="229">
        <f t="shared" si="46"/>
        <v>44653</v>
      </c>
      <c r="AO27" s="229">
        <f t="shared" ref="AO27:AP27" si="47">AO3</f>
        <v>44683</v>
      </c>
      <c r="AP27" s="229">
        <f t="shared" si="47"/>
        <v>44714</v>
      </c>
      <c r="AQ27" s="229">
        <f t="shared" ref="AQ27:AR27" si="48">AQ3</f>
        <v>44744</v>
      </c>
      <c r="AR27" s="229">
        <f t="shared" si="48"/>
        <v>44775</v>
      </c>
      <c r="AS27" s="229">
        <f t="shared" ref="AS27:AT27" si="49">AS3</f>
        <v>44806</v>
      </c>
      <c r="AT27" s="229">
        <f t="shared" si="49"/>
        <v>44836</v>
      </c>
      <c r="AU27" s="229">
        <f t="shared" ref="AU27:AV27" si="50">AU3</f>
        <v>44867</v>
      </c>
      <c r="AV27" s="229">
        <f t="shared" si="50"/>
        <v>44897</v>
      </c>
      <c r="AW27" s="31"/>
      <c r="AX27" s="73"/>
      <c r="AY27" s="74"/>
      <c r="AZ27" s="74"/>
      <c r="BA27" s="74"/>
    </row>
    <row r="28" spans="1:53" outlineLevel="1">
      <c r="A28" s="551" t="s">
        <v>3</v>
      </c>
      <c r="B28" s="552"/>
      <c r="C28" s="553"/>
      <c r="D28" s="554"/>
      <c r="E28" s="92"/>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89"/>
      <c r="AH28" s="89"/>
      <c r="AI28" s="89"/>
      <c r="AJ28" s="89"/>
      <c r="AK28" s="89"/>
      <c r="AL28" s="89"/>
      <c r="AM28" s="89"/>
      <c r="AN28" s="89"/>
      <c r="AO28" s="89"/>
      <c r="AP28" s="89"/>
      <c r="AQ28" s="89"/>
      <c r="AR28" s="89"/>
      <c r="AS28" s="89"/>
      <c r="AT28" s="89"/>
      <c r="AU28" s="89"/>
      <c r="AV28" s="89"/>
      <c r="AW28" s="38"/>
      <c r="AX28" s="38"/>
      <c r="AY28" s="31"/>
      <c r="AZ28" s="31"/>
      <c r="BA28" s="31"/>
    </row>
    <row r="29" spans="1:53" outlineLevel="1">
      <c r="A29" s="555" t="s">
        <v>182</v>
      </c>
      <c r="B29" s="556"/>
      <c r="C29" s="557"/>
      <c r="D29" s="558" t="s">
        <v>44</v>
      </c>
      <c r="E29" s="82"/>
      <c r="F29" s="82"/>
      <c r="G29" s="82"/>
      <c r="H29" s="83"/>
      <c r="I29" s="82"/>
      <c r="J29" s="83"/>
      <c r="K29" s="82"/>
      <c r="L29" s="82"/>
      <c r="M29" s="82"/>
      <c r="N29" s="82"/>
      <c r="O29" s="82"/>
      <c r="P29" s="82"/>
      <c r="Q29" s="82"/>
      <c r="R29" s="82"/>
      <c r="S29" s="82"/>
      <c r="T29" s="82"/>
      <c r="U29" s="82"/>
      <c r="V29" s="82"/>
      <c r="W29" s="82"/>
      <c r="X29" s="82"/>
      <c r="Y29" s="359">
        <v>11502</v>
      </c>
      <c r="Z29" s="359">
        <v>11502.000000000002</v>
      </c>
      <c r="AA29" s="359">
        <v>11502.000000000002</v>
      </c>
      <c r="AB29" s="359">
        <v>11502.000000000002</v>
      </c>
      <c r="AC29" s="359">
        <v>11502.000000000002</v>
      </c>
      <c r="AD29" s="359">
        <v>11502.000000000002</v>
      </c>
      <c r="AE29" s="359">
        <v>11502.000000000002</v>
      </c>
      <c r="AF29" s="359">
        <v>11502.000000000002</v>
      </c>
      <c r="AG29" s="359">
        <v>11502.000000000002</v>
      </c>
      <c r="AH29" s="359">
        <v>11502.000000000002</v>
      </c>
      <c r="AI29" s="359">
        <v>11502.000000000002</v>
      </c>
      <c r="AJ29" s="359">
        <v>11502.000000000002</v>
      </c>
      <c r="AK29" s="359">
        <v>11502.000000000002</v>
      </c>
      <c r="AL29" s="359">
        <v>11502.000000000002</v>
      </c>
      <c r="AM29" s="359">
        <v>11502.000000000002</v>
      </c>
      <c r="AN29" s="359">
        <v>11502.000000000002</v>
      </c>
      <c r="AO29" s="359">
        <v>11502.000000000002</v>
      </c>
      <c r="AP29" s="359">
        <v>11502.000000000002</v>
      </c>
      <c r="AQ29" s="359">
        <v>11502.000000000002</v>
      </c>
      <c r="AR29" s="359">
        <v>11502.000000000002</v>
      </c>
      <c r="AS29" s="359">
        <v>11502.000000000002</v>
      </c>
      <c r="AT29" s="359">
        <v>11502.000000000002</v>
      </c>
      <c r="AU29" s="359">
        <v>11502.000000000002</v>
      </c>
      <c r="AV29" s="359">
        <v>11502.000000000002</v>
      </c>
      <c r="AW29" s="38"/>
      <c r="AX29" s="38"/>
      <c r="AY29" s="31"/>
      <c r="AZ29" s="31"/>
      <c r="BA29" s="31"/>
    </row>
    <row r="30" spans="1:53" outlineLevel="1">
      <c r="A30" s="555" t="s">
        <v>183</v>
      </c>
      <c r="B30" s="556"/>
      <c r="C30" s="557"/>
      <c r="D30" s="558" t="s">
        <v>44</v>
      </c>
      <c r="E30" s="90"/>
      <c r="F30" s="90"/>
      <c r="G30" s="90"/>
      <c r="H30" s="90"/>
      <c r="I30" s="90"/>
      <c r="J30" s="90"/>
      <c r="K30" s="90"/>
      <c r="L30" s="90"/>
      <c r="M30" s="90"/>
      <c r="N30" s="90"/>
      <c r="O30" s="90"/>
      <c r="P30" s="90"/>
      <c r="Q30" s="90"/>
      <c r="R30" s="90"/>
      <c r="S30" s="90"/>
      <c r="T30" s="90"/>
      <c r="U30" s="90"/>
      <c r="V30" s="90"/>
      <c r="W30" s="90"/>
      <c r="X30" s="90"/>
      <c r="Y30" s="90">
        <v>3245.94</v>
      </c>
      <c r="Z30" s="90">
        <f>Y30-Z31+(Z57-Z110-Z113)*1000</f>
        <v>3358.3049839286928</v>
      </c>
      <c r="AA30" s="90">
        <v>4658.3424000000005</v>
      </c>
      <c r="AB30" s="90">
        <v>9310.68</v>
      </c>
      <c r="AC30" s="90">
        <v>8355.8142000000007</v>
      </c>
      <c r="AD30" s="90">
        <f>AC30-AD31+(AD57-AD110-AD113)*1000</f>
        <v>5189.8141999999971</v>
      </c>
      <c r="AE30" s="90">
        <f>AD30-AE31+(AE57-AE110-AE113)*1000</f>
        <v>3397.6429183697655</v>
      </c>
      <c r="AF30" s="90">
        <f>AE30-AF31+(AF57-AF110-AF113)*1000</f>
        <v>5601.1601597491044</v>
      </c>
      <c r="AG30" s="90">
        <v>3600.1800000000003</v>
      </c>
      <c r="AH30" s="90">
        <v>2623.86</v>
      </c>
      <c r="AI30" s="90">
        <v>3327.4800000000005</v>
      </c>
      <c r="AJ30" s="90">
        <f t="shared" ref="AJ30:AV30" si="51">AI30-AJ31+(AJ57-AJ110-AJ113)*1000</f>
        <v>9232.1898402018778</v>
      </c>
      <c r="AK30" s="90">
        <f t="shared" si="51"/>
        <v>7133.2579646762415</v>
      </c>
      <c r="AL30" s="90">
        <f t="shared" si="51"/>
        <v>9470.1063959715211</v>
      </c>
      <c r="AM30" s="90">
        <f t="shared" si="51"/>
        <v>-4760.8448235406777</v>
      </c>
      <c r="AN30" s="90">
        <f t="shared" si="51"/>
        <v>-8438.2788016735394</v>
      </c>
      <c r="AO30" s="90">
        <f t="shared" si="51"/>
        <v>-29601.062653650002</v>
      </c>
      <c r="AP30" s="90">
        <f t="shared" si="51"/>
        <v>-57005.743936965489</v>
      </c>
      <c r="AQ30" s="90">
        <f t="shared" si="51"/>
        <v>-83074.351573113207</v>
      </c>
      <c r="AR30" s="90">
        <f t="shared" si="51"/>
        <v>-109772.75678833014</v>
      </c>
      <c r="AS30" s="90">
        <f t="shared" si="51"/>
        <v>-136012.91584360087</v>
      </c>
      <c r="AT30" s="90">
        <f t="shared" si="51"/>
        <v>-163478.81839770294</v>
      </c>
      <c r="AU30" s="90">
        <f t="shared" si="51"/>
        <v>-190886.12201574296</v>
      </c>
      <c r="AV30" s="90">
        <f t="shared" si="51"/>
        <v>-214660.59914763816</v>
      </c>
      <c r="AW30" s="38"/>
      <c r="AX30" s="38"/>
      <c r="AY30" s="31"/>
      <c r="AZ30" s="31"/>
      <c r="BA30" s="31"/>
    </row>
    <row r="31" spans="1:53" outlineLevel="1">
      <c r="A31" s="555" t="s">
        <v>194</v>
      </c>
      <c r="B31" s="556"/>
      <c r="C31" s="557"/>
      <c r="D31" s="558"/>
      <c r="E31" s="90"/>
      <c r="F31" s="90"/>
      <c r="G31" s="90"/>
      <c r="H31" s="90"/>
      <c r="I31" s="90"/>
      <c r="J31" s="90"/>
      <c r="K31" s="90"/>
      <c r="L31" s="90"/>
      <c r="M31" s="90"/>
      <c r="N31" s="90"/>
      <c r="O31" s="90"/>
      <c r="P31" s="90"/>
      <c r="Q31" s="90"/>
      <c r="R31" s="90"/>
      <c r="S31" s="90"/>
      <c r="T31" s="90"/>
      <c r="U31" s="90"/>
      <c r="V31" s="90"/>
      <c r="W31" s="90"/>
      <c r="X31" s="90"/>
      <c r="Y31" s="90"/>
      <c r="Z31" s="90">
        <v>1000</v>
      </c>
      <c r="AA31" s="90">
        <v>6000</v>
      </c>
      <c r="AB31" s="90">
        <v>5000</v>
      </c>
      <c r="AC31" s="90">
        <f>1000+2000</f>
        <v>3000</v>
      </c>
      <c r="AD31" s="90">
        <v>1000</v>
      </c>
      <c r="AE31" s="90">
        <v>1000</v>
      </c>
      <c r="AF31" s="90">
        <v>1000</v>
      </c>
      <c r="AG31" s="90">
        <v>15000</v>
      </c>
      <c r="AH31" s="90">
        <v>15000</v>
      </c>
      <c r="AI31" s="90">
        <v>15000</v>
      </c>
      <c r="AJ31" s="90">
        <v>6000</v>
      </c>
      <c r="AK31" s="90">
        <v>3000</v>
      </c>
      <c r="AL31" s="90">
        <v>9000</v>
      </c>
      <c r="AM31" s="90">
        <v>1000</v>
      </c>
      <c r="AN31" s="90">
        <v>6000</v>
      </c>
      <c r="AO31" s="90">
        <v>15000</v>
      </c>
      <c r="AP31" s="90">
        <v>15000</v>
      </c>
      <c r="AQ31" s="90">
        <v>15000</v>
      </c>
      <c r="AR31" s="90">
        <v>15000</v>
      </c>
      <c r="AS31" s="90">
        <v>15000</v>
      </c>
      <c r="AT31" s="90">
        <v>15000</v>
      </c>
      <c r="AU31" s="90">
        <v>15000</v>
      </c>
      <c r="AV31" s="90">
        <v>15000</v>
      </c>
      <c r="AW31" s="38"/>
      <c r="AX31" s="38"/>
      <c r="AY31" s="31"/>
      <c r="AZ31" s="31"/>
      <c r="BA31" s="31"/>
    </row>
    <row r="32" spans="1:53" ht="15" outlineLevel="1" thickBot="1">
      <c r="A32" s="559" t="s">
        <v>184</v>
      </c>
      <c r="B32" s="560"/>
      <c r="C32" s="561"/>
      <c r="D32" s="562" t="s">
        <v>45</v>
      </c>
      <c r="E32" s="99"/>
      <c r="F32" s="99"/>
      <c r="G32" s="99"/>
      <c r="H32" s="116"/>
      <c r="I32" s="116"/>
      <c r="J32" s="116"/>
      <c r="K32" s="116"/>
      <c r="L32" s="116"/>
      <c r="M32" s="116"/>
      <c r="N32" s="116"/>
      <c r="O32" s="116"/>
      <c r="P32" s="116"/>
      <c r="Q32" s="116"/>
      <c r="R32" s="116"/>
      <c r="S32" s="116"/>
      <c r="T32" s="116"/>
      <c r="U32" s="116"/>
      <c r="V32" s="116"/>
      <c r="W32" s="116"/>
      <c r="X32" s="116"/>
      <c r="Y32" s="116"/>
      <c r="Z32" s="541">
        <f t="shared" ref="Z32:AJ32" si="52">Z30/Z29</f>
        <v>0.29197574195172077</v>
      </c>
      <c r="AA32" s="541">
        <f t="shared" si="52"/>
        <v>0.40500281690140844</v>
      </c>
      <c r="AB32" s="541">
        <f t="shared" si="52"/>
        <v>0.80948356807511723</v>
      </c>
      <c r="AC32" s="541">
        <f t="shared" si="52"/>
        <v>0.72646619718309857</v>
      </c>
      <c r="AD32" s="541">
        <f t="shared" si="52"/>
        <v>0.45120972004868687</v>
      </c>
      <c r="AE32" s="541">
        <f t="shared" si="52"/>
        <v>0.2953958371039615</v>
      </c>
      <c r="AF32" s="541">
        <f t="shared" si="52"/>
        <v>0.48697271428874139</v>
      </c>
      <c r="AG32" s="541">
        <f t="shared" si="52"/>
        <v>0.31300469483568072</v>
      </c>
      <c r="AH32" s="541">
        <f t="shared" si="52"/>
        <v>0.2281220657276995</v>
      </c>
      <c r="AI32" s="541">
        <f t="shared" si="52"/>
        <v>0.2892957746478873</v>
      </c>
      <c r="AJ32" s="541">
        <f t="shared" si="52"/>
        <v>0.80265952357867121</v>
      </c>
      <c r="AK32" s="541">
        <f t="shared" ref="AK32:AP32" si="53">AK30/AK29</f>
        <v>0.62017544467712049</v>
      </c>
      <c r="AL32" s="541">
        <f t="shared" si="53"/>
        <v>0.82334432237624067</v>
      </c>
      <c r="AM32" s="541">
        <f t="shared" si="53"/>
        <v>-0.41391452126070916</v>
      </c>
      <c r="AN32" s="541">
        <f t="shared" si="53"/>
        <v>-0.7336357852263552</v>
      </c>
      <c r="AO32" s="541">
        <f t="shared" si="53"/>
        <v>-2.5735578728612412</v>
      </c>
      <c r="AP32" s="541">
        <f t="shared" si="53"/>
        <v>-4.9561592711672304</v>
      </c>
      <c r="AQ32" s="541">
        <f t="shared" ref="AQ32:AR32" si="54">AQ30/AQ29</f>
        <v>-7.2226005540873928</v>
      </c>
      <c r="AR32" s="541">
        <f t="shared" si="54"/>
        <v>-9.5437973211902385</v>
      </c>
      <c r="AS32" s="541">
        <f t="shared" ref="AS32:AT32" si="55">AS30/AS29</f>
        <v>-11.82515352491748</v>
      </c>
      <c r="AT32" s="541">
        <f t="shared" si="55"/>
        <v>-14.213077586306982</v>
      </c>
      <c r="AU32" s="541">
        <f t="shared" ref="AU32:AV32" si="56">AU30/AU29</f>
        <v>-16.595906974069113</v>
      </c>
      <c r="AV32" s="541">
        <f t="shared" si="56"/>
        <v>-18.662893335736232</v>
      </c>
      <c r="AW32" s="38"/>
      <c r="AX32" s="38"/>
      <c r="AY32" s="31"/>
      <c r="AZ32" s="31"/>
      <c r="BA32" s="31"/>
    </row>
    <row r="33" spans="1:53" ht="16" outlineLevel="1" thickBot="1">
      <c r="A33" s="545" t="s">
        <v>185</v>
      </c>
      <c r="B33" s="546"/>
      <c r="C33" s="547"/>
      <c r="D33" s="548"/>
      <c r="E33" s="31"/>
      <c r="F33" s="31"/>
      <c r="G33" s="217">
        <v>43678</v>
      </c>
      <c r="H33" s="217">
        <v>43698</v>
      </c>
      <c r="I33" s="31"/>
      <c r="J33" s="31"/>
      <c r="K33" s="31"/>
      <c r="L33" s="272">
        <f t="shared" ref="L33:Q33" si="57">L37/1000</f>
        <v>0</v>
      </c>
      <c r="M33" s="272">
        <f t="shared" si="57"/>
        <v>0</v>
      </c>
      <c r="N33" s="272">
        <f t="shared" si="57"/>
        <v>0</v>
      </c>
      <c r="O33" s="272">
        <f t="shared" si="57"/>
        <v>0</v>
      </c>
      <c r="P33" s="272">
        <f t="shared" si="57"/>
        <v>0</v>
      </c>
      <c r="Q33" s="272">
        <f t="shared" si="57"/>
        <v>0</v>
      </c>
      <c r="R33" s="272"/>
      <c r="S33" s="272"/>
      <c r="T33" s="272"/>
      <c r="U33" s="272"/>
      <c r="V33" s="272"/>
      <c r="W33" s="272"/>
      <c r="X33" s="272"/>
      <c r="Y33" s="272"/>
      <c r="Z33" s="272"/>
      <c r="AA33" s="272"/>
      <c r="AB33" s="272"/>
      <c r="AC33" s="272"/>
      <c r="AD33" s="272"/>
      <c r="AE33" s="272"/>
      <c r="AF33" s="272"/>
      <c r="AG33" s="272"/>
      <c r="AH33" s="272"/>
      <c r="AI33" s="272"/>
      <c r="AJ33" s="272"/>
      <c r="AK33" s="272"/>
      <c r="AL33" s="272"/>
      <c r="AM33" s="272"/>
      <c r="AN33" s="272"/>
      <c r="AO33" s="272"/>
      <c r="AP33" s="272"/>
      <c r="AQ33" s="272"/>
      <c r="AR33" s="272"/>
      <c r="AS33" s="272"/>
      <c r="AT33" s="272"/>
      <c r="AU33" s="272"/>
      <c r="AV33" s="272"/>
      <c r="AW33" s="38"/>
      <c r="AX33" s="38"/>
      <c r="AY33" s="31"/>
      <c r="AZ33" s="31"/>
      <c r="BA33" s="31"/>
    </row>
    <row r="34" spans="1:53" s="75" customFormat="1" ht="15" outlineLevel="1" thickBot="1">
      <c r="A34" s="802" t="s">
        <v>32</v>
      </c>
      <c r="B34" s="803"/>
      <c r="C34" s="549"/>
      <c r="D34" s="550"/>
      <c r="E34" s="77">
        <v>43587</v>
      </c>
      <c r="F34" s="78">
        <v>43618</v>
      </c>
      <c r="G34" s="78">
        <v>43648</v>
      </c>
      <c r="H34" s="78">
        <v>43679</v>
      </c>
      <c r="I34" s="229">
        <v>43710</v>
      </c>
      <c r="J34" s="229">
        <v>43740</v>
      </c>
      <c r="K34" s="78">
        <v>43771</v>
      </c>
      <c r="L34" s="258">
        <v>43801</v>
      </c>
      <c r="M34" s="229">
        <v>43832</v>
      </c>
      <c r="N34" s="229">
        <v>43863</v>
      </c>
      <c r="O34" s="78">
        <v>43892</v>
      </c>
      <c r="P34" s="78">
        <v>43923</v>
      </c>
      <c r="Q34" s="78">
        <v>43953</v>
      </c>
      <c r="R34" s="229">
        <v>43984</v>
      </c>
      <c r="S34" s="229">
        <v>44014</v>
      </c>
      <c r="T34" s="229">
        <v>44045</v>
      </c>
      <c r="U34" s="229">
        <v>44076</v>
      </c>
      <c r="V34" s="229">
        <v>44106</v>
      </c>
      <c r="W34" s="229">
        <v>44137</v>
      </c>
      <c r="X34" s="229">
        <v>44167</v>
      </c>
      <c r="Y34" s="229">
        <v>44198</v>
      </c>
      <c r="Z34" s="229">
        <f t="shared" ref="Z34:AL34" si="58">Z3</f>
        <v>44229</v>
      </c>
      <c r="AA34" s="229">
        <f t="shared" si="58"/>
        <v>44257</v>
      </c>
      <c r="AB34" s="229">
        <f t="shared" si="58"/>
        <v>44288</v>
      </c>
      <c r="AC34" s="229">
        <f t="shared" si="58"/>
        <v>44318</v>
      </c>
      <c r="AD34" s="229">
        <f t="shared" si="58"/>
        <v>44349</v>
      </c>
      <c r="AE34" s="229">
        <f t="shared" si="58"/>
        <v>44379</v>
      </c>
      <c r="AF34" s="229">
        <f t="shared" si="58"/>
        <v>44410</v>
      </c>
      <c r="AG34" s="229">
        <f t="shared" si="58"/>
        <v>44441</v>
      </c>
      <c r="AH34" s="229">
        <f t="shared" si="58"/>
        <v>44471</v>
      </c>
      <c r="AI34" s="229">
        <f t="shared" si="58"/>
        <v>44502</v>
      </c>
      <c r="AJ34" s="229">
        <f t="shared" si="58"/>
        <v>44532</v>
      </c>
      <c r="AK34" s="229">
        <f t="shared" si="58"/>
        <v>44563</v>
      </c>
      <c r="AL34" s="229">
        <f t="shared" si="58"/>
        <v>44594</v>
      </c>
      <c r="AM34" s="229">
        <f t="shared" ref="AM34:AN34" si="59">AM3</f>
        <v>44622</v>
      </c>
      <c r="AN34" s="229">
        <f t="shared" si="59"/>
        <v>44653</v>
      </c>
      <c r="AO34" s="229">
        <f t="shared" ref="AO34:AP34" si="60">AO3</f>
        <v>44683</v>
      </c>
      <c r="AP34" s="229">
        <f t="shared" si="60"/>
        <v>44714</v>
      </c>
      <c r="AQ34" s="229">
        <f t="shared" ref="AQ34:AR34" si="61">AQ3</f>
        <v>44744</v>
      </c>
      <c r="AR34" s="229">
        <f t="shared" si="61"/>
        <v>44775</v>
      </c>
      <c r="AS34" s="229">
        <f t="shared" ref="AS34:AT34" si="62">AS3</f>
        <v>44806</v>
      </c>
      <c r="AT34" s="229">
        <f t="shared" si="62"/>
        <v>44836</v>
      </c>
      <c r="AU34" s="229">
        <f t="shared" ref="AU34:AV34" si="63">AU3</f>
        <v>44867</v>
      </c>
      <c r="AV34" s="229">
        <f t="shared" si="63"/>
        <v>44897</v>
      </c>
      <c r="AW34" s="31"/>
      <c r="AX34" s="73"/>
      <c r="AY34" s="74"/>
      <c r="AZ34" s="74"/>
      <c r="BA34" s="74"/>
    </row>
    <row r="35" spans="1:53" outlineLevel="1">
      <c r="A35" s="551" t="s">
        <v>3</v>
      </c>
      <c r="B35" s="552"/>
      <c r="C35" s="553"/>
      <c r="D35" s="554"/>
      <c r="E35" s="92"/>
      <c r="F35" s="89"/>
      <c r="G35" s="89"/>
      <c r="H35" s="89"/>
      <c r="I35" s="89"/>
      <c r="J35" s="89"/>
      <c r="K35" s="89"/>
      <c r="L35" s="89"/>
      <c r="M35" s="89"/>
      <c r="N35" s="89"/>
      <c r="O35" s="89"/>
      <c r="P35" s="89"/>
      <c r="Q35" s="89"/>
      <c r="R35" s="89"/>
      <c r="S35" s="89"/>
      <c r="T35" s="89"/>
      <c r="U35" s="89"/>
      <c r="V35" s="89"/>
      <c r="W35" s="89"/>
      <c r="X35" s="89"/>
      <c r="Y35" s="89"/>
      <c r="Z35" s="89"/>
      <c r="AA35" s="89"/>
      <c r="AB35" s="89"/>
      <c r="AC35" s="89"/>
      <c r="AD35" s="89"/>
      <c r="AE35" s="89"/>
      <c r="AF35" s="89"/>
      <c r="AG35" s="89"/>
      <c r="AH35" s="89"/>
      <c r="AI35" s="89"/>
      <c r="AJ35" s="89"/>
      <c r="AK35" s="89"/>
      <c r="AL35" s="89"/>
      <c r="AM35" s="89"/>
      <c r="AN35" s="89"/>
      <c r="AO35" s="89"/>
      <c r="AP35" s="89"/>
      <c r="AQ35" s="89"/>
      <c r="AR35" s="89"/>
      <c r="AS35" s="89"/>
      <c r="AT35" s="89"/>
      <c r="AU35" s="89"/>
      <c r="AV35" s="89"/>
      <c r="AW35" s="38"/>
      <c r="AX35" s="38"/>
      <c r="AY35" s="31"/>
      <c r="AZ35" s="31"/>
      <c r="BA35" s="31"/>
    </row>
    <row r="36" spans="1:53" outlineLevel="1">
      <c r="A36" s="555" t="s">
        <v>190</v>
      </c>
      <c r="B36" s="556"/>
      <c r="C36" s="557"/>
      <c r="D36" s="558" t="s">
        <v>44</v>
      </c>
      <c r="E36" s="82"/>
      <c r="F36" s="82"/>
      <c r="G36" s="82"/>
      <c r="H36" s="83"/>
      <c r="I36" s="82"/>
      <c r="J36" s="83"/>
      <c r="K36" s="82"/>
      <c r="L36" s="82"/>
      <c r="M36" s="82"/>
      <c r="N36" s="82"/>
      <c r="O36" s="82"/>
      <c r="P36" s="82"/>
      <c r="Q36" s="82"/>
      <c r="R36" s="82"/>
      <c r="S36" s="82"/>
      <c r="T36" s="82"/>
      <c r="U36" s="82"/>
      <c r="V36" s="82"/>
      <c r="W36" s="82"/>
      <c r="X36" s="82"/>
      <c r="Y36" s="82">
        <v>27302.400000000005</v>
      </c>
      <c r="Z36" s="268">
        <v>23468.400000000001</v>
      </c>
      <c r="AA36" s="268">
        <v>21319.200000000004</v>
      </c>
      <c r="AB36" s="359">
        <v>25153.22</v>
      </c>
      <c r="AC36" s="268">
        <v>25153.22</v>
      </c>
      <c r="AD36" s="268">
        <v>21319.200000000004</v>
      </c>
      <c r="AE36" s="268">
        <v>21319.200000000004</v>
      </c>
      <c r="AF36" s="359">
        <v>25153.200000000004</v>
      </c>
      <c r="AG36" s="359">
        <v>25153.200000000004</v>
      </c>
      <c r="AH36" s="268">
        <v>21319.200000000004</v>
      </c>
      <c r="AI36" s="268">
        <v>21319.200000000004</v>
      </c>
      <c r="AJ36" s="359">
        <v>25153.200000000004</v>
      </c>
      <c r="AK36" s="359">
        <v>25153.22</v>
      </c>
      <c r="AL36" s="268">
        <v>21319.200000000004</v>
      </c>
      <c r="AM36" s="268">
        <v>21319.200000000004</v>
      </c>
      <c r="AN36" s="359">
        <v>25153.22</v>
      </c>
      <c r="AO36" s="359">
        <v>25153.22</v>
      </c>
      <c r="AP36" s="268">
        <v>21319.200000000004</v>
      </c>
      <c r="AQ36" s="268">
        <v>21319.200000000004</v>
      </c>
      <c r="AR36" s="359">
        <v>25153.200000000004</v>
      </c>
      <c r="AS36" s="268">
        <v>21319.200000000004</v>
      </c>
      <c r="AT36" s="268">
        <v>21319.200000000004</v>
      </c>
      <c r="AU36" s="359">
        <v>25153.200000000004</v>
      </c>
      <c r="AV36" s="359">
        <v>25153.200000000004</v>
      </c>
      <c r="AW36" s="38"/>
      <c r="AX36" s="38"/>
      <c r="AY36" s="31"/>
      <c r="AZ36" s="31"/>
      <c r="BA36" s="31"/>
    </row>
    <row r="37" spans="1:53" outlineLevel="1">
      <c r="A37" s="555" t="s">
        <v>186</v>
      </c>
      <c r="B37" s="556"/>
      <c r="C37" s="557"/>
      <c r="D37" s="558" t="s">
        <v>44</v>
      </c>
      <c r="E37" s="90"/>
      <c r="F37" s="90"/>
      <c r="G37" s="90"/>
      <c r="H37" s="90"/>
      <c r="I37" s="90"/>
      <c r="J37" s="90"/>
      <c r="K37" s="90"/>
      <c r="L37" s="90"/>
      <c r="M37" s="90"/>
      <c r="N37" s="90"/>
      <c r="O37" s="90"/>
      <c r="P37" s="90"/>
      <c r="Q37" s="90"/>
      <c r="R37" s="90"/>
      <c r="S37" s="90"/>
      <c r="T37" s="90"/>
      <c r="U37" s="90"/>
      <c r="V37" s="90"/>
      <c r="W37" s="90"/>
      <c r="X37" s="90"/>
      <c r="Y37" s="90">
        <v>12482.64</v>
      </c>
      <c r="Z37" s="90">
        <f>Y37+Z17+Z31+((Z58+Z61+Z8-Z9+Z10-Z118-Z119-Z120-Z121-Z122-Z123-Z124-Z125-Z126-Z127-Z128-Z129-Z130-Z131-Z132-Z133-Z134-Z135-Z136-Z137-Z138-Z139-Z140-Z141-Z142-Z143-Z147-Z148-Z149-Z150-Z151-Z152-Z153-Z154-Z155-Z156-Z157-Z158-Z159-Z160-Z161-Z162-Z163)*1000)</f>
        <v>22121.533821546196</v>
      </c>
      <c r="AA37" s="90">
        <v>10959.325920000001</v>
      </c>
      <c r="AB37" s="90">
        <v>15779.880000000001</v>
      </c>
      <c r="AC37" s="90">
        <v>18659.025000000001</v>
      </c>
      <c r="AD37" s="90">
        <f>AC37+AD17+AD31+((AD58+AD61+AD8-AD9+AD10-AD118-AD119-AD120-AD121-AD122-AD123-AD124-AD125-AD126-AD127-AD128-AD129-AD130-AD131-AD132-AD133-AD134-AD135-AD136-AD137-AD138-AD139-AD140-AD141-AD142-AD143-AD147-AD148-AD149-AD150-AD151-AD152-AD153-AD154-AD155-AD156-AD157-AD158-AD159-AD160-AD161-AD162-AD163)*1000)</f>
        <v>10674.878501773006</v>
      </c>
      <c r="AE37" s="90">
        <f>AD37+AE17+AE31+((AE58+AE61+AE8-AE9+AE10-AE118-AE119-AE120-AE121-AE122-AE123-AE124-AE125-AE126-AE127-AE128-AE129-AE130-AE131-AE132-AE133-AE134-AE135-AE136-AE137-AE138-AE139-AE140-AE141-AE142-AE143-AE147-AE148-AE149-AE150-AE151-AE152-AE153-AE154-AE155-AE156-AE157-AE158-AE159-AE160-AE161-AE162-AE163)*1000)</f>
        <v>11331.257228328275</v>
      </c>
      <c r="AF37" s="90">
        <f>AE37+AF17+AF31+((AF58+AF61+AF8-AF9+AF10-AF118-AF119-AF120-AF121-AF122-AF123-AF124-AF125-AF126-AF127-AF128-AF129-AF130-AF131-AF132-AF133-AF134-AF135-AF136-AF137-AF138-AF139-AF140-AF141-AF142-AF143-AF147-AF148-AF149-AF150-AF151-AF152-AF153-AF154-AF155-AF156-AF157-AF158-AF159-AF160-AF161-AF162-AF163)*1000)</f>
        <v>22330.548539272866</v>
      </c>
      <c r="AG37" s="90">
        <v>5821.7400000000007</v>
      </c>
      <c r="AH37" s="90">
        <v>7497.3600000000006</v>
      </c>
      <c r="AI37" s="90">
        <v>7315.84</v>
      </c>
      <c r="AJ37" s="90">
        <f t="shared" ref="AJ37:AV37" si="64">AI37+AJ17+AJ31+((AJ58+AJ61+AJ8-AJ9+AJ10-AJ118-AJ119-AJ120-AJ121-AJ122-AJ123-AJ124-AJ125-AJ126-AJ127-AJ128-AJ129-AJ130-AJ131-AJ132-AJ133-AJ134-AJ135-AJ136-AJ137-AJ138-AJ139-AJ140-AJ141-AJ142-AJ143-AJ147-AJ148-AJ149-AJ150-AJ151-AJ152-AJ153-AJ154-AJ155-AJ156-AJ157-AJ158-AJ159-AJ160-AJ161-AJ162-AJ163)*1000)</f>
        <v>8383.7930723776844</v>
      </c>
      <c r="AK37" s="90">
        <f t="shared" si="64"/>
        <v>11445.072214052025</v>
      </c>
      <c r="AL37" s="90">
        <f t="shared" si="64"/>
        <v>7994.1317676961116</v>
      </c>
      <c r="AM37" s="90">
        <f t="shared" si="64"/>
        <v>21280.914923541335</v>
      </c>
      <c r="AN37" s="90">
        <f t="shared" si="64"/>
        <v>27157.144836468087</v>
      </c>
      <c r="AO37" s="90">
        <f t="shared" si="64"/>
        <v>49061.752468365783</v>
      </c>
      <c r="AP37" s="90">
        <f t="shared" si="64"/>
        <v>73733.519620830004</v>
      </c>
      <c r="AQ37" s="90">
        <f t="shared" si="64"/>
        <v>99672.773007709751</v>
      </c>
      <c r="AR37" s="90">
        <f t="shared" si="64"/>
        <v>129335.81625770335</v>
      </c>
      <c r="AS37" s="90">
        <f t="shared" si="64"/>
        <v>153075.24434853601</v>
      </c>
      <c r="AT37" s="90">
        <f t="shared" si="64"/>
        <v>180474.46404572978</v>
      </c>
      <c r="AU37" s="90">
        <f t="shared" si="64"/>
        <v>208994.83716948927</v>
      </c>
      <c r="AV37" s="90">
        <f t="shared" si="64"/>
        <v>233212.33829975157</v>
      </c>
      <c r="AW37" s="38"/>
      <c r="AX37" s="38"/>
      <c r="AY37" s="31"/>
      <c r="AZ37" s="31"/>
      <c r="BA37" s="31"/>
    </row>
    <row r="38" spans="1:53" ht="15" outlineLevel="1" thickBot="1">
      <c r="A38" s="559" t="s">
        <v>187</v>
      </c>
      <c r="B38" s="560"/>
      <c r="C38" s="561"/>
      <c r="D38" s="562" t="s">
        <v>45</v>
      </c>
      <c r="E38" s="99"/>
      <c r="F38" s="99"/>
      <c r="G38" s="99"/>
      <c r="H38" s="116"/>
      <c r="I38" s="116"/>
      <c r="J38" s="116"/>
      <c r="K38" s="116"/>
      <c r="L38" s="116"/>
      <c r="M38" s="116"/>
      <c r="N38" s="116"/>
      <c r="O38" s="116"/>
      <c r="P38" s="116"/>
      <c r="Q38" s="116"/>
      <c r="R38" s="116"/>
      <c r="S38" s="116"/>
      <c r="T38" s="116"/>
      <c r="U38" s="116"/>
      <c r="V38" s="116"/>
      <c r="W38" s="116"/>
      <c r="X38" s="116"/>
      <c r="Y38" s="116"/>
      <c r="Z38" s="403">
        <f t="shared" ref="Z38:AJ38" si="65">Z37/Z36</f>
        <v>0.94260937352125385</v>
      </c>
      <c r="AA38" s="403">
        <f t="shared" si="65"/>
        <v>0.51405896656534944</v>
      </c>
      <c r="AB38" s="403">
        <f t="shared" si="65"/>
        <v>0.6273502955088851</v>
      </c>
      <c r="AC38" s="403">
        <f t="shared" si="65"/>
        <v>0.74181456688249059</v>
      </c>
      <c r="AD38" s="403">
        <f t="shared" si="65"/>
        <v>0.50071665455425174</v>
      </c>
      <c r="AE38" s="403">
        <f t="shared" si="65"/>
        <v>0.53150480451087623</v>
      </c>
      <c r="AF38" s="403">
        <f t="shared" si="65"/>
        <v>0.88778161582911364</v>
      </c>
      <c r="AG38" s="403">
        <f t="shared" si="65"/>
        <v>0.23145126663804205</v>
      </c>
      <c r="AH38" s="403">
        <f t="shared" si="65"/>
        <v>0.35167173252279632</v>
      </c>
      <c r="AI38" s="403">
        <f t="shared" si="65"/>
        <v>0.34315734173890194</v>
      </c>
      <c r="AJ38" s="403">
        <f t="shared" si="65"/>
        <v>0.33330920409242892</v>
      </c>
      <c r="AK38" s="403">
        <f t="shared" ref="AK38:AP38" si="66">AK37/AK36</f>
        <v>0.45501419754814787</v>
      </c>
      <c r="AL38" s="403">
        <f t="shared" si="66"/>
        <v>0.37497334645278013</v>
      </c>
      <c r="AM38" s="403">
        <f t="shared" si="66"/>
        <v>0.99820419732172549</v>
      </c>
      <c r="AN38" s="403">
        <f t="shared" si="66"/>
        <v>1.0796687198087596</v>
      </c>
      <c r="AO38" s="403">
        <f t="shared" si="66"/>
        <v>1.9505157776366517</v>
      </c>
      <c r="AP38" s="403">
        <f t="shared" si="66"/>
        <v>3.4585500216157263</v>
      </c>
      <c r="AQ38" s="403">
        <f t="shared" ref="AQ38:AR38" si="67">AQ37/AQ36</f>
        <v>4.6752585935546236</v>
      </c>
      <c r="AR38" s="403">
        <f t="shared" si="67"/>
        <v>5.1419229464920297</v>
      </c>
      <c r="AS38" s="403">
        <f t="shared" ref="AS38:AT38" si="68">AS37/AS36</f>
        <v>7.1801589341314864</v>
      </c>
      <c r="AT38" s="403">
        <f t="shared" si="68"/>
        <v>8.4653487957207467</v>
      </c>
      <c r="AU38" s="403">
        <f t="shared" ref="AU38:AV38" si="69">AU37/AU36</f>
        <v>8.3088766904206715</v>
      </c>
      <c r="AV38" s="403">
        <f t="shared" si="69"/>
        <v>9.2716766971896831</v>
      </c>
      <c r="AW38" s="38"/>
      <c r="AX38" s="38"/>
      <c r="AY38" s="31"/>
      <c r="AZ38" s="31"/>
      <c r="BA38" s="31"/>
    </row>
    <row r="39" spans="1:53" s="31" customFormat="1" ht="23.5" outlineLevel="1">
      <c r="A39" s="39" t="s">
        <v>4</v>
      </c>
      <c r="B39" s="30"/>
    </row>
    <row r="40" spans="1:53" s="31" customFormat="1" ht="15" outlineLevel="1" thickBot="1">
      <c r="A40" s="40" t="s">
        <v>34</v>
      </c>
      <c r="B40" s="30"/>
    </row>
    <row r="41" spans="1:53" s="75" customFormat="1" ht="15" outlineLevel="1" thickBot="1">
      <c r="A41" s="795" t="s">
        <v>32</v>
      </c>
      <c r="B41" s="796"/>
      <c r="C41" s="796" t="s">
        <v>33</v>
      </c>
      <c r="D41" s="801"/>
      <c r="E41" s="78">
        <f t="shared" ref="E41:AL41" si="70">E3</f>
        <v>43587</v>
      </c>
      <c r="F41" s="78">
        <f t="shared" si="70"/>
        <v>43618</v>
      </c>
      <c r="G41" s="78">
        <f t="shared" si="70"/>
        <v>43648</v>
      </c>
      <c r="H41" s="78">
        <f t="shared" si="70"/>
        <v>43679</v>
      </c>
      <c r="I41" s="78">
        <f t="shared" si="70"/>
        <v>43710</v>
      </c>
      <c r="J41" s="78">
        <f t="shared" si="70"/>
        <v>43740</v>
      </c>
      <c r="K41" s="78">
        <f t="shared" si="70"/>
        <v>43771</v>
      </c>
      <c r="L41" s="78">
        <f t="shared" si="70"/>
        <v>43801</v>
      </c>
      <c r="M41" s="78">
        <f t="shared" si="70"/>
        <v>43832</v>
      </c>
      <c r="N41" s="78">
        <f t="shared" si="70"/>
        <v>43863</v>
      </c>
      <c r="O41" s="78">
        <f t="shared" si="70"/>
        <v>43892</v>
      </c>
      <c r="P41" s="78">
        <f t="shared" si="70"/>
        <v>43923</v>
      </c>
      <c r="Q41" s="78">
        <f t="shared" si="70"/>
        <v>43953</v>
      </c>
      <c r="R41" s="78">
        <f t="shared" si="70"/>
        <v>43984</v>
      </c>
      <c r="S41" s="78">
        <f t="shared" si="70"/>
        <v>44014</v>
      </c>
      <c r="T41" s="78">
        <f t="shared" si="70"/>
        <v>44045</v>
      </c>
      <c r="U41" s="78">
        <f t="shared" si="70"/>
        <v>44076</v>
      </c>
      <c r="V41" s="78">
        <f t="shared" si="70"/>
        <v>44106</v>
      </c>
      <c r="W41" s="78">
        <f t="shared" si="70"/>
        <v>44137</v>
      </c>
      <c r="X41" s="78">
        <f t="shared" si="70"/>
        <v>44167</v>
      </c>
      <c r="Y41" s="78">
        <f t="shared" si="70"/>
        <v>44198</v>
      </c>
      <c r="Z41" s="78">
        <f t="shared" si="70"/>
        <v>44229</v>
      </c>
      <c r="AA41" s="78">
        <f t="shared" si="70"/>
        <v>44257</v>
      </c>
      <c r="AB41" s="78">
        <f t="shared" si="70"/>
        <v>44288</v>
      </c>
      <c r="AC41" s="78">
        <f t="shared" si="70"/>
        <v>44318</v>
      </c>
      <c r="AD41" s="78">
        <f t="shared" si="70"/>
        <v>44349</v>
      </c>
      <c r="AE41" s="78">
        <f t="shared" si="70"/>
        <v>44379</v>
      </c>
      <c r="AF41" s="78">
        <f t="shared" si="70"/>
        <v>44410</v>
      </c>
      <c r="AG41" s="78">
        <f t="shared" si="70"/>
        <v>44441</v>
      </c>
      <c r="AH41" s="78">
        <f t="shared" si="70"/>
        <v>44471</v>
      </c>
      <c r="AI41" s="78">
        <f t="shared" si="70"/>
        <v>44502</v>
      </c>
      <c r="AJ41" s="78">
        <f t="shared" si="70"/>
        <v>44532</v>
      </c>
      <c r="AK41" s="78">
        <f t="shared" si="70"/>
        <v>44563</v>
      </c>
      <c r="AL41" s="78">
        <f t="shared" si="70"/>
        <v>44594</v>
      </c>
      <c r="AM41" s="78">
        <f t="shared" ref="AM41:AN41" si="71">AM3</f>
        <v>44622</v>
      </c>
      <c r="AN41" s="589">
        <f t="shared" si="71"/>
        <v>44653</v>
      </c>
      <c r="AO41" s="589">
        <f t="shared" ref="AO41:AP41" si="72">AO3</f>
        <v>44683</v>
      </c>
      <c r="AP41" s="589">
        <f t="shared" si="72"/>
        <v>44714</v>
      </c>
      <c r="AQ41" s="589">
        <f t="shared" ref="AQ41:AR41" si="73">AQ3</f>
        <v>44744</v>
      </c>
      <c r="AR41" s="589">
        <f t="shared" si="73"/>
        <v>44775</v>
      </c>
      <c r="AS41" s="589">
        <f t="shared" ref="AS41:AT41" si="74">AS3</f>
        <v>44806</v>
      </c>
      <c r="AT41" s="589">
        <f t="shared" si="74"/>
        <v>44836</v>
      </c>
      <c r="AU41" s="589">
        <f t="shared" ref="AU41:AV41" si="75">AU3</f>
        <v>44867</v>
      </c>
      <c r="AV41" s="589">
        <f t="shared" si="75"/>
        <v>44897</v>
      </c>
      <c r="AW41" s="73"/>
      <c r="AX41" s="74"/>
      <c r="AY41" s="74"/>
      <c r="AZ41" s="74"/>
      <c r="BA41" s="74"/>
    </row>
    <row r="42" spans="1:53" s="75" customFormat="1" outlineLevel="1">
      <c r="A42" s="41" t="s">
        <v>129</v>
      </c>
      <c r="B42" s="42"/>
      <c r="C42" s="797" t="s">
        <v>248</v>
      </c>
      <c r="D42" s="798"/>
      <c r="E42" s="360"/>
      <c r="F42" s="360"/>
      <c r="G42" s="360"/>
      <c r="H42" s="360"/>
      <c r="I42" s="360"/>
      <c r="J42" s="360"/>
      <c r="K42" s="360"/>
      <c r="L42" s="360"/>
      <c r="M42" s="360"/>
      <c r="N42" s="360"/>
      <c r="O42" s="360"/>
      <c r="P42" s="360"/>
      <c r="Q42" s="113"/>
      <c r="R42" s="373">
        <v>70.534090909090878</v>
      </c>
      <c r="S42" s="373">
        <v>73.725999999999999</v>
      </c>
      <c r="T42" s="373">
        <v>79.739999999999995</v>
      </c>
      <c r="U42" s="373">
        <v>75.221000000000004</v>
      </c>
      <c r="V42" s="373">
        <v>84.823999999999998</v>
      </c>
      <c r="W42" s="373">
        <v>81.861999999999995</v>
      </c>
      <c r="X42" s="373">
        <v>79.42</v>
      </c>
      <c r="Y42" s="373">
        <v>93.733999999999995</v>
      </c>
      <c r="Z42" s="373">
        <v>82.968179950302002</v>
      </c>
      <c r="AA42" s="373">
        <v>96.633323189846323</v>
      </c>
      <c r="AB42" s="602">
        <v>92.405205902591902</v>
      </c>
      <c r="AC42" s="373">
        <v>95</v>
      </c>
      <c r="AD42" s="373">
        <v>94.028999999999996</v>
      </c>
      <c r="AE42" s="373">
        <v>52.897885383437597</v>
      </c>
      <c r="AF42" s="373">
        <v>89.537325857396524</v>
      </c>
      <c r="AG42" s="373">
        <v>86.212173303868781</v>
      </c>
      <c r="AH42" s="373">
        <v>76.073794967644289</v>
      </c>
      <c r="AI42" s="373">
        <v>86.221255408778603</v>
      </c>
      <c r="AJ42" s="373">
        <v>84.198794785534062</v>
      </c>
      <c r="AK42" s="373">
        <v>86.1753871600785</v>
      </c>
      <c r="AL42" s="373">
        <v>75.676666105971407</v>
      </c>
      <c r="AM42" s="373">
        <v>82.984366694701436</v>
      </c>
      <c r="AN42" s="373">
        <v>80.6695206055509</v>
      </c>
      <c r="AO42" s="373">
        <v>71.369269911802917</v>
      </c>
      <c r="AP42" s="373">
        <v>77.410899915895726</v>
      </c>
      <c r="AQ42" s="373">
        <v>79.991263246425575</v>
      </c>
      <c r="AR42" s="373">
        <v>74.432270038484106</v>
      </c>
      <c r="AS42" s="373">
        <v>80.719331370899923</v>
      </c>
      <c r="AT42" s="373">
        <v>83.409975749929913</v>
      </c>
      <c r="AU42" s="373">
        <v>80.33152649285114</v>
      </c>
      <c r="AV42" s="373">
        <v>82.805147462853938</v>
      </c>
      <c r="AW42" s="73"/>
      <c r="AX42" s="74"/>
      <c r="AY42" s="74"/>
      <c r="AZ42" s="74"/>
      <c r="BA42" s="74"/>
    </row>
    <row r="43" spans="1:53" s="75" customFormat="1" outlineLevel="1">
      <c r="A43" s="43" t="s">
        <v>130</v>
      </c>
      <c r="B43" s="44"/>
      <c r="C43" s="790" t="s">
        <v>248</v>
      </c>
      <c r="D43" s="793"/>
      <c r="E43" s="360"/>
      <c r="F43" s="360"/>
      <c r="G43" s="360"/>
      <c r="H43" s="360"/>
      <c r="I43" s="360"/>
      <c r="J43" s="360"/>
      <c r="K43" s="360"/>
      <c r="L43" s="360"/>
      <c r="M43" s="360"/>
      <c r="N43" s="360"/>
      <c r="O43" s="360"/>
      <c r="P43" s="360"/>
      <c r="Q43" s="113"/>
      <c r="R43" s="373">
        <v>169.55890909090911</v>
      </c>
      <c r="S43" s="373">
        <f>S46-S42</f>
        <v>177.61747858181801</v>
      </c>
      <c r="T43" s="373">
        <v>191.2</v>
      </c>
      <c r="U43" s="373">
        <v>200.779</v>
      </c>
      <c r="V43" s="373">
        <v>203.572</v>
      </c>
      <c r="W43" s="373">
        <v>170.31</v>
      </c>
      <c r="X43" s="373">
        <v>158.72500000000002</v>
      </c>
      <c r="Y43" s="373">
        <v>183.55100000000004</v>
      </c>
      <c r="Z43" s="373">
        <v>163.03182004969801</v>
      </c>
      <c r="AA43" s="373">
        <v>188.8815558949461</v>
      </c>
      <c r="AB43" s="373">
        <v>183.15295573005574</v>
      </c>
      <c r="AC43" s="373">
        <v>192.15300000000002</v>
      </c>
      <c r="AD43" s="373">
        <v>189.44711646719878</v>
      </c>
      <c r="AE43" s="373">
        <v>164.5133346546294</v>
      </c>
      <c r="AF43" s="373">
        <v>192.82979725396467</v>
      </c>
      <c r="AG43" s="373">
        <v>171.81050839573982</v>
      </c>
      <c r="AH43" s="373">
        <v>166.4756239709136</v>
      </c>
      <c r="AI43" s="373">
        <v>167.26431040191056</v>
      </c>
      <c r="AJ43" s="373">
        <v>175.89277722257958</v>
      </c>
      <c r="AK43" s="373">
        <v>180.7127568561487</v>
      </c>
      <c r="AL43" s="373">
        <v>163.11951588493935</v>
      </c>
      <c r="AM43" s="373">
        <v>172.36477123633304</v>
      </c>
      <c r="AN43" s="373">
        <v>165.8218587047939</v>
      </c>
      <c r="AO43" s="373">
        <v>154.71262663992121</v>
      </c>
      <c r="AP43" s="373">
        <v>152.16668629100079</v>
      </c>
      <c r="AQ43" s="373">
        <v>157.2389091673675</v>
      </c>
      <c r="AR43" s="373">
        <v>153.43109203048141</v>
      </c>
      <c r="AS43" s="373">
        <v>165.96601345668631</v>
      </c>
      <c r="AT43" s="373">
        <v>171.49821390524252</v>
      </c>
      <c r="AU43" s="373">
        <v>166.35381833473511</v>
      </c>
      <c r="AV43" s="373">
        <v>153.75485572688518</v>
      </c>
      <c r="AW43" s="73"/>
      <c r="AX43" s="74"/>
      <c r="AY43" s="74"/>
      <c r="AZ43" s="74"/>
      <c r="BA43" s="74"/>
    </row>
    <row r="44" spans="1:53" s="75" customFormat="1" outlineLevel="1">
      <c r="A44" s="540" t="s">
        <v>192</v>
      </c>
      <c r="B44" s="44"/>
      <c r="C44" s="790" t="s">
        <v>248</v>
      </c>
      <c r="D44" s="793"/>
      <c r="E44" s="360"/>
      <c r="F44" s="360"/>
      <c r="G44" s="360"/>
      <c r="H44" s="360"/>
      <c r="I44" s="360"/>
      <c r="J44" s="360"/>
      <c r="K44" s="360"/>
      <c r="L44" s="360"/>
      <c r="M44" s="360"/>
      <c r="N44" s="360"/>
      <c r="O44" s="360"/>
      <c r="P44" s="360"/>
      <c r="Q44" s="113"/>
      <c r="R44" s="373"/>
      <c r="S44" s="373"/>
      <c r="T44" s="373"/>
      <c r="U44" s="373"/>
      <c r="V44" s="373"/>
      <c r="W44" s="373"/>
      <c r="X44" s="373"/>
      <c r="Y44" s="373"/>
      <c r="Z44" s="373"/>
      <c r="AA44" s="373">
        <v>46.344512195121951</v>
      </c>
      <c r="AB44" s="373">
        <v>56.996333333333332</v>
      </c>
      <c r="AC44" s="373">
        <v>40.486000000000004</v>
      </c>
      <c r="AD44" s="373">
        <v>58.341000000000001</v>
      </c>
      <c r="AE44" s="373">
        <v>83.738934087429527</v>
      </c>
      <c r="AF44" s="373">
        <v>54.088965517241398</v>
      </c>
      <c r="AG44" s="373">
        <v>65.633567571036011</v>
      </c>
      <c r="AH44" s="373">
        <v>54.257631351709321</v>
      </c>
      <c r="AI44" s="373">
        <v>52.61569289845491</v>
      </c>
      <c r="AJ44" s="373">
        <v>43.604709840201878</v>
      </c>
      <c r="AK44" s="373">
        <v>45.901068124474364</v>
      </c>
      <c r="AL44" s="373">
        <v>53.33684843129528</v>
      </c>
      <c r="AM44" s="373">
        <v>42.228048780487804</v>
      </c>
      <c r="AN44" s="373">
        <v>57.518566021867137</v>
      </c>
      <c r="AO44" s="373">
        <v>47.837216148023536</v>
      </c>
      <c r="AP44" s="373">
        <v>40.865853658536587</v>
      </c>
      <c r="AQ44" s="373">
        <v>42.228048780487804</v>
      </c>
      <c r="AR44" s="373">
        <v>42.228048780487804</v>
      </c>
      <c r="AS44" s="373">
        <v>40.536585365853675</v>
      </c>
      <c r="AT44" s="373">
        <v>41.887804878048797</v>
      </c>
      <c r="AU44" s="373">
        <v>40.756097560975604</v>
      </c>
      <c r="AV44" s="373">
        <v>42.467354596622876</v>
      </c>
      <c r="AW44" s="73"/>
      <c r="AX44" s="74"/>
      <c r="AY44" s="74"/>
      <c r="AZ44" s="74"/>
      <c r="BA44" s="74"/>
    </row>
    <row r="45" spans="1:53" s="75" customFormat="1" outlineLevel="1">
      <c r="A45" s="540" t="s">
        <v>193</v>
      </c>
      <c r="B45" s="44"/>
      <c r="C45" s="790" t="s">
        <v>248</v>
      </c>
      <c r="D45" s="793"/>
      <c r="E45" s="360"/>
      <c r="F45" s="360"/>
      <c r="G45" s="360"/>
      <c r="H45" s="360"/>
      <c r="I45" s="360"/>
      <c r="J45" s="360"/>
      <c r="K45" s="360"/>
      <c r="L45" s="360"/>
      <c r="M45" s="360"/>
      <c r="N45" s="360"/>
      <c r="O45" s="360"/>
      <c r="P45" s="360"/>
      <c r="Q45" s="113"/>
      <c r="R45" s="373"/>
      <c r="S45" s="373"/>
      <c r="T45" s="373"/>
      <c r="U45" s="373"/>
      <c r="V45" s="373"/>
      <c r="W45" s="373"/>
      <c r="X45" s="373"/>
      <c r="Y45" s="373"/>
      <c r="Z45" s="373"/>
      <c r="AA45" s="373">
        <v>142.53704369982415</v>
      </c>
      <c r="AB45" s="373">
        <v>125.18600000000001</v>
      </c>
      <c r="AC45" s="373">
        <v>150.679</v>
      </c>
      <c r="AD45" s="373">
        <v>134.01911646719898</v>
      </c>
      <c r="AE45" s="373">
        <v>80.774400567199308</v>
      </c>
      <c r="AF45" s="373">
        <v>138.74083173672318</v>
      </c>
      <c r="AG45" s="373">
        <v>106.17694082470389</v>
      </c>
      <c r="AH45" s="373">
        <v>112.21799261920437</v>
      </c>
      <c r="AI45" s="373">
        <v>114.64861750345568</v>
      </c>
      <c r="AJ45" s="373">
        <v>132.2880673823777</v>
      </c>
      <c r="AK45" s="373">
        <v>134.81168873167434</v>
      </c>
      <c r="AL45" s="373">
        <v>109.78266745364407</v>
      </c>
      <c r="AM45" s="373">
        <v>130.13672245584522</v>
      </c>
      <c r="AN45" s="373">
        <v>108.30329268292675</v>
      </c>
      <c r="AO45" s="373">
        <v>106.87541049189767</v>
      </c>
      <c r="AP45" s="373">
        <v>111.30083263246422</v>
      </c>
      <c r="AQ45" s="373">
        <v>115.01086038687973</v>
      </c>
      <c r="AR45" s="373">
        <v>111.20304324999361</v>
      </c>
      <c r="AS45" s="373">
        <v>125.42942809083266</v>
      </c>
      <c r="AT45" s="373">
        <v>129.61040902719375</v>
      </c>
      <c r="AU45" s="373">
        <v>125.59772077375951</v>
      </c>
      <c r="AV45" s="373">
        <v>111.28750113026231</v>
      </c>
      <c r="AW45" s="73"/>
      <c r="AX45" s="74"/>
      <c r="AY45" s="74"/>
      <c r="AZ45" s="74"/>
      <c r="BA45" s="74"/>
    </row>
    <row r="46" spans="1:53" s="3" customFormat="1" outlineLevel="1">
      <c r="A46" s="43" t="s">
        <v>128</v>
      </c>
      <c r="B46" s="35"/>
      <c r="C46" s="790" t="s">
        <v>248</v>
      </c>
      <c r="D46" s="793"/>
      <c r="E46" s="65">
        <v>290.613</v>
      </c>
      <c r="F46" s="113">
        <v>302.52800000000002</v>
      </c>
      <c r="G46" s="113">
        <v>330.5</v>
      </c>
      <c r="H46" s="113">
        <v>317.95</v>
      </c>
      <c r="I46" s="113">
        <v>319.5</v>
      </c>
      <c r="J46" s="113">
        <v>314</v>
      </c>
      <c r="K46" s="113">
        <v>315</v>
      </c>
      <c r="L46" s="113">
        <v>310</v>
      </c>
      <c r="M46" s="113">
        <v>288</v>
      </c>
      <c r="N46" s="113">
        <v>270.45</v>
      </c>
      <c r="O46" s="113">
        <v>313.10000000000002</v>
      </c>
      <c r="P46" s="113">
        <v>291</v>
      </c>
      <c r="Q46" s="113">
        <v>225</v>
      </c>
      <c r="R46" s="373">
        <v>239.1825882138433</v>
      </c>
      <c r="S46" s="373">
        <v>251.343478581818</v>
      </c>
      <c r="T46" s="373">
        <v>270.94</v>
      </c>
      <c r="U46" s="373">
        <v>276</v>
      </c>
      <c r="V46" s="373">
        <v>288.39600000000002</v>
      </c>
      <c r="W46" s="373">
        <v>252.172</v>
      </c>
      <c r="X46" s="373">
        <v>238.14500000000001</v>
      </c>
      <c r="Y46" s="373">
        <v>277.28500000000003</v>
      </c>
      <c r="Z46" s="373">
        <v>246</v>
      </c>
      <c r="AA46" s="373">
        <v>285.51487908479243</v>
      </c>
      <c r="AB46" s="602">
        <v>272.33308494533202</v>
      </c>
      <c r="AC46" s="373">
        <v>287.15300000000002</v>
      </c>
      <c r="AD46" s="373">
        <v>283.47611646719878</v>
      </c>
      <c r="AE46" s="373">
        <v>217.411220038067</v>
      </c>
      <c r="AF46" s="373">
        <v>282.3671231113612</v>
      </c>
      <c r="AG46" s="373">
        <v>258.0226816996086</v>
      </c>
      <c r="AH46" s="373">
        <v>242.54941893855789</v>
      </c>
      <c r="AI46" s="373">
        <v>253.48556581068917</v>
      </c>
      <c r="AJ46" s="373">
        <v>260.09157200811364</v>
      </c>
      <c r="AK46" s="373">
        <v>266.88814401622722</v>
      </c>
      <c r="AL46" s="373">
        <v>238.79618199091075</v>
      </c>
      <c r="AM46" s="373">
        <v>255.34913793103448</v>
      </c>
      <c r="AN46" s="373">
        <v>246.4913793103448</v>
      </c>
      <c r="AO46" s="373">
        <v>226.08189655172413</v>
      </c>
      <c r="AP46" s="373">
        <v>229.57758620689651</v>
      </c>
      <c r="AQ46" s="373">
        <v>237.23017241379307</v>
      </c>
      <c r="AR46" s="373">
        <v>227.86336206896553</v>
      </c>
      <c r="AS46" s="373">
        <v>246.68534482758625</v>
      </c>
      <c r="AT46" s="373">
        <v>254.90818965517244</v>
      </c>
      <c r="AU46" s="373">
        <v>246.68534482758625</v>
      </c>
      <c r="AV46" s="373">
        <v>236.56000318973912</v>
      </c>
      <c r="AW46" s="38"/>
      <c r="AX46" s="31"/>
      <c r="AY46" s="31"/>
      <c r="AZ46" s="31"/>
      <c r="BA46" s="31"/>
    </row>
    <row r="47" spans="1:53" s="3" customFormat="1" outlineLevel="1">
      <c r="A47" s="43" t="s">
        <v>28</v>
      </c>
      <c r="B47" s="35"/>
      <c r="C47" s="789">
        <v>44480</v>
      </c>
      <c r="D47" s="794"/>
      <c r="E47" s="65"/>
      <c r="F47" s="113"/>
      <c r="G47" s="113"/>
      <c r="H47" s="113"/>
      <c r="I47" s="113"/>
      <c r="J47" s="113"/>
      <c r="K47" s="113"/>
      <c r="L47" s="113"/>
      <c r="M47" s="113"/>
      <c r="N47" s="113"/>
      <c r="O47" s="113">
        <v>0.68</v>
      </c>
      <c r="P47" s="113">
        <v>0.6</v>
      </c>
      <c r="Q47" s="113">
        <v>0.6</v>
      </c>
      <c r="R47" s="113">
        <v>0</v>
      </c>
      <c r="S47" s="113">
        <v>0.6</v>
      </c>
      <c r="T47" s="113">
        <v>1.2</v>
      </c>
      <c r="U47" s="113">
        <v>0.6</v>
      </c>
      <c r="V47" s="113">
        <v>0.6</v>
      </c>
      <c r="W47" s="113">
        <v>0</v>
      </c>
      <c r="X47" s="113">
        <v>0.6</v>
      </c>
      <c r="Y47" s="113">
        <v>1.2</v>
      </c>
      <c r="Z47" s="113">
        <v>2.4</v>
      </c>
      <c r="AA47" s="113">
        <v>1.2</v>
      </c>
      <c r="AB47" s="113">
        <v>1.2</v>
      </c>
      <c r="AC47" s="113">
        <v>1.2</v>
      </c>
      <c r="AD47" s="113">
        <v>1.2</v>
      </c>
      <c r="AE47" s="113">
        <v>0</v>
      </c>
      <c r="AF47" s="113">
        <v>0.6</v>
      </c>
      <c r="AG47" s="113">
        <v>0.6</v>
      </c>
      <c r="AH47" s="113">
        <v>1.8</v>
      </c>
      <c r="AI47" s="113">
        <v>1.2</v>
      </c>
      <c r="AJ47" s="113">
        <v>1.2</v>
      </c>
      <c r="AK47" s="113">
        <v>0</v>
      </c>
      <c r="AL47" s="113">
        <v>0</v>
      </c>
      <c r="AM47" s="113">
        <v>0</v>
      </c>
      <c r="AN47" s="113">
        <v>0</v>
      </c>
      <c r="AO47" s="113">
        <v>0</v>
      </c>
      <c r="AP47" s="113">
        <v>0</v>
      </c>
      <c r="AQ47" s="113">
        <v>0</v>
      </c>
      <c r="AR47" s="113">
        <v>0</v>
      </c>
      <c r="AS47" s="113">
        <v>0</v>
      </c>
      <c r="AT47" s="113">
        <v>0</v>
      </c>
      <c r="AU47" s="113">
        <v>0</v>
      </c>
      <c r="AV47" s="113">
        <v>0</v>
      </c>
      <c r="AW47" s="38"/>
      <c r="AX47" s="31"/>
      <c r="AY47" s="31"/>
      <c r="AZ47" s="31"/>
      <c r="BA47" s="31"/>
    </row>
    <row r="48" spans="1:53" outlineLevel="1">
      <c r="A48" s="43" t="s">
        <v>0</v>
      </c>
      <c r="B48" s="35"/>
      <c r="C48" s="789">
        <v>44501</v>
      </c>
      <c r="D48" s="794"/>
      <c r="E48" s="58">
        <v>15.573</v>
      </c>
      <c r="F48" s="58">
        <v>19</v>
      </c>
      <c r="G48" s="58">
        <v>19</v>
      </c>
      <c r="H48" s="58">
        <v>25</v>
      </c>
      <c r="I48" s="58">
        <v>25</v>
      </c>
      <c r="J48" s="58">
        <v>25</v>
      </c>
      <c r="K48" s="58">
        <v>21</v>
      </c>
      <c r="L48" s="58">
        <v>23.5</v>
      </c>
      <c r="M48" s="58">
        <v>23</v>
      </c>
      <c r="N48" s="58">
        <v>16</v>
      </c>
      <c r="O48" s="58">
        <v>7</v>
      </c>
      <c r="P48" s="58">
        <v>14</v>
      </c>
      <c r="Q48" s="58">
        <v>6</v>
      </c>
      <c r="R48" s="58">
        <v>0</v>
      </c>
      <c r="S48" s="58">
        <v>8</v>
      </c>
      <c r="T48" s="58">
        <v>0</v>
      </c>
      <c r="U48" s="58">
        <v>3</v>
      </c>
      <c r="V48" s="58">
        <v>0</v>
      </c>
      <c r="W48" s="58">
        <v>11</v>
      </c>
      <c r="X48" s="58">
        <v>14</v>
      </c>
      <c r="Y48" s="58">
        <v>2.5</v>
      </c>
      <c r="Z48" s="58">
        <v>3</v>
      </c>
      <c r="AA48" s="58">
        <v>0</v>
      </c>
      <c r="AB48" s="58">
        <v>0</v>
      </c>
      <c r="AC48" s="58">
        <v>0</v>
      </c>
      <c r="AD48" s="58">
        <v>0</v>
      </c>
      <c r="AE48" s="58">
        <v>0</v>
      </c>
      <c r="AF48" s="58">
        <v>0</v>
      </c>
      <c r="AG48" s="58">
        <v>0</v>
      </c>
      <c r="AH48" s="58">
        <v>0</v>
      </c>
      <c r="AI48" s="58">
        <v>0</v>
      </c>
      <c r="AJ48" s="58">
        <v>0</v>
      </c>
      <c r="AK48" s="58">
        <v>0</v>
      </c>
      <c r="AL48" s="58">
        <v>0</v>
      </c>
      <c r="AM48" s="58">
        <v>0</v>
      </c>
      <c r="AN48" s="58">
        <v>0</v>
      </c>
      <c r="AO48" s="58">
        <v>0</v>
      </c>
      <c r="AP48" s="58">
        <v>0</v>
      </c>
      <c r="AQ48" s="58">
        <v>0</v>
      </c>
      <c r="AR48" s="58">
        <v>0</v>
      </c>
      <c r="AS48" s="58">
        <v>0</v>
      </c>
      <c r="AT48" s="58">
        <v>0</v>
      </c>
      <c r="AU48" s="58">
        <v>0</v>
      </c>
      <c r="AV48" s="58">
        <v>0</v>
      </c>
      <c r="AW48" s="38"/>
      <c r="AX48" s="31"/>
      <c r="AY48" s="31"/>
      <c r="AZ48" s="31"/>
      <c r="BA48" s="31"/>
    </row>
    <row r="49" spans="1:54" outlineLevel="1">
      <c r="A49" s="43" t="s">
        <v>1</v>
      </c>
      <c r="B49" s="35"/>
      <c r="C49" s="789">
        <v>44495</v>
      </c>
      <c r="D49" s="794"/>
      <c r="E49" s="58">
        <v>8.4</v>
      </c>
      <c r="F49" s="58">
        <v>6.2</v>
      </c>
      <c r="G49" s="58">
        <v>6.1</v>
      </c>
      <c r="H49" s="58">
        <v>7.2</v>
      </c>
      <c r="I49" s="58">
        <v>6.7</v>
      </c>
      <c r="J49" s="58">
        <v>6.7</v>
      </c>
      <c r="K49" s="58">
        <v>0</v>
      </c>
      <c r="L49" s="58">
        <v>5.4</v>
      </c>
      <c r="M49" s="58">
        <v>7.2</v>
      </c>
      <c r="N49" s="58">
        <v>6.5</v>
      </c>
      <c r="O49" s="58">
        <v>6.4799999999999995</v>
      </c>
      <c r="P49" s="58">
        <v>6.3</v>
      </c>
      <c r="Q49" s="58">
        <v>6.5</v>
      </c>
      <c r="R49" s="58">
        <v>3.6</v>
      </c>
      <c r="S49" s="58">
        <v>3.6</v>
      </c>
      <c r="T49" s="58">
        <v>5</v>
      </c>
      <c r="U49" s="58">
        <v>4.24</v>
      </c>
      <c r="V49" s="58">
        <v>7.36</v>
      </c>
      <c r="W49" s="58">
        <v>5.36</v>
      </c>
      <c r="X49" s="58">
        <v>5.47</v>
      </c>
      <c r="Y49" s="58">
        <v>6.2</v>
      </c>
      <c r="Z49" s="58">
        <v>7.08</v>
      </c>
      <c r="AA49" s="58">
        <v>7.07</v>
      </c>
      <c r="AB49" s="58">
        <v>6.63</v>
      </c>
      <c r="AC49" s="58">
        <v>5.78</v>
      </c>
      <c r="AD49" s="58">
        <v>5.78</v>
      </c>
      <c r="AE49" s="58">
        <v>6.12</v>
      </c>
      <c r="AF49" s="58">
        <v>6.12</v>
      </c>
      <c r="AG49" s="58">
        <v>5.4</v>
      </c>
      <c r="AH49" s="58">
        <v>5.4</v>
      </c>
      <c r="AI49" s="58">
        <v>5.4</v>
      </c>
      <c r="AJ49" s="58">
        <v>5.4</v>
      </c>
      <c r="AK49" s="58">
        <v>6.12</v>
      </c>
      <c r="AL49" s="58">
        <v>6.12</v>
      </c>
      <c r="AM49" s="58">
        <v>6.12</v>
      </c>
      <c r="AN49" s="58">
        <v>6.12</v>
      </c>
      <c r="AO49" s="58">
        <v>6.12</v>
      </c>
      <c r="AP49" s="58">
        <v>6.12</v>
      </c>
      <c r="AQ49" s="58">
        <v>6.12</v>
      </c>
      <c r="AR49" s="58">
        <v>6.12</v>
      </c>
      <c r="AS49" s="58">
        <v>6.12</v>
      </c>
      <c r="AT49" s="58">
        <v>6.12</v>
      </c>
      <c r="AU49" s="58">
        <v>6.12</v>
      </c>
      <c r="AV49" s="58">
        <v>6.12</v>
      </c>
      <c r="AW49" s="38"/>
      <c r="AX49" s="31"/>
      <c r="AY49" s="31"/>
      <c r="AZ49" s="31"/>
      <c r="BA49" s="31"/>
    </row>
    <row r="50" spans="1:54" outlineLevel="1">
      <c r="A50" s="43" t="s">
        <v>27</v>
      </c>
      <c r="B50" s="35"/>
      <c r="C50" s="789">
        <v>44480</v>
      </c>
      <c r="D50" s="794"/>
      <c r="E50" s="58">
        <v>5.89</v>
      </c>
      <c r="F50" s="58">
        <v>5.7</v>
      </c>
      <c r="G50" s="58">
        <v>5.89</v>
      </c>
      <c r="H50" s="58">
        <v>5.89</v>
      </c>
      <c r="I50" s="58">
        <v>5.85</v>
      </c>
      <c r="J50" s="58">
        <v>6.05</v>
      </c>
      <c r="K50" s="58">
        <v>5.85</v>
      </c>
      <c r="L50" s="58">
        <v>6.05</v>
      </c>
      <c r="M50" s="58">
        <v>6.05</v>
      </c>
      <c r="N50" s="58">
        <v>5.66</v>
      </c>
      <c r="O50" s="58">
        <v>6.0449999999999999</v>
      </c>
      <c r="P50" s="58">
        <v>5.85</v>
      </c>
      <c r="Q50" s="58">
        <v>6.05</v>
      </c>
      <c r="R50" s="58">
        <v>5.4</v>
      </c>
      <c r="S50" s="58">
        <v>4.5599999999999996</v>
      </c>
      <c r="T50" s="58">
        <v>5.58</v>
      </c>
      <c r="U50" s="58">
        <v>5.58</v>
      </c>
      <c r="V50" s="58">
        <v>5.58</v>
      </c>
      <c r="W50" s="58">
        <v>5.4</v>
      </c>
      <c r="X50" s="58">
        <v>5.58</v>
      </c>
      <c r="Y50" s="58">
        <v>5.89</v>
      </c>
      <c r="Z50" s="58">
        <v>5.32</v>
      </c>
      <c r="AA50" s="58">
        <v>5.89</v>
      </c>
      <c r="AB50" s="58">
        <v>5.55</v>
      </c>
      <c r="AC50" s="58">
        <v>5.7350000000000003</v>
      </c>
      <c r="AD50" s="58">
        <v>5.55</v>
      </c>
      <c r="AE50" s="58">
        <v>5.7350000000000003</v>
      </c>
      <c r="AF50" s="58">
        <v>5.7350000000000003</v>
      </c>
      <c r="AG50" s="58">
        <v>5.55</v>
      </c>
      <c r="AH50" s="58">
        <v>5.7350000000000003</v>
      </c>
      <c r="AI50" s="58">
        <v>5.55</v>
      </c>
      <c r="AJ50" s="58">
        <v>5.7350000000000003</v>
      </c>
      <c r="AK50" s="58">
        <v>5.7350000000000003</v>
      </c>
      <c r="AL50" s="58">
        <v>5.7350000000000003</v>
      </c>
      <c r="AM50" s="58">
        <v>5.7350000000000003</v>
      </c>
      <c r="AN50" s="58">
        <v>5.7350000000000003</v>
      </c>
      <c r="AO50" s="58">
        <v>5.7350000000000003</v>
      </c>
      <c r="AP50" s="58">
        <v>5.7350000000000003</v>
      </c>
      <c r="AQ50" s="58">
        <v>5.7350000000000003</v>
      </c>
      <c r="AR50" s="58">
        <v>5.7350000000000003</v>
      </c>
      <c r="AS50" s="58">
        <v>5.7350000000000003</v>
      </c>
      <c r="AT50" s="58">
        <v>5.7350000000000003</v>
      </c>
      <c r="AU50" s="58">
        <v>5.7350000000000003</v>
      </c>
      <c r="AV50" s="58">
        <v>5.7350000000000003</v>
      </c>
      <c r="AW50" s="38"/>
      <c r="AX50" s="31"/>
      <c r="AY50" s="31"/>
      <c r="AZ50" s="31"/>
      <c r="BA50" s="31"/>
    </row>
    <row r="51" spans="1:54" ht="15" outlineLevel="1" thickBot="1">
      <c r="A51" s="51" t="s">
        <v>5</v>
      </c>
      <c r="B51" s="361"/>
      <c r="C51" s="791">
        <v>44470</v>
      </c>
      <c r="D51" s="810"/>
      <c r="E51" s="58">
        <v>15.6</v>
      </c>
      <c r="F51" s="58">
        <v>15.42</v>
      </c>
      <c r="G51" s="58">
        <v>16.027000000000001</v>
      </c>
      <c r="H51" s="58">
        <v>15.93</v>
      </c>
      <c r="I51" s="58">
        <v>15.45</v>
      </c>
      <c r="J51" s="58">
        <v>10.85</v>
      </c>
      <c r="K51" s="58">
        <v>10.5</v>
      </c>
      <c r="L51" s="58">
        <v>13.26</v>
      </c>
      <c r="M51" s="58">
        <v>14.281000000000001</v>
      </c>
      <c r="N51" s="58">
        <v>16</v>
      </c>
      <c r="O51" s="58">
        <v>17</v>
      </c>
      <c r="P51" s="58">
        <v>15.6</v>
      </c>
      <c r="Q51" s="58">
        <v>17.05</v>
      </c>
      <c r="R51" s="58">
        <v>15.6</v>
      </c>
      <c r="S51" s="58">
        <v>16.739999999999998</v>
      </c>
      <c r="T51" s="58">
        <v>14.56</v>
      </c>
      <c r="U51" s="58">
        <v>17.2</v>
      </c>
      <c r="V51" s="58">
        <v>16.739999999999998</v>
      </c>
      <c r="W51" s="58">
        <v>16.2</v>
      </c>
      <c r="X51" s="58">
        <v>16.12</v>
      </c>
      <c r="Y51" s="58">
        <v>13.12</v>
      </c>
      <c r="Z51" s="58">
        <v>8.83</v>
      </c>
      <c r="AA51" s="58">
        <v>15.56</v>
      </c>
      <c r="AB51" s="58">
        <v>15</v>
      </c>
      <c r="AC51" s="58">
        <v>15.5</v>
      </c>
      <c r="AD51" s="58">
        <v>13.95</v>
      </c>
      <c r="AE51" s="625">
        <v>8.3699999999999992</v>
      </c>
      <c r="AF51" s="625">
        <v>14.6</v>
      </c>
      <c r="AG51" s="625">
        <v>15</v>
      </c>
      <c r="AH51" s="625">
        <v>18.445</v>
      </c>
      <c r="AI51" s="625">
        <v>15.75</v>
      </c>
      <c r="AJ51" s="625">
        <v>16.37</v>
      </c>
      <c r="AK51" s="625">
        <v>17.515000000000001</v>
      </c>
      <c r="AL51" s="625">
        <v>16.52</v>
      </c>
      <c r="AM51" s="625">
        <v>18.445</v>
      </c>
      <c r="AN51" s="625">
        <v>12</v>
      </c>
      <c r="AO51" s="625">
        <v>17.824999999999999</v>
      </c>
      <c r="AP51" s="625">
        <v>15.9</v>
      </c>
      <c r="AQ51" s="625">
        <v>6.2</v>
      </c>
      <c r="AR51" s="625">
        <v>8.06</v>
      </c>
      <c r="AS51" s="625">
        <v>1.56</v>
      </c>
      <c r="AT51" s="625">
        <v>0.36</v>
      </c>
      <c r="AU51" s="625">
        <v>2.2000000000000002</v>
      </c>
      <c r="AV51" s="625">
        <v>1.6</v>
      </c>
      <c r="AW51" s="38"/>
      <c r="AX51" s="31"/>
      <c r="AY51" s="31"/>
      <c r="AZ51" s="31"/>
      <c r="BA51" s="31"/>
    </row>
    <row r="52" spans="1:54" ht="15" outlineLevel="1" thickBot="1">
      <c r="A52" s="806" t="s">
        <v>31</v>
      </c>
      <c r="B52" s="807"/>
      <c r="C52" s="807"/>
      <c r="D52" s="811"/>
      <c r="E52" s="59">
        <f>SUM(E46:E51)</f>
        <v>336.07599999999996</v>
      </c>
      <c r="F52" s="60">
        <f t="shared" ref="F52:Y52" si="76">SUM(F46:F51)</f>
        <v>348.84800000000001</v>
      </c>
      <c r="G52" s="60">
        <f t="shared" si="76"/>
        <v>377.517</v>
      </c>
      <c r="H52" s="60">
        <f t="shared" si="76"/>
        <v>371.96999999999997</v>
      </c>
      <c r="I52" s="60">
        <f t="shared" si="76"/>
        <v>372.5</v>
      </c>
      <c r="J52" s="60">
        <f t="shared" si="76"/>
        <v>362.6</v>
      </c>
      <c r="K52" s="60">
        <f t="shared" si="76"/>
        <v>352.35</v>
      </c>
      <c r="L52" s="60">
        <f t="shared" si="76"/>
        <v>358.21</v>
      </c>
      <c r="M52" s="60">
        <f t="shared" si="76"/>
        <v>338.53100000000001</v>
      </c>
      <c r="N52" s="60">
        <f t="shared" si="76"/>
        <v>314.61</v>
      </c>
      <c r="O52" s="60">
        <f t="shared" si="76"/>
        <v>350.30500000000006</v>
      </c>
      <c r="P52" s="60">
        <f t="shared" si="76"/>
        <v>333.35000000000008</v>
      </c>
      <c r="Q52" s="60">
        <f t="shared" si="76"/>
        <v>261.2</v>
      </c>
      <c r="R52" s="60">
        <f t="shared" si="76"/>
        <v>263.78258821384333</v>
      </c>
      <c r="S52" s="60">
        <f>SUM(S46:S51)</f>
        <v>284.84347858181803</v>
      </c>
      <c r="T52" s="60">
        <f>SUM(T46:T51)</f>
        <v>297.27999999999997</v>
      </c>
      <c r="U52" s="60">
        <f>SUM(U46:U51)</f>
        <v>306.62</v>
      </c>
      <c r="V52" s="60">
        <f t="shared" si="76"/>
        <v>318.67600000000004</v>
      </c>
      <c r="W52" s="60">
        <f t="shared" si="76"/>
        <v>290.13200000000001</v>
      </c>
      <c r="X52" s="60">
        <f t="shared" si="76"/>
        <v>279.91500000000002</v>
      </c>
      <c r="Y52" s="60">
        <f t="shared" si="76"/>
        <v>306.19499999999999</v>
      </c>
      <c r="Z52" s="60">
        <f t="shared" ref="Z52:AE52" si="77">SUM(Z46:Z51)</f>
        <v>272.63</v>
      </c>
      <c r="AA52" s="60">
        <f t="shared" si="77"/>
        <v>315.2348790847924</v>
      </c>
      <c r="AB52" s="60">
        <f t="shared" si="77"/>
        <v>300.71308494533201</v>
      </c>
      <c r="AC52" s="60">
        <f t="shared" si="77"/>
        <v>315.36799999999999</v>
      </c>
      <c r="AD52" s="60">
        <f t="shared" si="77"/>
        <v>309.95611646719874</v>
      </c>
      <c r="AE52" s="60">
        <f t="shared" si="77"/>
        <v>237.63622003806702</v>
      </c>
      <c r="AF52" s="60">
        <f t="shared" ref="AF52:AK52" si="78">SUM(AF46:AF51)</f>
        <v>309.42212311136126</v>
      </c>
      <c r="AG52" s="60">
        <f t="shared" si="78"/>
        <v>284.57268169960861</v>
      </c>
      <c r="AH52" s="60">
        <f t="shared" si="78"/>
        <v>273.92941893855794</v>
      </c>
      <c r="AI52" s="60">
        <f t="shared" si="78"/>
        <v>281.38556581068917</v>
      </c>
      <c r="AJ52" s="60">
        <f t="shared" si="78"/>
        <v>288.79657200811363</v>
      </c>
      <c r="AK52" s="60">
        <f t="shared" si="78"/>
        <v>296.25814401622722</v>
      </c>
      <c r="AL52" s="60">
        <f t="shared" ref="AL52:AM52" si="79">SUM(AL46:AL51)</f>
        <v>267.17118199091078</v>
      </c>
      <c r="AM52" s="60">
        <f t="shared" si="79"/>
        <v>285.64913793103449</v>
      </c>
      <c r="AN52" s="60">
        <f t="shared" ref="AN52:AO52" si="80">SUM(AN46:AN51)</f>
        <v>270.34637931034479</v>
      </c>
      <c r="AO52" s="60">
        <f t="shared" si="80"/>
        <v>255.76189655172413</v>
      </c>
      <c r="AP52" s="60">
        <f t="shared" ref="AP52:AQ52" si="81">SUM(AP46:AP51)</f>
        <v>257.33258620689651</v>
      </c>
      <c r="AQ52" s="60">
        <f t="shared" si="81"/>
        <v>255.28517241379308</v>
      </c>
      <c r="AR52" s="60">
        <f t="shared" ref="AR52:AS52" si="82">SUM(AR46:AR51)</f>
        <v>247.77836206896555</v>
      </c>
      <c r="AS52" s="60">
        <f t="shared" si="82"/>
        <v>260.10034482758624</v>
      </c>
      <c r="AT52" s="60">
        <f t="shared" ref="AT52:AU52" si="83">SUM(AT46:AT51)</f>
        <v>267.12318965517244</v>
      </c>
      <c r="AU52" s="60">
        <f t="shared" si="83"/>
        <v>260.74034482758623</v>
      </c>
      <c r="AV52" s="60">
        <f t="shared" ref="AV52" si="84">SUM(AV46:AV51)</f>
        <v>250.01500318973913</v>
      </c>
      <c r="AW52" s="38"/>
      <c r="AX52" s="31"/>
      <c r="AY52" s="31"/>
      <c r="AZ52" s="31"/>
      <c r="BA52" s="31"/>
    </row>
    <row r="53" spans="1:54" ht="15" outlineLevel="1" thickBot="1">
      <c r="A53" s="40" t="s">
        <v>35</v>
      </c>
      <c r="B53" s="30"/>
      <c r="C53" s="31"/>
      <c r="D53" s="31"/>
      <c r="E53" s="31"/>
      <c r="F53" s="31"/>
      <c r="G53" s="31"/>
      <c r="H53" s="31"/>
      <c r="I53" s="31"/>
      <c r="J53" s="31"/>
      <c r="K53" s="31"/>
      <c r="L53" s="31"/>
      <c r="M53" s="271">
        <f>M59-M107-M113-M114-M115-M123-M124-M125-M126-M127-M128-M129-M130-M132-M133-M135-M136-M137-M138-M139-M140-M141-M142-M143</f>
        <v>118.10699999999997</v>
      </c>
      <c r="N53" s="271">
        <f>N59-N107-N113-N114-N115-N123-N124-N125-N126-N127-N128-N129-N130-N132-N133-N135-N136-N137-N138-N139-N140-N141-N142-N143</f>
        <v>139.47399999999999</v>
      </c>
      <c r="O53" s="271">
        <f>O59-O107-O113-O114-O115-O123-O124-O125-O126-O127-O128-O129-O130-O132-O133-O135-O136-O137-O138-O139-O140-O141-O142-O143</f>
        <v>140.74199999999999</v>
      </c>
      <c r="P53" s="271">
        <f>P59-P107-P113-P114-P115-P123-P124-P125-P126-P127-P128-P129-P130-P132-P133-P135-P136-P137-P138-P139-P140-P141-P142-P143</f>
        <v>89.700999999999979</v>
      </c>
      <c r="Q53" s="271">
        <f>Q59-Q107-Q113-Q114-Q115-Q123-Q124-Q125-Q126-Q127-Q128-Q129-Q130-Q132-Q133-Q135-Q136-Q137-Q138-Q139-Q140-Q141-Q142-Q143</f>
        <v>115.392</v>
      </c>
      <c r="R53" s="271">
        <f t="shared" ref="R53:AV53" si="85">R59-R107-R111-R113-R114-R115-R123-R124-R125-R126-R127-R128-R129-R130-R132-R133-R135-R136-R137-R138-R139-R140-R141-R142-R143</f>
        <v>90.575999999999993</v>
      </c>
      <c r="S53" s="363">
        <f t="shared" si="85"/>
        <v>104.07799999999997</v>
      </c>
      <c r="T53" s="363">
        <f t="shared" si="85"/>
        <v>105.9876373626374</v>
      </c>
      <c r="U53" s="363">
        <f t="shared" si="85"/>
        <v>124.39</v>
      </c>
      <c r="V53" s="363">
        <f t="shared" si="85"/>
        <v>118.44200000000002</v>
      </c>
      <c r="W53" s="363">
        <f t="shared" si="85"/>
        <v>108.9</v>
      </c>
      <c r="X53" s="363">
        <f t="shared" si="85"/>
        <v>106.32599999999999</v>
      </c>
      <c r="Y53" s="363">
        <f t="shared" si="85"/>
        <v>119.73485793868549</v>
      </c>
      <c r="Z53" s="363">
        <f t="shared" si="85"/>
        <v>88.984232274350305</v>
      </c>
      <c r="AA53" s="363">
        <f t="shared" si="85"/>
        <v>107.17399999999996</v>
      </c>
      <c r="AB53" s="363">
        <f t="shared" si="85"/>
        <v>102.68900000000004</v>
      </c>
      <c r="AC53" s="363">
        <f t="shared" si="85"/>
        <v>92.214000000000013</v>
      </c>
      <c r="AD53" s="363">
        <f t="shared" si="85"/>
        <v>91.528853501773014</v>
      </c>
      <c r="AE53" s="363">
        <f t="shared" si="85"/>
        <v>30.741</v>
      </c>
      <c r="AF53" s="363">
        <f t="shared" si="85"/>
        <v>116.96299999999999</v>
      </c>
      <c r="AG53" s="363">
        <f t="shared" si="85"/>
        <v>75.481328758432213</v>
      </c>
      <c r="AH53" s="363">
        <f t="shared" si="85"/>
        <v>102.14227184122046</v>
      </c>
      <c r="AI53" s="363">
        <f t="shared" si="85"/>
        <v>98.994</v>
      </c>
      <c r="AJ53" s="363">
        <f t="shared" si="85"/>
        <v>114.62600000000002</v>
      </c>
      <c r="AK53" s="363">
        <f t="shared" si="85"/>
        <v>91.869212509377888</v>
      </c>
      <c r="AL53" s="363">
        <f t="shared" si="85"/>
        <v>72.619469662143615</v>
      </c>
      <c r="AM53" s="363">
        <f t="shared" si="85"/>
        <v>60.745206424185156</v>
      </c>
      <c r="AN53" s="363">
        <f t="shared" si="85"/>
        <v>54.803187529522887</v>
      </c>
      <c r="AO53" s="363">
        <f t="shared" si="85"/>
        <v>38.008431833514777</v>
      </c>
      <c r="AP53" s="624">
        <f t="shared" si="85"/>
        <v>39.379858872178168</v>
      </c>
      <c r="AQ53" s="624">
        <f t="shared" si="85"/>
        <v>44.360183607825753</v>
      </c>
      <c r="AR53" s="624">
        <f t="shared" si="85"/>
        <v>43.26357568392897</v>
      </c>
      <c r="AS53" s="624">
        <f t="shared" si="85"/>
        <v>57.984407771624575</v>
      </c>
      <c r="AT53" s="624">
        <f t="shared" si="85"/>
        <v>60.981149833689742</v>
      </c>
      <c r="AU53" s="624">
        <f t="shared" si="85"/>
        <v>56.595951739646438</v>
      </c>
      <c r="AV53" s="624">
        <f t="shared" si="85"/>
        <v>46.024552396376471</v>
      </c>
      <c r="AW53" s="31"/>
      <c r="AX53" s="31"/>
      <c r="AY53" s="31"/>
      <c r="AZ53" s="31"/>
      <c r="BA53" s="31"/>
    </row>
    <row r="54" spans="1:54" s="75" customFormat="1" ht="15" outlineLevel="1" thickBot="1">
      <c r="A54" s="795" t="s">
        <v>32</v>
      </c>
      <c r="B54" s="796"/>
      <c r="C54" s="796" t="s">
        <v>33</v>
      </c>
      <c r="D54" s="796"/>
      <c r="E54" s="77">
        <f t="shared" ref="E54:AL54" si="86">E3</f>
        <v>43587</v>
      </c>
      <c r="F54" s="78">
        <f t="shared" si="86"/>
        <v>43618</v>
      </c>
      <c r="G54" s="78">
        <f t="shared" si="86"/>
        <v>43648</v>
      </c>
      <c r="H54" s="78">
        <f t="shared" si="86"/>
        <v>43679</v>
      </c>
      <c r="I54" s="78">
        <f t="shared" si="86"/>
        <v>43710</v>
      </c>
      <c r="J54" s="78">
        <f t="shared" si="86"/>
        <v>43740</v>
      </c>
      <c r="K54" s="78">
        <f t="shared" si="86"/>
        <v>43771</v>
      </c>
      <c r="L54" s="78">
        <f t="shared" si="86"/>
        <v>43801</v>
      </c>
      <c r="M54" s="78">
        <f t="shared" si="86"/>
        <v>43832</v>
      </c>
      <c r="N54" s="78">
        <f t="shared" si="86"/>
        <v>43863</v>
      </c>
      <c r="O54" s="78">
        <f t="shared" si="86"/>
        <v>43892</v>
      </c>
      <c r="P54" s="78">
        <f t="shared" si="86"/>
        <v>43923</v>
      </c>
      <c r="Q54" s="78">
        <f t="shared" si="86"/>
        <v>43953</v>
      </c>
      <c r="R54" s="78">
        <f t="shared" si="86"/>
        <v>43984</v>
      </c>
      <c r="S54" s="78">
        <f t="shared" si="86"/>
        <v>44014</v>
      </c>
      <c r="T54" s="78">
        <f t="shared" si="86"/>
        <v>44045</v>
      </c>
      <c r="U54" s="78">
        <f t="shared" si="86"/>
        <v>44076</v>
      </c>
      <c r="V54" s="78">
        <f t="shared" si="86"/>
        <v>44106</v>
      </c>
      <c r="W54" s="78">
        <f t="shared" si="86"/>
        <v>44137</v>
      </c>
      <c r="X54" s="78">
        <f t="shared" si="86"/>
        <v>44167</v>
      </c>
      <c r="Y54" s="78">
        <f t="shared" si="86"/>
        <v>44198</v>
      </c>
      <c r="Z54" s="78">
        <f t="shared" si="86"/>
        <v>44229</v>
      </c>
      <c r="AA54" s="78">
        <f t="shared" si="86"/>
        <v>44257</v>
      </c>
      <c r="AB54" s="78">
        <f t="shared" si="86"/>
        <v>44288</v>
      </c>
      <c r="AC54" s="78">
        <f t="shared" si="86"/>
        <v>44318</v>
      </c>
      <c r="AD54" s="78">
        <f t="shared" si="86"/>
        <v>44349</v>
      </c>
      <c r="AE54" s="78">
        <f t="shared" si="86"/>
        <v>44379</v>
      </c>
      <c r="AF54" s="78">
        <f t="shared" si="86"/>
        <v>44410</v>
      </c>
      <c r="AG54" s="78">
        <f t="shared" si="86"/>
        <v>44441</v>
      </c>
      <c r="AH54" s="78">
        <f t="shared" si="86"/>
        <v>44471</v>
      </c>
      <c r="AI54" s="78">
        <f t="shared" si="86"/>
        <v>44502</v>
      </c>
      <c r="AJ54" s="78">
        <f t="shared" si="86"/>
        <v>44532</v>
      </c>
      <c r="AK54" s="78">
        <f t="shared" si="86"/>
        <v>44563</v>
      </c>
      <c r="AL54" s="78">
        <f t="shared" si="86"/>
        <v>44594</v>
      </c>
      <c r="AM54" s="78">
        <f t="shared" ref="AM54:AP54" si="87">AM3</f>
        <v>44622</v>
      </c>
      <c r="AN54" s="589">
        <f t="shared" si="87"/>
        <v>44653</v>
      </c>
      <c r="AO54" s="731">
        <f t="shared" ref="AO54" si="88">AO3</f>
        <v>44683</v>
      </c>
      <c r="AP54" s="589">
        <f t="shared" si="87"/>
        <v>44714</v>
      </c>
      <c r="AQ54" s="589">
        <f t="shared" ref="AQ54:AR54" si="89">AQ3</f>
        <v>44744</v>
      </c>
      <c r="AR54" s="589">
        <f t="shared" si="89"/>
        <v>44775</v>
      </c>
      <c r="AS54" s="589">
        <f t="shared" ref="AS54:AT54" si="90">AS3</f>
        <v>44806</v>
      </c>
      <c r="AT54" s="589">
        <f t="shared" si="90"/>
        <v>44836</v>
      </c>
      <c r="AU54" s="589">
        <f t="shared" ref="AU54:AV54" si="91">AU3</f>
        <v>44867</v>
      </c>
      <c r="AV54" s="731">
        <f t="shared" si="91"/>
        <v>44897</v>
      </c>
      <c r="AW54" s="73"/>
      <c r="AX54" s="74"/>
      <c r="AY54" s="74"/>
      <c r="AZ54" s="74"/>
      <c r="BA54" s="74"/>
    </row>
    <row r="55" spans="1:54" s="75" customFormat="1" outlineLevel="1">
      <c r="A55" s="41" t="s">
        <v>129</v>
      </c>
      <c r="B55" s="42"/>
      <c r="C55" s="797" t="s">
        <v>256</v>
      </c>
      <c r="D55" s="798"/>
      <c r="E55" s="360"/>
      <c r="F55" s="360"/>
      <c r="G55" s="360"/>
      <c r="H55" s="360"/>
      <c r="I55" s="360"/>
      <c r="J55" s="360"/>
      <c r="K55" s="360"/>
      <c r="L55" s="360"/>
      <c r="M55" s="360"/>
      <c r="N55" s="360"/>
      <c r="O55" s="360"/>
      <c r="P55" s="360"/>
      <c r="Q55" s="218"/>
      <c r="R55" s="218">
        <v>70</v>
      </c>
      <c r="S55" s="218">
        <v>74.078409090909062</v>
      </c>
      <c r="T55" s="218">
        <v>80.5</v>
      </c>
      <c r="U55" s="218">
        <v>75.221000000000004</v>
      </c>
      <c r="V55" s="218">
        <v>85.72</v>
      </c>
      <c r="W55" s="218">
        <v>83.730999999999995</v>
      </c>
      <c r="X55" s="218">
        <v>85</v>
      </c>
      <c r="Y55" s="218">
        <v>93.219380729154906</v>
      </c>
      <c r="Z55" s="218">
        <v>85.441534018875444</v>
      </c>
      <c r="AA55" s="218">
        <v>98</v>
      </c>
      <c r="AB55" s="218">
        <v>86.9</v>
      </c>
      <c r="AC55" s="218">
        <v>89</v>
      </c>
      <c r="AD55" s="218">
        <v>94.238</v>
      </c>
      <c r="AE55" s="651">
        <v>47.682000000000002</v>
      </c>
      <c r="AF55" s="643">
        <v>89.749651273033137</v>
      </c>
      <c r="AG55" s="643">
        <v>86.534616232137253</v>
      </c>
      <c r="AH55" s="643">
        <v>76.468076812202298</v>
      </c>
      <c r="AI55" s="269">
        <v>89</v>
      </c>
      <c r="AJ55" s="218">
        <v>84.198794785534062</v>
      </c>
      <c r="AK55" s="218">
        <v>86.1753871600785</v>
      </c>
      <c r="AL55" s="218">
        <v>75.676666105971407</v>
      </c>
      <c r="AM55" s="218">
        <v>82.984366694701436</v>
      </c>
      <c r="AN55" s="218">
        <v>80.6695206055509</v>
      </c>
      <c r="AO55" s="218">
        <v>71.369269911802917</v>
      </c>
      <c r="AP55" s="218">
        <v>77.410899915895726</v>
      </c>
      <c r="AQ55" s="218">
        <v>79.991263246425575</v>
      </c>
      <c r="AR55" s="218">
        <v>74.432270038484106</v>
      </c>
      <c r="AS55" s="218">
        <v>80.719331370899923</v>
      </c>
      <c r="AT55" s="218">
        <v>83.409975749929913</v>
      </c>
      <c r="AU55" s="218">
        <v>80.33152649285114</v>
      </c>
      <c r="AV55" s="218">
        <v>82.805147462853938</v>
      </c>
      <c r="AW55" s="73"/>
      <c r="AX55" s="434">
        <f>SUM(Y55:AJ55)</f>
        <v>1020.4320538509371</v>
      </c>
      <c r="AY55" s="74"/>
      <c r="AZ55" s="732">
        <f>SUM(AK55:AV55)</f>
        <v>955.97562475544544</v>
      </c>
      <c r="BA55" s="74"/>
    </row>
    <row r="56" spans="1:54" s="75" customFormat="1" outlineLevel="1">
      <c r="A56" s="43" t="s">
        <v>130</v>
      </c>
      <c r="B56" s="44"/>
      <c r="C56" s="790" t="str">
        <f>C55</f>
        <v>Ability 12rev5_23Nov'21</v>
      </c>
      <c r="D56" s="793"/>
      <c r="E56" s="360"/>
      <c r="F56" s="360"/>
      <c r="G56" s="360"/>
      <c r="H56" s="360"/>
      <c r="I56" s="360"/>
      <c r="J56" s="360"/>
      <c r="K56" s="360"/>
      <c r="L56" s="360"/>
      <c r="M56" s="360"/>
      <c r="N56" s="360"/>
      <c r="O56" s="360"/>
      <c r="P56" s="360"/>
      <c r="Q56" s="218"/>
      <c r="R56" s="218">
        <f t="shared" ref="R56:W56" si="92">R59-R55</f>
        <v>168.5</v>
      </c>
      <c r="S56" s="218">
        <f t="shared" si="92"/>
        <v>176.52959090909093</v>
      </c>
      <c r="T56" s="218">
        <f t="shared" si="92"/>
        <v>189.8</v>
      </c>
      <c r="U56" s="218">
        <f t="shared" si="92"/>
        <v>200.779</v>
      </c>
      <c r="V56" s="218">
        <f t="shared" si="92"/>
        <v>194.08200000000002</v>
      </c>
      <c r="W56" s="218">
        <f t="shared" si="92"/>
        <v>171.96899999999999</v>
      </c>
      <c r="X56" s="218">
        <f t="shared" ref="X56:AL56" si="93">X59-X55</f>
        <v>182.7</v>
      </c>
      <c r="Y56" s="218">
        <f t="shared" si="93"/>
        <v>184.18247720953059</v>
      </c>
      <c r="Z56" s="544">
        <f t="shared" si="93"/>
        <v>168.89869825547487</v>
      </c>
      <c r="AA56" s="544">
        <f t="shared" si="93"/>
        <v>187</v>
      </c>
      <c r="AB56" s="544">
        <f t="shared" si="93"/>
        <v>177.6</v>
      </c>
      <c r="AC56" s="544">
        <f t="shared" si="93"/>
        <v>201.161</v>
      </c>
      <c r="AD56" s="544">
        <f>AD59-AD55</f>
        <v>189.04585350177302</v>
      </c>
      <c r="AE56" s="544">
        <f t="shared" si="93"/>
        <v>166.31799999999998</v>
      </c>
      <c r="AF56" s="544">
        <f>AF59-AF55</f>
        <v>189.25034872696688</v>
      </c>
      <c r="AG56" s="544">
        <f t="shared" si="93"/>
        <v>170.22171252629494</v>
      </c>
      <c r="AH56" s="544">
        <f t="shared" si="93"/>
        <v>165.77219502901818</v>
      </c>
      <c r="AI56" s="544">
        <f t="shared" si="93"/>
        <v>161</v>
      </c>
      <c r="AJ56" s="544">
        <f t="shared" si="93"/>
        <v>174.80120521446594</v>
      </c>
      <c r="AK56" s="544">
        <f t="shared" si="93"/>
        <v>180.7127568561487</v>
      </c>
      <c r="AL56" s="544">
        <f t="shared" si="93"/>
        <v>163.11951588493935</v>
      </c>
      <c r="AM56" s="544">
        <f t="shared" ref="AM56:AN56" si="94">AM59-AM55</f>
        <v>172.36477123633304</v>
      </c>
      <c r="AN56" s="544">
        <f t="shared" si="94"/>
        <v>165.8218587047939</v>
      </c>
      <c r="AO56" s="544">
        <f t="shared" ref="AO56:AP56" si="95">AO59-AO55</f>
        <v>154.71262663992121</v>
      </c>
      <c r="AP56" s="544">
        <f t="shared" si="95"/>
        <v>152.16668629100079</v>
      </c>
      <c r="AQ56" s="544">
        <f t="shared" ref="AQ56:AR56" si="96">AQ59-AQ55</f>
        <v>157.2389091673675</v>
      </c>
      <c r="AR56" s="544">
        <f t="shared" si="96"/>
        <v>153.43109203048141</v>
      </c>
      <c r="AS56" s="544">
        <f t="shared" ref="AS56:AT56" si="97">AS59-AS55</f>
        <v>165.96601345668631</v>
      </c>
      <c r="AT56" s="544">
        <f t="shared" si="97"/>
        <v>171.49821390524252</v>
      </c>
      <c r="AU56" s="544">
        <f t="shared" ref="AU56:AV56" si="98">AU59-AU55</f>
        <v>166.35381833473511</v>
      </c>
      <c r="AV56" s="544">
        <f t="shared" si="98"/>
        <v>153.75485572688518</v>
      </c>
      <c r="AW56" s="73"/>
      <c r="AX56" s="543"/>
      <c r="AY56" s="74"/>
      <c r="AZ56" s="732">
        <f>SUM(AK56:AV56)</f>
        <v>1957.1411182345346</v>
      </c>
      <c r="BA56" s="74"/>
    </row>
    <row r="57" spans="1:54" s="75" customFormat="1" outlineLevel="1">
      <c r="A57" s="540" t="s">
        <v>192</v>
      </c>
      <c r="B57" s="44"/>
      <c r="C57" s="808" t="str">
        <f>C55</f>
        <v>Ability 12rev5_23Nov'21</v>
      </c>
      <c r="D57" s="809"/>
      <c r="E57" s="360"/>
      <c r="F57" s="360"/>
      <c r="G57" s="360"/>
      <c r="H57" s="360"/>
      <c r="I57" s="360"/>
      <c r="J57" s="360"/>
      <c r="K57" s="360"/>
      <c r="L57" s="360"/>
      <c r="M57" s="360"/>
      <c r="N57" s="360"/>
      <c r="O57" s="360"/>
      <c r="P57" s="360"/>
      <c r="Q57" s="218"/>
      <c r="R57" s="218"/>
      <c r="S57" s="218"/>
      <c r="T57" s="218"/>
      <c r="U57" s="218"/>
      <c r="V57" s="218"/>
      <c r="W57" s="218"/>
      <c r="X57" s="218"/>
      <c r="Y57" s="218"/>
      <c r="Z57" s="542">
        <v>38.612364983928693</v>
      </c>
      <c r="AA57" s="542">
        <v>43.169512195121946</v>
      </c>
      <c r="AB57" s="542">
        <v>56.726731707317072</v>
      </c>
      <c r="AC57" s="542">
        <v>71.565375161550747</v>
      </c>
      <c r="AD57" s="542">
        <v>58.113</v>
      </c>
      <c r="AE57" s="542">
        <v>82.88682871836977</v>
      </c>
      <c r="AF57" s="542">
        <v>54.557517241379337</v>
      </c>
      <c r="AG57" s="542">
        <v>64.153119295173951</v>
      </c>
      <c r="AH57" s="542">
        <v>54.917734799985176</v>
      </c>
      <c r="AI57" s="542">
        <v>52.66437993273901</v>
      </c>
      <c r="AJ57" s="542">
        <v>43.604709840201878</v>
      </c>
      <c r="AK57" s="542">
        <v>45.901068124474364</v>
      </c>
      <c r="AL57" s="542">
        <v>53.33684843129528</v>
      </c>
      <c r="AM57" s="542">
        <v>42.228048780487804</v>
      </c>
      <c r="AN57" s="542">
        <v>57.518566021867137</v>
      </c>
      <c r="AO57" s="542">
        <v>47.837216148023536</v>
      </c>
      <c r="AP57" s="542">
        <v>40.865853658536587</v>
      </c>
      <c r="AQ57" s="542">
        <v>42.228048780487804</v>
      </c>
      <c r="AR57" s="542">
        <v>42.228048780487804</v>
      </c>
      <c r="AS57" s="542">
        <v>40.536585365853675</v>
      </c>
      <c r="AT57" s="542">
        <v>41.887804878048797</v>
      </c>
      <c r="AU57" s="542">
        <v>40.756097560975604</v>
      </c>
      <c r="AV57" s="542">
        <v>42.467354596622876</v>
      </c>
      <c r="AW57" s="73"/>
      <c r="AX57" s="543"/>
      <c r="AY57" s="74" t="s">
        <v>225</v>
      </c>
      <c r="AZ57" s="74"/>
      <c r="BA57" s="74"/>
    </row>
    <row r="58" spans="1:54" s="75" customFormat="1" outlineLevel="1">
      <c r="A58" s="540" t="s">
        <v>193</v>
      </c>
      <c r="B58" s="44"/>
      <c r="C58" s="808" t="str">
        <f>C55</f>
        <v>Ability 12rev5_23Nov'21</v>
      </c>
      <c r="D58" s="809"/>
      <c r="E58" s="360"/>
      <c r="F58" s="360"/>
      <c r="G58" s="360"/>
      <c r="H58" s="360"/>
      <c r="I58" s="360"/>
      <c r="J58" s="360"/>
      <c r="K58" s="360"/>
      <c r="L58" s="360"/>
      <c r="M58" s="360"/>
      <c r="N58" s="360"/>
      <c r="O58" s="360"/>
      <c r="P58" s="360"/>
      <c r="Q58" s="218"/>
      <c r="R58" s="218"/>
      <c r="S58" s="218"/>
      <c r="T58" s="218"/>
      <c r="U58" s="218"/>
      <c r="V58" s="218"/>
      <c r="W58" s="218"/>
      <c r="X58" s="218"/>
      <c r="Y58" s="218"/>
      <c r="Z58" s="542">
        <v>130.2863332715462</v>
      </c>
      <c r="AA58" s="542">
        <v>148.70393375022635</v>
      </c>
      <c r="AB58" s="542">
        <v>123.2011473354232</v>
      </c>
      <c r="AC58" s="542">
        <v>122.08791091068261</v>
      </c>
      <c r="AD58" s="542">
        <v>133.84585350177301</v>
      </c>
      <c r="AE58" s="542">
        <v>80.936378726555262</v>
      </c>
      <c r="AF58" s="542">
        <v>138.80929131094459</v>
      </c>
      <c r="AG58" s="542">
        <v>106.06859323112101</v>
      </c>
      <c r="AH58" s="542">
        <v>110.85446022903311</v>
      </c>
      <c r="AI58" s="542">
        <v>114.01676499858367</v>
      </c>
      <c r="AJ58" s="542">
        <v>132.2880673823777</v>
      </c>
      <c r="AK58" s="542">
        <v>134.81168873167434</v>
      </c>
      <c r="AL58" s="542">
        <v>109.78266745364407</v>
      </c>
      <c r="AM58" s="542">
        <v>130.13672245584522</v>
      </c>
      <c r="AN58" s="542">
        <v>108.30329268292675</v>
      </c>
      <c r="AO58" s="542">
        <v>106.87541049189767</v>
      </c>
      <c r="AP58" s="542">
        <v>111.30083263246422</v>
      </c>
      <c r="AQ58" s="542">
        <v>115.01086038687973</v>
      </c>
      <c r="AR58" s="542">
        <v>111.20304324999361</v>
      </c>
      <c r="AS58" s="542">
        <v>125.42942809083266</v>
      </c>
      <c r="AT58" s="542">
        <v>129.61040902719375</v>
      </c>
      <c r="AU58" s="542">
        <v>125.59772077375951</v>
      </c>
      <c r="AV58" s="542">
        <v>111.28750113026231</v>
      </c>
      <c r="AW58" s="73"/>
      <c r="AX58" s="74"/>
      <c r="AY58" s="74" t="s">
        <v>227</v>
      </c>
      <c r="AZ58" s="74" t="s">
        <v>222</v>
      </c>
      <c r="BA58" s="74" t="s">
        <v>223</v>
      </c>
      <c r="BB58" s="74" t="s">
        <v>73</v>
      </c>
    </row>
    <row r="59" spans="1:54" s="3" customFormat="1" outlineLevel="1">
      <c r="A59" s="43" t="s">
        <v>128</v>
      </c>
      <c r="B59" s="44"/>
      <c r="C59" s="790" t="str">
        <f>C55</f>
        <v>Ability 12rev5_23Nov'21</v>
      </c>
      <c r="D59" s="793"/>
      <c r="E59" s="362">
        <v>290.613</v>
      </c>
      <c r="F59" s="117">
        <v>302.52800000000002</v>
      </c>
      <c r="G59" s="117">
        <v>320.20999999999998</v>
      </c>
      <c r="H59" s="69">
        <v>318.428</v>
      </c>
      <c r="I59" s="69">
        <v>304.23599999999999</v>
      </c>
      <c r="J59" s="218">
        <v>311</v>
      </c>
      <c r="K59" s="218">
        <v>316.3</v>
      </c>
      <c r="L59" s="259">
        <v>308.76</v>
      </c>
      <c r="M59" s="218">
        <v>274.16699999999997</v>
      </c>
      <c r="N59" s="218">
        <v>269</v>
      </c>
      <c r="O59" s="218">
        <v>299.5</v>
      </c>
      <c r="P59" s="340">
        <v>248.80099999999999</v>
      </c>
      <c r="Q59" s="218">
        <v>225</v>
      </c>
      <c r="R59" s="218">
        <v>238.5</v>
      </c>
      <c r="S59" s="218">
        <f>251.608-1</f>
        <v>250.608</v>
      </c>
      <c r="T59" s="218">
        <v>270.3</v>
      </c>
      <c r="U59" s="218">
        <v>276</v>
      </c>
      <c r="V59" s="218">
        <v>279.80200000000002</v>
      </c>
      <c r="W59" s="218">
        <v>255.7</v>
      </c>
      <c r="X59" s="259">
        <v>267.7</v>
      </c>
      <c r="Y59" s="218">
        <v>277.40185793868551</v>
      </c>
      <c r="Z59" s="218">
        <v>254.34023227435031</v>
      </c>
      <c r="AA59" s="218">
        <f>286-1</f>
        <v>285</v>
      </c>
      <c r="AB59" s="218">
        <v>264.5</v>
      </c>
      <c r="AC59" s="218">
        <v>290.161</v>
      </c>
      <c r="AD59" s="218">
        <v>283.28385350177302</v>
      </c>
      <c r="AE59" s="651">
        <v>214</v>
      </c>
      <c r="AF59" s="651">
        <v>279</v>
      </c>
      <c r="AG59" s="643">
        <v>256.75632875843218</v>
      </c>
      <c r="AH59" s="643">
        <v>242.24027184122048</v>
      </c>
      <c r="AI59" s="218">
        <v>250</v>
      </c>
      <c r="AJ59" s="218">
        <v>259</v>
      </c>
      <c r="AK59" s="218">
        <v>266.88814401622722</v>
      </c>
      <c r="AL59" s="218">
        <v>238.79618199091075</v>
      </c>
      <c r="AM59" s="218">
        <v>255.34913793103448</v>
      </c>
      <c r="AN59" s="218">
        <v>246.4913793103448</v>
      </c>
      <c r="AO59" s="218">
        <v>226.08189655172413</v>
      </c>
      <c r="AP59" s="218">
        <v>229.57758620689651</v>
      </c>
      <c r="AQ59" s="218">
        <v>237.23017241379307</v>
      </c>
      <c r="AR59" s="218">
        <v>227.86336206896553</v>
      </c>
      <c r="AS59" s="218">
        <v>246.68534482758625</v>
      </c>
      <c r="AT59" s="218">
        <v>254.90818965517244</v>
      </c>
      <c r="AU59" s="218">
        <v>246.68534482758625</v>
      </c>
      <c r="AV59" s="218">
        <v>236.56000318973912</v>
      </c>
      <c r="AW59" s="38"/>
      <c r="AX59" s="434">
        <f>SUM(Y59:AJ59)+SUM(Y64:AJ64)</f>
        <v>3316.3278443144613</v>
      </c>
      <c r="AY59" s="694">
        <f>AY63+AY65</f>
        <v>60.096642000000003</v>
      </c>
      <c r="AZ59" s="694">
        <f t="shared" ref="AZ59:BA59" si="99">AZ63+AZ65</f>
        <v>219.57681900000003</v>
      </c>
      <c r="BA59" s="694">
        <f t="shared" si="99"/>
        <v>234.63619200000002</v>
      </c>
      <c r="BB59" s="348"/>
    </row>
    <row r="60" spans="1:54" s="3" customFormat="1" outlineLevel="1">
      <c r="A60" s="43" t="s">
        <v>28</v>
      </c>
      <c r="B60" s="44"/>
      <c r="C60" s="789">
        <v>44511</v>
      </c>
      <c r="D60" s="794"/>
      <c r="E60" s="362"/>
      <c r="F60" s="117"/>
      <c r="G60" s="117"/>
      <c r="H60" s="69"/>
      <c r="I60" s="69"/>
      <c r="J60" s="218"/>
      <c r="K60" s="218"/>
      <c r="L60" s="259"/>
      <c r="M60" s="218"/>
      <c r="N60" s="218"/>
      <c r="O60" s="322">
        <v>0.68</v>
      </c>
      <c r="P60" s="319">
        <v>0.7</v>
      </c>
      <c r="Q60" s="319">
        <v>0.6</v>
      </c>
      <c r="R60" s="319">
        <v>0</v>
      </c>
      <c r="S60" s="319">
        <v>0.6</v>
      </c>
      <c r="T60" s="322">
        <v>0.6</v>
      </c>
      <c r="U60" s="322">
        <v>1.2</v>
      </c>
      <c r="V60" s="451">
        <v>0</v>
      </c>
      <c r="W60" s="451">
        <v>0.6</v>
      </c>
      <c r="X60" s="319">
        <v>1.88</v>
      </c>
      <c r="Y60" s="459">
        <v>0</v>
      </c>
      <c r="Z60" s="523">
        <v>2.4</v>
      </c>
      <c r="AA60" s="508">
        <v>1.2</v>
      </c>
      <c r="AB60" s="508">
        <v>1.2</v>
      </c>
      <c r="AC60" s="508">
        <v>1.2</v>
      </c>
      <c r="AD60" s="629">
        <v>0</v>
      </c>
      <c r="AE60" s="631">
        <v>0</v>
      </c>
      <c r="AF60" s="631">
        <v>0.6</v>
      </c>
      <c r="AG60" s="631">
        <v>0.6</v>
      </c>
      <c r="AH60" s="631">
        <v>1.8</v>
      </c>
      <c r="AI60" s="631">
        <v>1.2</v>
      </c>
      <c r="AJ60" s="648">
        <v>1.8</v>
      </c>
      <c r="AK60" s="630">
        <v>0</v>
      </c>
      <c r="AL60" s="630">
        <v>0</v>
      </c>
      <c r="AM60" s="630">
        <v>0</v>
      </c>
      <c r="AN60" s="630">
        <v>0</v>
      </c>
      <c r="AO60" s="630">
        <v>0</v>
      </c>
      <c r="AP60" s="630">
        <v>0</v>
      </c>
      <c r="AQ60" s="630">
        <v>0</v>
      </c>
      <c r="AR60" s="630">
        <v>0</v>
      </c>
      <c r="AS60" s="630">
        <v>0</v>
      </c>
      <c r="AT60" s="630">
        <v>0</v>
      </c>
      <c r="AU60" s="630">
        <v>0</v>
      </c>
      <c r="AV60" s="630">
        <v>0</v>
      </c>
      <c r="AW60" s="38"/>
      <c r="AX60" s="695">
        <f>BA68</f>
        <v>0.40162471709153291</v>
      </c>
      <c r="AY60" s="663">
        <v>1</v>
      </c>
      <c r="AZ60" s="663">
        <f>BA68</f>
        <v>0.40162471709153291</v>
      </c>
      <c r="BA60" s="663">
        <f>BA68</f>
        <v>0.40162471709153291</v>
      </c>
      <c r="BB60" s="663"/>
    </row>
    <row r="61" spans="1:54" outlineLevel="1">
      <c r="A61" s="43" t="s">
        <v>0</v>
      </c>
      <c r="B61" s="44"/>
      <c r="C61" s="789">
        <v>44511</v>
      </c>
      <c r="D61" s="794"/>
      <c r="E61" s="70">
        <v>15.573</v>
      </c>
      <c r="F61" s="93">
        <v>16</v>
      </c>
      <c r="G61" s="70">
        <v>21</v>
      </c>
      <c r="H61" s="93">
        <v>25</v>
      </c>
      <c r="I61" s="93">
        <v>25</v>
      </c>
      <c r="J61" s="93">
        <v>22</v>
      </c>
      <c r="K61" s="219">
        <v>23</v>
      </c>
      <c r="L61" s="219">
        <v>25</v>
      </c>
      <c r="M61" s="218">
        <f>23-3</f>
        <v>20</v>
      </c>
      <c r="N61" s="269">
        <v>18</v>
      </c>
      <c r="O61" s="259">
        <v>7</v>
      </c>
      <c r="P61" s="259">
        <v>2</v>
      </c>
      <c r="Q61" s="220">
        <v>6</v>
      </c>
      <c r="R61" s="220">
        <v>0</v>
      </c>
      <c r="S61" s="257">
        <v>4</v>
      </c>
      <c r="T61" s="257">
        <v>1.2</v>
      </c>
      <c r="U61" s="257">
        <v>0</v>
      </c>
      <c r="V61" s="257">
        <v>0</v>
      </c>
      <c r="W61" s="256">
        <v>13</v>
      </c>
      <c r="X61" s="256">
        <v>11.6</v>
      </c>
      <c r="Y61" s="256">
        <v>19</v>
      </c>
      <c r="Z61" s="256">
        <f>3+12</f>
        <v>15</v>
      </c>
      <c r="AA61" s="257">
        <v>0</v>
      </c>
      <c r="AB61" s="257">
        <v>2</v>
      </c>
      <c r="AC61" s="257">
        <v>0</v>
      </c>
      <c r="AD61" s="631">
        <v>0</v>
      </c>
      <c r="AE61" s="631">
        <v>0</v>
      </c>
      <c r="AF61" s="631">
        <v>0</v>
      </c>
      <c r="AG61" s="631">
        <v>0</v>
      </c>
      <c r="AH61" s="631">
        <v>1</v>
      </c>
      <c r="AI61" s="648">
        <v>4</v>
      </c>
      <c r="AJ61" s="631">
        <v>0</v>
      </c>
      <c r="AK61" s="631">
        <v>0</v>
      </c>
      <c r="AL61" s="631">
        <v>0</v>
      </c>
      <c r="AM61" s="631">
        <v>0</v>
      </c>
      <c r="AN61" s="631">
        <v>0</v>
      </c>
      <c r="AO61" s="631">
        <v>0</v>
      </c>
      <c r="AP61" s="631">
        <v>0</v>
      </c>
      <c r="AQ61" s="631">
        <v>0</v>
      </c>
      <c r="AR61" s="631">
        <v>0</v>
      </c>
      <c r="AS61" s="631">
        <v>0</v>
      </c>
      <c r="AT61" s="631">
        <v>0</v>
      </c>
      <c r="AU61" s="631">
        <v>0</v>
      </c>
      <c r="AV61" s="631">
        <v>0</v>
      </c>
      <c r="AW61" s="38"/>
      <c r="AX61" s="31"/>
      <c r="AY61" s="31"/>
      <c r="AZ61" s="31"/>
      <c r="BA61" s="31"/>
    </row>
    <row r="62" spans="1:54" outlineLevel="1">
      <c r="A62" s="43" t="s">
        <v>1</v>
      </c>
      <c r="B62" s="44"/>
      <c r="C62" s="789">
        <v>44522</v>
      </c>
      <c r="D62" s="794"/>
      <c r="E62" s="70">
        <v>8.4</v>
      </c>
      <c r="F62" s="70">
        <v>6.2</v>
      </c>
      <c r="G62" s="93">
        <v>7.2</v>
      </c>
      <c r="H62" s="224">
        <v>7.2</v>
      </c>
      <c r="I62" s="93">
        <v>7.4</v>
      </c>
      <c r="J62" s="93">
        <v>6.7</v>
      </c>
      <c r="K62" s="257">
        <v>0</v>
      </c>
      <c r="L62" s="260">
        <v>3.96</v>
      </c>
      <c r="M62" s="257">
        <v>6.37</v>
      </c>
      <c r="N62" s="257">
        <v>6.1</v>
      </c>
      <c r="O62" s="257">
        <v>6.4799999999999995</v>
      </c>
      <c r="P62" s="257">
        <v>4.3</v>
      </c>
      <c r="Q62" s="257">
        <v>3</v>
      </c>
      <c r="R62" s="257">
        <v>3</v>
      </c>
      <c r="S62" s="257">
        <v>3.5</v>
      </c>
      <c r="T62" s="257">
        <v>3</v>
      </c>
      <c r="U62" s="256">
        <v>3.6</v>
      </c>
      <c r="V62" s="256">
        <f>8.06-2+0.7</f>
        <v>6.7600000000000007</v>
      </c>
      <c r="W62" s="256">
        <v>6.06</v>
      </c>
      <c r="X62" s="260">
        <v>6.67</v>
      </c>
      <c r="Y62" s="260">
        <v>8.3699999999999992</v>
      </c>
      <c r="Z62" s="260">
        <f>6.48+0.6+0.6</f>
        <v>7.68</v>
      </c>
      <c r="AA62" s="260">
        <v>6.63</v>
      </c>
      <c r="AB62" s="257">
        <v>5.73</v>
      </c>
      <c r="AC62" s="256">
        <v>5.76</v>
      </c>
      <c r="AD62" s="631">
        <f>5.78-0.81-0.11</f>
        <v>4.8600000000000003</v>
      </c>
      <c r="AE62" s="648">
        <f>6.12-0.72</f>
        <v>5.4</v>
      </c>
      <c r="AF62" s="631">
        <v>6.12</v>
      </c>
      <c r="AG62" s="631">
        <v>5.4</v>
      </c>
      <c r="AH62" s="648">
        <f>5.4-0.9</f>
        <v>4.5</v>
      </c>
      <c r="AI62" s="648">
        <v>5.4</v>
      </c>
      <c r="AJ62" s="631">
        <v>6.12</v>
      </c>
      <c r="AK62" s="631">
        <v>6.66</v>
      </c>
      <c r="AL62" s="631">
        <v>6.66</v>
      </c>
      <c r="AM62" s="631">
        <v>6.66</v>
      </c>
      <c r="AN62" s="631">
        <v>6.66</v>
      </c>
      <c r="AO62" s="631">
        <v>6.66</v>
      </c>
      <c r="AP62" s="631">
        <v>6.12</v>
      </c>
      <c r="AQ62" s="631">
        <v>6.12</v>
      </c>
      <c r="AR62" s="631">
        <v>6.12</v>
      </c>
      <c r="AS62" s="631">
        <v>6.12</v>
      </c>
      <c r="AT62" s="631">
        <v>6.12</v>
      </c>
      <c r="AU62" s="631">
        <v>6.12</v>
      </c>
      <c r="AV62" s="631">
        <v>6.12</v>
      </c>
      <c r="AW62" s="38"/>
      <c r="AX62" s="74" t="s">
        <v>226</v>
      </c>
      <c r="AY62" s="74" t="s">
        <v>227</v>
      </c>
      <c r="AZ62" s="74" t="s">
        <v>222</v>
      </c>
      <c r="BA62" s="74" t="s">
        <v>223</v>
      </c>
    </row>
    <row r="63" spans="1:54" outlineLevel="1">
      <c r="A63" s="43" t="s">
        <v>27</v>
      </c>
      <c r="B63" s="44"/>
      <c r="C63" s="789">
        <v>44511</v>
      </c>
      <c r="D63" s="794"/>
      <c r="E63" s="70">
        <v>5.89</v>
      </c>
      <c r="F63" s="70">
        <v>6.22</v>
      </c>
      <c r="G63" s="70">
        <v>5.89</v>
      </c>
      <c r="H63" s="70">
        <v>6.05</v>
      </c>
      <c r="I63" s="70">
        <v>5.85</v>
      </c>
      <c r="J63" s="70">
        <v>6.05</v>
      </c>
      <c r="K63" s="256">
        <v>6.7</v>
      </c>
      <c r="L63" s="257">
        <v>6.05</v>
      </c>
      <c r="M63" s="257">
        <v>6.2</v>
      </c>
      <c r="N63" s="257">
        <v>5.66</v>
      </c>
      <c r="O63" s="257">
        <v>6.0449999999999999</v>
      </c>
      <c r="P63" s="257">
        <v>5.85</v>
      </c>
      <c r="Q63" s="257">
        <v>4.5999999999999996</v>
      </c>
      <c r="R63" s="257">
        <v>5.7</v>
      </c>
      <c r="S63" s="257">
        <v>5.7</v>
      </c>
      <c r="T63" s="257">
        <v>5.68</v>
      </c>
      <c r="U63" s="257">
        <v>5.4</v>
      </c>
      <c r="V63" s="260">
        <v>5.8</v>
      </c>
      <c r="W63" s="260">
        <v>5.4</v>
      </c>
      <c r="X63" s="260">
        <v>5.58</v>
      </c>
      <c r="Y63" s="260">
        <v>5.4870000000000001</v>
      </c>
      <c r="Z63" s="260">
        <v>5.32</v>
      </c>
      <c r="AA63" s="260">
        <v>5.74</v>
      </c>
      <c r="AB63" s="257">
        <v>5.8220000000000001</v>
      </c>
      <c r="AC63" s="257">
        <v>5.7350000000000003</v>
      </c>
      <c r="AD63" s="631">
        <v>5.99</v>
      </c>
      <c r="AE63" s="631">
        <v>5.7350000000000003</v>
      </c>
      <c r="AF63" s="631">
        <v>5.7350000000000003</v>
      </c>
      <c r="AG63" s="631">
        <v>5.55</v>
      </c>
      <c r="AH63" s="648">
        <f>5.735-0.279</f>
        <v>5.4560000000000004</v>
      </c>
      <c r="AI63" s="631">
        <v>5.55</v>
      </c>
      <c r="AJ63" s="631">
        <v>5.4249999999999998</v>
      </c>
      <c r="AK63" s="631">
        <v>5.7350000000000003</v>
      </c>
      <c r="AL63" s="631">
        <v>5.18</v>
      </c>
      <c r="AM63" s="631">
        <v>5.7350000000000003</v>
      </c>
      <c r="AN63" s="631">
        <v>5.7350000000000003</v>
      </c>
      <c r="AO63" s="631">
        <v>5.7350000000000003</v>
      </c>
      <c r="AP63" s="631">
        <v>5.7350000000000003</v>
      </c>
      <c r="AQ63" s="631">
        <v>5.7350000000000003</v>
      </c>
      <c r="AR63" s="631">
        <v>5.7350000000000003</v>
      </c>
      <c r="AS63" s="631">
        <v>5.7350000000000003</v>
      </c>
      <c r="AT63" s="631">
        <v>5.7350000000000003</v>
      </c>
      <c r="AU63" s="631">
        <v>5.7350000000000003</v>
      </c>
      <c r="AV63" s="631">
        <v>5.7350000000000003</v>
      </c>
      <c r="AW63" s="38"/>
      <c r="AX63" s="666"/>
      <c r="AY63" s="31">
        <v>13</v>
      </c>
      <c r="AZ63" s="31">
        <f>(22*3)-AY63</f>
        <v>53</v>
      </c>
      <c r="BA63" s="31">
        <f>22*3</f>
        <v>66</v>
      </c>
    </row>
    <row r="64" spans="1:54" ht="15" outlineLevel="1" thickBot="1">
      <c r="A64" s="51" t="s">
        <v>5</v>
      </c>
      <c r="B64" s="52"/>
      <c r="C64" s="791">
        <v>44502</v>
      </c>
      <c r="D64" s="805"/>
      <c r="E64" s="70">
        <v>15.6</v>
      </c>
      <c r="F64" s="70">
        <v>16.100000000000001</v>
      </c>
      <c r="G64" s="70">
        <v>16.027000000000001</v>
      </c>
      <c r="H64" s="70">
        <v>14</v>
      </c>
      <c r="I64" s="70">
        <v>15.45</v>
      </c>
      <c r="J64" s="70">
        <v>10.85</v>
      </c>
      <c r="K64" s="220">
        <v>13.15</v>
      </c>
      <c r="L64" s="220">
        <v>13.26</v>
      </c>
      <c r="M64" s="220">
        <v>17</v>
      </c>
      <c r="N64" s="220">
        <v>17.5</v>
      </c>
      <c r="O64" s="220">
        <v>15</v>
      </c>
      <c r="P64" s="257">
        <v>16.5</v>
      </c>
      <c r="Q64" s="220">
        <v>15</v>
      </c>
      <c r="R64" s="257">
        <v>14.5</v>
      </c>
      <c r="S64" s="257">
        <v>15.5</v>
      </c>
      <c r="T64" s="257">
        <v>13.04</v>
      </c>
      <c r="U64" s="257">
        <v>17.2</v>
      </c>
      <c r="V64" s="256">
        <v>15.83</v>
      </c>
      <c r="W64" s="257">
        <v>16.2</v>
      </c>
      <c r="X64" s="260">
        <v>15.4</v>
      </c>
      <c r="Y64" s="256">
        <v>11</v>
      </c>
      <c r="Z64" s="260">
        <v>6.72</v>
      </c>
      <c r="AA64" s="260">
        <v>13.5</v>
      </c>
      <c r="AB64" s="260">
        <v>15</v>
      </c>
      <c r="AC64" s="260">
        <v>15.5</v>
      </c>
      <c r="AD64" s="632">
        <f>13.95-1.5</f>
        <v>12.45</v>
      </c>
      <c r="AE64" s="632">
        <v>9</v>
      </c>
      <c r="AF64" s="632">
        <v>13</v>
      </c>
      <c r="AG64" s="632">
        <v>16.5</v>
      </c>
      <c r="AH64" s="632">
        <v>18.445</v>
      </c>
      <c r="AI64" s="632">
        <v>15.75</v>
      </c>
      <c r="AJ64" s="632">
        <v>13.779299999999996</v>
      </c>
      <c r="AK64" s="632">
        <v>13.055</v>
      </c>
      <c r="AL64" s="632">
        <v>12.88</v>
      </c>
      <c r="AM64" s="632">
        <v>16.43</v>
      </c>
      <c r="AN64" s="632">
        <v>9.3000000000000007</v>
      </c>
      <c r="AO64" s="632">
        <v>17.36</v>
      </c>
      <c r="AP64" s="632">
        <v>13.65</v>
      </c>
      <c r="AQ64" s="632">
        <v>4.9349999999999996</v>
      </c>
      <c r="AR64" s="632">
        <v>6.2</v>
      </c>
      <c r="AS64" s="632">
        <v>1.2949999999999999</v>
      </c>
      <c r="AT64" s="632">
        <v>0.33</v>
      </c>
      <c r="AU64" s="632">
        <v>3.3229219999999993</v>
      </c>
      <c r="AV64" s="632">
        <v>1.2949999999999999</v>
      </c>
      <c r="AW64" s="38"/>
      <c r="AX64" s="74" t="s">
        <v>224</v>
      </c>
      <c r="AY64" s="74" t="s">
        <v>227</v>
      </c>
      <c r="AZ64" s="74" t="s">
        <v>222</v>
      </c>
      <c r="BA64" s="74" t="s">
        <v>223</v>
      </c>
    </row>
    <row r="65" spans="1:57" ht="15" outlineLevel="1" thickBot="1">
      <c r="A65" s="806" t="s">
        <v>31</v>
      </c>
      <c r="B65" s="807"/>
      <c r="C65" s="807"/>
      <c r="D65" s="807"/>
      <c r="E65" s="59">
        <f>SUM(E59:E64)</f>
        <v>336.07599999999996</v>
      </c>
      <c r="F65" s="60">
        <f t="shared" ref="F65:Y65" si="100">SUM(F59:F64)</f>
        <v>347.04800000000006</v>
      </c>
      <c r="G65" s="60">
        <f t="shared" si="100"/>
        <v>370.32699999999994</v>
      </c>
      <c r="H65" s="60">
        <f t="shared" si="100"/>
        <v>370.678</v>
      </c>
      <c r="I65" s="60">
        <f t="shared" si="100"/>
        <v>357.93599999999998</v>
      </c>
      <c r="J65" s="60">
        <f t="shared" si="100"/>
        <v>356.6</v>
      </c>
      <c r="K65" s="60">
        <f t="shared" si="100"/>
        <v>359.15</v>
      </c>
      <c r="L65" s="60">
        <f t="shared" si="100"/>
        <v>357.03</v>
      </c>
      <c r="M65" s="60">
        <f t="shared" si="100"/>
        <v>323.73699999999997</v>
      </c>
      <c r="N65" s="60">
        <f t="shared" si="100"/>
        <v>316.26000000000005</v>
      </c>
      <c r="O65" s="60">
        <f t="shared" si="100"/>
        <v>334.70500000000004</v>
      </c>
      <c r="P65" s="60">
        <f t="shared" si="100"/>
        <v>278.15100000000001</v>
      </c>
      <c r="Q65" s="60">
        <f t="shared" si="100"/>
        <v>254.2</v>
      </c>
      <c r="R65" s="60">
        <f t="shared" si="100"/>
        <v>261.7</v>
      </c>
      <c r="S65" s="60">
        <f>SUM(S59:S64)</f>
        <v>279.90799999999996</v>
      </c>
      <c r="T65" s="60">
        <f>SUM(T59:T64)</f>
        <v>293.82000000000005</v>
      </c>
      <c r="U65" s="60">
        <f>SUM(U59:U64)</f>
        <v>303.39999999999998</v>
      </c>
      <c r="V65" s="60">
        <f t="shared" si="100"/>
        <v>308.19200000000001</v>
      </c>
      <c r="W65" s="60">
        <f t="shared" si="100"/>
        <v>296.95999999999998</v>
      </c>
      <c r="X65" s="60">
        <f t="shared" si="100"/>
        <v>308.83</v>
      </c>
      <c r="Y65" s="60">
        <f t="shared" si="100"/>
        <v>321.25885793868554</v>
      </c>
      <c r="Z65" s="60">
        <f t="shared" ref="Z65:AE65" si="101">SUM(Z59:Z64)</f>
        <v>291.46023227435035</v>
      </c>
      <c r="AA65" s="60">
        <f t="shared" si="101"/>
        <v>312.07</v>
      </c>
      <c r="AB65" s="60">
        <f t="shared" si="101"/>
        <v>294.25200000000001</v>
      </c>
      <c r="AC65" s="60">
        <f t="shared" si="101"/>
        <v>318.35599999999999</v>
      </c>
      <c r="AD65" s="60">
        <f t="shared" si="101"/>
        <v>306.58385350177304</v>
      </c>
      <c r="AE65" s="60">
        <f t="shared" si="101"/>
        <v>234.13500000000002</v>
      </c>
      <c r="AF65" s="60">
        <f t="shared" ref="AF65:AK65" si="102">SUM(AF59:AF64)</f>
        <v>304.45500000000004</v>
      </c>
      <c r="AG65" s="60">
        <f t="shared" si="102"/>
        <v>284.80632875843219</v>
      </c>
      <c r="AH65" s="60">
        <f t="shared" si="102"/>
        <v>273.4412718412205</v>
      </c>
      <c r="AI65" s="60">
        <f t="shared" si="102"/>
        <v>281.89999999999998</v>
      </c>
      <c r="AJ65" s="60">
        <f t="shared" si="102"/>
        <v>286.12430000000001</v>
      </c>
      <c r="AK65" s="60">
        <f t="shared" si="102"/>
        <v>292.33814401622726</v>
      </c>
      <c r="AL65" s="60">
        <f t="shared" ref="AL65:AM65" si="103">SUM(AL59:AL64)</f>
        <v>263.51618199091075</v>
      </c>
      <c r="AM65" s="60">
        <f t="shared" si="103"/>
        <v>284.17413793103452</v>
      </c>
      <c r="AN65" s="60">
        <f t="shared" ref="AN65:AO65" si="104">SUM(AN59:AN64)</f>
        <v>268.18637931034482</v>
      </c>
      <c r="AO65" s="60">
        <f t="shared" si="104"/>
        <v>255.83689655172412</v>
      </c>
      <c r="AP65" s="60">
        <f t="shared" ref="AP65:AQ65" si="105">SUM(AP59:AP64)</f>
        <v>255.08258620689654</v>
      </c>
      <c r="AQ65" s="60">
        <f t="shared" si="105"/>
        <v>254.02017241379309</v>
      </c>
      <c r="AR65" s="60">
        <f t="shared" ref="AR65:AS65" si="106">SUM(AR59:AR64)</f>
        <v>245.91836206896554</v>
      </c>
      <c r="AS65" s="60">
        <f t="shared" si="106"/>
        <v>259.83534482758625</v>
      </c>
      <c r="AT65" s="60">
        <f t="shared" ref="AT65:AU65" si="107">SUM(AT59:AT64)</f>
        <v>267.09318965517241</v>
      </c>
      <c r="AU65" s="60">
        <f t="shared" si="107"/>
        <v>261.86326682758624</v>
      </c>
      <c r="AV65" s="60">
        <f t="shared" ref="AV65" si="108">SUM(AV59:AV64)</f>
        <v>249.71000318973913</v>
      </c>
      <c r="AW65" s="38"/>
      <c r="AX65" s="666"/>
      <c r="AY65" s="31">
        <v>47.096642000000003</v>
      </c>
      <c r="AZ65" s="31">
        <v>166.57681900000003</v>
      </c>
      <c r="BA65" s="31">
        <v>168.63619200000002</v>
      </c>
    </row>
    <row r="66" spans="1:57" ht="15" outlineLevel="1" thickBot="1">
      <c r="A66" s="40" t="s">
        <v>42</v>
      </c>
      <c r="B66" s="30"/>
      <c r="C66" s="31"/>
      <c r="D66" s="31"/>
      <c r="E66" s="31"/>
      <c r="F66" s="31"/>
      <c r="G66" s="31"/>
      <c r="H66" s="31"/>
      <c r="I66" s="31"/>
      <c r="J66" s="31"/>
      <c r="K66" s="31"/>
      <c r="L66" s="31"/>
      <c r="M66" s="31"/>
      <c r="N66" s="31"/>
      <c r="O66" s="31"/>
      <c r="P66" s="348"/>
      <c r="Q66" s="348"/>
      <c r="R66" s="348"/>
      <c r="S66" s="348"/>
      <c r="T66" s="348"/>
      <c r="U66" s="348"/>
      <c r="V66" s="348"/>
      <c r="W66" s="348">
        <v>25</v>
      </c>
      <c r="X66" s="348">
        <v>9</v>
      </c>
      <c r="Y66" s="348"/>
      <c r="Z66" s="348"/>
      <c r="AA66" s="348"/>
      <c r="AB66" s="348"/>
      <c r="AC66" s="348"/>
      <c r="AD66" s="348"/>
      <c r="AE66" s="348"/>
      <c r="AF66" s="348"/>
      <c r="AG66" s="348"/>
      <c r="AH66" s="348"/>
      <c r="AI66" s="348"/>
      <c r="AJ66" s="348"/>
      <c r="AK66" s="348"/>
      <c r="AL66" s="348"/>
      <c r="AM66" s="348"/>
      <c r="AN66" s="348"/>
      <c r="AO66" s="348"/>
      <c r="AP66" s="348"/>
      <c r="AQ66" s="348"/>
      <c r="AR66" s="348"/>
      <c r="AS66" s="348"/>
      <c r="AT66" s="348"/>
      <c r="AU66" s="348"/>
      <c r="AV66" s="348"/>
      <c r="AW66" s="31"/>
      <c r="AX66" s="31"/>
      <c r="AY66" s="31"/>
      <c r="AZ66" s="31"/>
      <c r="BA66" s="31"/>
    </row>
    <row r="67" spans="1:57" s="75" customFormat="1" ht="15" outlineLevel="1" thickBot="1">
      <c r="A67" s="799" t="s">
        <v>32</v>
      </c>
      <c r="B67" s="800"/>
      <c r="C67" s="800" t="s">
        <v>33</v>
      </c>
      <c r="D67" s="800"/>
      <c r="E67" s="79">
        <f t="shared" ref="E67:AL67" si="109">E3</f>
        <v>43587</v>
      </c>
      <c r="F67" s="80">
        <f t="shared" si="109"/>
        <v>43618</v>
      </c>
      <c r="G67" s="80">
        <f t="shared" si="109"/>
        <v>43648</v>
      </c>
      <c r="H67" s="80">
        <f t="shared" si="109"/>
        <v>43679</v>
      </c>
      <c r="I67" s="80">
        <f t="shared" si="109"/>
        <v>43710</v>
      </c>
      <c r="J67" s="80">
        <f t="shared" si="109"/>
        <v>43740</v>
      </c>
      <c r="K67" s="80">
        <f t="shared" si="109"/>
        <v>43771</v>
      </c>
      <c r="L67" s="80">
        <f t="shared" si="109"/>
        <v>43801</v>
      </c>
      <c r="M67" s="80">
        <f t="shared" si="109"/>
        <v>43832</v>
      </c>
      <c r="N67" s="80">
        <f t="shared" si="109"/>
        <v>43863</v>
      </c>
      <c r="O67" s="80">
        <f t="shared" si="109"/>
        <v>43892</v>
      </c>
      <c r="P67" s="80">
        <f t="shared" si="109"/>
        <v>43923</v>
      </c>
      <c r="Q67" s="80">
        <f t="shared" si="109"/>
        <v>43953</v>
      </c>
      <c r="R67" s="80">
        <f t="shared" si="109"/>
        <v>43984</v>
      </c>
      <c r="S67" s="80">
        <f t="shared" si="109"/>
        <v>44014</v>
      </c>
      <c r="T67" s="80">
        <f t="shared" si="109"/>
        <v>44045</v>
      </c>
      <c r="U67" s="80">
        <f t="shared" si="109"/>
        <v>44076</v>
      </c>
      <c r="V67" s="80">
        <f t="shared" si="109"/>
        <v>44106</v>
      </c>
      <c r="W67" s="80">
        <f t="shared" si="109"/>
        <v>44137</v>
      </c>
      <c r="X67" s="80">
        <f t="shared" si="109"/>
        <v>44167</v>
      </c>
      <c r="Y67" s="80">
        <f t="shared" si="109"/>
        <v>44198</v>
      </c>
      <c r="Z67" s="80">
        <f t="shared" si="109"/>
        <v>44229</v>
      </c>
      <c r="AA67" s="80">
        <f t="shared" si="109"/>
        <v>44257</v>
      </c>
      <c r="AB67" s="80">
        <f t="shared" si="109"/>
        <v>44288</v>
      </c>
      <c r="AC67" s="80">
        <f t="shared" si="109"/>
        <v>44318</v>
      </c>
      <c r="AD67" s="80">
        <f t="shared" si="109"/>
        <v>44349</v>
      </c>
      <c r="AE67" s="80">
        <f t="shared" si="109"/>
        <v>44379</v>
      </c>
      <c r="AF67" s="80">
        <f t="shared" si="109"/>
        <v>44410</v>
      </c>
      <c r="AG67" s="80">
        <f t="shared" si="109"/>
        <v>44441</v>
      </c>
      <c r="AH67" s="80">
        <f t="shared" si="109"/>
        <v>44471</v>
      </c>
      <c r="AI67" s="80">
        <f t="shared" si="109"/>
        <v>44502</v>
      </c>
      <c r="AJ67" s="80">
        <f t="shared" si="109"/>
        <v>44532</v>
      </c>
      <c r="AK67" s="80">
        <f t="shared" si="109"/>
        <v>44563</v>
      </c>
      <c r="AL67" s="80">
        <f t="shared" si="109"/>
        <v>44594</v>
      </c>
      <c r="AM67" s="80">
        <f t="shared" ref="AM67:AN67" si="110">AM3</f>
        <v>44622</v>
      </c>
      <c r="AN67" s="80">
        <f t="shared" si="110"/>
        <v>44653</v>
      </c>
      <c r="AO67" s="80">
        <f t="shared" ref="AO67:AP67" si="111">AO3</f>
        <v>44683</v>
      </c>
      <c r="AP67" s="80">
        <f t="shared" si="111"/>
        <v>44714</v>
      </c>
      <c r="AQ67" s="80">
        <f t="shared" ref="AQ67:AR67" si="112">AQ3</f>
        <v>44744</v>
      </c>
      <c r="AR67" s="80">
        <f t="shared" si="112"/>
        <v>44775</v>
      </c>
      <c r="AS67" s="80">
        <f t="shared" ref="AS67:AT67" si="113">AS3</f>
        <v>44806</v>
      </c>
      <c r="AT67" s="80">
        <f t="shared" si="113"/>
        <v>44836</v>
      </c>
      <c r="AU67" s="80">
        <f t="shared" ref="AU67:AV67" si="114">AU3</f>
        <v>44867</v>
      </c>
      <c r="AV67" s="80">
        <f t="shared" si="114"/>
        <v>44897</v>
      </c>
      <c r="AW67" s="73"/>
      <c r="AX67" s="74"/>
      <c r="AY67" s="74"/>
      <c r="AZ67" s="74"/>
      <c r="BA67" s="74"/>
      <c r="BC67" s="75" t="s">
        <v>46</v>
      </c>
      <c r="BD67" s="75" t="s">
        <v>101</v>
      </c>
    </row>
    <row r="68" spans="1:57" s="75" customFormat="1" ht="15" outlineLevel="1" thickBot="1">
      <c r="A68" s="41" t="s">
        <v>129</v>
      </c>
      <c r="B68" s="42"/>
      <c r="C68" s="797"/>
      <c r="D68" s="798"/>
      <c r="E68" s="79"/>
      <c r="F68" s="80"/>
      <c r="G68" s="80"/>
      <c r="H68" s="80"/>
      <c r="I68" s="80"/>
      <c r="J68" s="80"/>
      <c r="K68" s="80"/>
      <c r="L68" s="80"/>
      <c r="M68" s="80"/>
      <c r="N68" s="80"/>
      <c r="O68" s="80"/>
      <c r="P68" s="80"/>
      <c r="Q68" s="66">
        <f t="shared" ref="Q68:AD68" si="115">Q55-Q42</f>
        <v>0</v>
      </c>
      <c r="R68" s="66">
        <f t="shared" si="115"/>
        <v>-0.53409090909087809</v>
      </c>
      <c r="S68" s="66">
        <f t="shared" si="115"/>
        <v>0.35240909090906314</v>
      </c>
      <c r="T68" s="66">
        <f t="shared" si="115"/>
        <v>0.76000000000000512</v>
      </c>
      <c r="U68" s="66">
        <f t="shared" si="115"/>
        <v>0</v>
      </c>
      <c r="V68" s="66">
        <f t="shared" si="115"/>
        <v>0.8960000000000008</v>
      </c>
      <c r="W68" s="66">
        <f t="shared" si="115"/>
        <v>1.8689999999999998</v>
      </c>
      <c r="X68" s="66">
        <f t="shared" si="115"/>
        <v>5.5799999999999983</v>
      </c>
      <c r="Y68" s="66">
        <f t="shared" si="115"/>
        <v>-0.51461927084508829</v>
      </c>
      <c r="Z68" s="66">
        <f t="shared" si="115"/>
        <v>2.4733540685734425</v>
      </c>
      <c r="AA68" s="66">
        <f t="shared" si="115"/>
        <v>1.3666768101536775</v>
      </c>
      <c r="AB68" s="66">
        <f t="shared" si="115"/>
        <v>-5.5052059025918965</v>
      </c>
      <c r="AC68" s="66">
        <f t="shared" si="115"/>
        <v>-6</v>
      </c>
      <c r="AD68" s="66">
        <f t="shared" si="115"/>
        <v>0.20900000000000318</v>
      </c>
      <c r="AE68" s="66">
        <f t="shared" ref="AE68:AK69" si="116">AE55-AE42</f>
        <v>-5.2158853834375947</v>
      </c>
      <c r="AF68" s="66">
        <f t="shared" si="116"/>
        <v>0.212325415636613</v>
      </c>
      <c r="AG68" s="66">
        <f t="shared" si="116"/>
        <v>0.32244292826847243</v>
      </c>
      <c r="AH68" s="66">
        <f t="shared" si="116"/>
        <v>0.39428184455800874</v>
      </c>
      <c r="AI68" s="66">
        <f t="shared" si="116"/>
        <v>2.7787445912213968</v>
      </c>
      <c r="AJ68" s="66">
        <f t="shared" si="116"/>
        <v>0</v>
      </c>
      <c r="AK68" s="66">
        <f t="shared" si="116"/>
        <v>0</v>
      </c>
      <c r="AL68" s="66">
        <f t="shared" ref="AL68:AM68" si="117">AL55-AL42</f>
        <v>0</v>
      </c>
      <c r="AM68" s="66">
        <f t="shared" si="117"/>
        <v>0</v>
      </c>
      <c r="AN68" s="66">
        <f t="shared" ref="AN68:AO68" si="118">AN55-AN42</f>
        <v>0</v>
      </c>
      <c r="AO68" s="66">
        <f t="shared" si="118"/>
        <v>0</v>
      </c>
      <c r="AP68" s="66">
        <f t="shared" ref="AP68:AQ68" si="119">AP55-AP42</f>
        <v>0</v>
      </c>
      <c r="AQ68" s="66">
        <f t="shared" si="119"/>
        <v>0</v>
      </c>
      <c r="AR68" s="66">
        <f t="shared" ref="AR68:AS68" si="120">AR55-AR42</f>
        <v>0</v>
      </c>
      <c r="AS68" s="66">
        <f t="shared" si="120"/>
        <v>0</v>
      </c>
      <c r="AT68" s="66">
        <f t="shared" ref="AT68:AU68" si="121">AT55-AT42</f>
        <v>0</v>
      </c>
      <c r="AU68" s="66">
        <f t="shared" si="121"/>
        <v>0</v>
      </c>
      <c r="AV68" s="66">
        <f t="shared" ref="AV68" si="122">AV55-AV42</f>
        <v>0</v>
      </c>
      <c r="AW68" s="73"/>
      <c r="AX68" s="74" t="s">
        <v>6</v>
      </c>
      <c r="AY68" s="74" t="s">
        <v>8</v>
      </c>
      <c r="AZ68" s="622">
        <f>SUM(Y172:AJ172)</f>
        <v>1524.5259999999998</v>
      </c>
      <c r="BA68" s="668">
        <f>AZ68/(AZ68+AZ69)</f>
        <v>0.40162471709153291</v>
      </c>
      <c r="BC68" s="696">
        <f>AY59+(AZ59*AZ60)+(BA59*BA60)</f>
        <v>242.51981404216832</v>
      </c>
      <c r="BD68" s="696">
        <f>AX59*AX60</f>
        <v>1331.9192322555687</v>
      </c>
      <c r="BE68" s="698">
        <f>BC68/BD68</f>
        <v>0.1820829733282458</v>
      </c>
    </row>
    <row r="69" spans="1:57" s="75" customFormat="1" ht="15" outlineLevel="1" thickBot="1">
      <c r="A69" s="43" t="s">
        <v>130</v>
      </c>
      <c r="B69" s="44"/>
      <c r="C69" s="790"/>
      <c r="D69" s="793"/>
      <c r="E69" s="79"/>
      <c r="F69" s="80"/>
      <c r="G69" s="80"/>
      <c r="H69" s="80"/>
      <c r="I69" s="80"/>
      <c r="J69" s="80"/>
      <c r="K69" s="80"/>
      <c r="L69" s="80"/>
      <c r="M69" s="80"/>
      <c r="N69" s="80"/>
      <c r="O69" s="80"/>
      <c r="P69" s="80"/>
      <c r="Q69" s="65">
        <f t="shared" ref="Q69:AD69" si="123">Q56-Q43</f>
        <v>0</v>
      </c>
      <c r="R69" s="65">
        <f t="shared" si="123"/>
        <v>-1.0589090909091112</v>
      </c>
      <c r="S69" s="65">
        <f t="shared" si="123"/>
        <v>-1.0878876727270779</v>
      </c>
      <c r="T69" s="65">
        <f t="shared" si="123"/>
        <v>-1.3999999999999773</v>
      </c>
      <c r="U69" s="65">
        <f t="shared" si="123"/>
        <v>0</v>
      </c>
      <c r="V69" s="65">
        <f t="shared" si="123"/>
        <v>-9.4899999999999807</v>
      </c>
      <c r="W69" s="65">
        <f t="shared" si="123"/>
        <v>1.6589999999999918</v>
      </c>
      <c r="X69" s="65">
        <f t="shared" si="123"/>
        <v>23.974999999999966</v>
      </c>
      <c r="Y69" s="65">
        <f t="shared" si="123"/>
        <v>0.63147720953054431</v>
      </c>
      <c r="Z69" s="65">
        <f t="shared" si="123"/>
        <v>5.8668782057768567</v>
      </c>
      <c r="AA69" s="65">
        <f t="shared" si="123"/>
        <v>-1.8815558949461035</v>
      </c>
      <c r="AB69" s="65">
        <f t="shared" si="123"/>
        <v>-5.5529557300557428</v>
      </c>
      <c r="AC69" s="65">
        <f t="shared" si="123"/>
        <v>9.0079999999999814</v>
      </c>
      <c r="AD69" s="65">
        <f t="shared" si="123"/>
        <v>-0.40126296542575801</v>
      </c>
      <c r="AE69" s="65">
        <f t="shared" si="116"/>
        <v>1.8046653453705801</v>
      </c>
      <c r="AF69" s="65">
        <f t="shared" si="116"/>
        <v>-3.579448526997794</v>
      </c>
      <c r="AG69" s="65">
        <f t="shared" si="116"/>
        <v>-1.5887958694448798</v>
      </c>
      <c r="AH69" s="65">
        <f t="shared" si="116"/>
        <v>-0.70342894189542449</v>
      </c>
      <c r="AI69" s="65">
        <f t="shared" si="116"/>
        <v>-6.2643104019105635</v>
      </c>
      <c r="AJ69" s="65">
        <f t="shared" si="116"/>
        <v>-1.0915720081136442</v>
      </c>
      <c r="AK69" s="65">
        <f t="shared" si="116"/>
        <v>0</v>
      </c>
      <c r="AL69" s="65">
        <f t="shared" ref="AL69:AM69" si="124">AL56-AL43</f>
        <v>0</v>
      </c>
      <c r="AM69" s="65">
        <f t="shared" si="124"/>
        <v>0</v>
      </c>
      <c r="AN69" s="65">
        <f t="shared" ref="AN69:AO69" si="125">AN56-AN43</f>
        <v>0</v>
      </c>
      <c r="AO69" s="65">
        <f t="shared" si="125"/>
        <v>0</v>
      </c>
      <c r="AP69" s="65">
        <f t="shared" ref="AP69:AQ69" si="126">AP56-AP43</f>
        <v>0</v>
      </c>
      <c r="AQ69" s="65">
        <f t="shared" si="126"/>
        <v>0</v>
      </c>
      <c r="AR69" s="65">
        <f t="shared" ref="AR69:AS69" si="127">AR56-AR43</f>
        <v>0</v>
      </c>
      <c r="AS69" s="65">
        <f t="shared" si="127"/>
        <v>0</v>
      </c>
      <c r="AT69" s="65">
        <f t="shared" ref="AT69:AU69" si="128">AT56-AT43</f>
        <v>0</v>
      </c>
      <c r="AU69" s="65">
        <f t="shared" si="128"/>
        <v>0</v>
      </c>
      <c r="AV69" s="65">
        <f t="shared" ref="AV69" si="129">AV56-AV43</f>
        <v>0</v>
      </c>
      <c r="AW69" s="73"/>
      <c r="AX69" s="74"/>
      <c r="AY69" s="74" t="s">
        <v>228</v>
      </c>
      <c r="AZ69" s="622">
        <f>SUM(Y180:AF180,Y170:AJ170,AG180:AJ180)</f>
        <v>2271.37085376</v>
      </c>
      <c r="BA69" s="668">
        <f>AZ69/(AZ68+AZ69)</f>
        <v>0.59837528290846709</v>
      </c>
      <c r="BC69" s="696">
        <f>(AZ59*BA69)+(BA59*BA69)</f>
        <v>271.78983895783171</v>
      </c>
      <c r="BD69" s="696">
        <f>AX59*BA69</f>
        <v>1984.4086120588927</v>
      </c>
    </row>
    <row r="70" spans="1:57" s="75" customFormat="1" ht="15" outlineLevel="1" thickBot="1">
      <c r="A70" s="540" t="s">
        <v>192</v>
      </c>
      <c r="B70" s="44"/>
      <c r="C70" s="537"/>
      <c r="D70" s="538"/>
      <c r="E70" s="79"/>
      <c r="F70" s="80"/>
      <c r="G70" s="80"/>
      <c r="H70" s="80"/>
      <c r="I70" s="80"/>
      <c r="J70" s="80"/>
      <c r="K70" s="80"/>
      <c r="L70" s="80"/>
      <c r="M70" s="80"/>
      <c r="N70" s="80"/>
      <c r="O70" s="80"/>
      <c r="P70" s="80"/>
      <c r="Q70" s="65"/>
      <c r="R70" s="65"/>
      <c r="S70" s="65"/>
      <c r="T70" s="65"/>
      <c r="U70" s="65"/>
      <c r="V70" s="65"/>
      <c r="W70" s="65"/>
      <c r="X70" s="65"/>
      <c r="Y70" s="65"/>
      <c r="Z70" s="65"/>
      <c r="AA70" s="65"/>
      <c r="AB70" s="65"/>
      <c r="AC70" s="65"/>
      <c r="AD70" s="65"/>
      <c r="AE70" s="65"/>
      <c r="AF70" s="65"/>
      <c r="AG70" s="65"/>
      <c r="AH70" s="65"/>
      <c r="AI70" s="65"/>
      <c r="AJ70" s="65"/>
      <c r="AK70" s="65"/>
      <c r="AL70" s="65"/>
      <c r="AM70" s="65"/>
      <c r="AN70" s="65"/>
      <c r="AO70" s="65"/>
      <c r="AP70" s="65"/>
      <c r="AQ70" s="65"/>
      <c r="AR70" s="65"/>
      <c r="AS70" s="65"/>
      <c r="AT70" s="65"/>
      <c r="AU70" s="65"/>
      <c r="AV70" s="65"/>
      <c r="AW70" s="73"/>
      <c r="AX70" s="74"/>
      <c r="AY70" s="74"/>
      <c r="AZ70" s="74"/>
      <c r="BA70" s="74"/>
    </row>
    <row r="71" spans="1:57" s="75" customFormat="1" ht="15" outlineLevel="1" thickBot="1">
      <c r="A71" s="540" t="s">
        <v>193</v>
      </c>
      <c r="B71" s="44"/>
      <c r="C71" s="537"/>
      <c r="D71" s="538"/>
      <c r="E71" s="79"/>
      <c r="F71" s="80"/>
      <c r="G71" s="80"/>
      <c r="H71" s="80"/>
      <c r="I71" s="80"/>
      <c r="J71" s="80"/>
      <c r="K71" s="80"/>
      <c r="L71" s="80"/>
      <c r="M71" s="80"/>
      <c r="N71" s="80"/>
      <c r="O71" s="80"/>
      <c r="P71" s="80"/>
      <c r="Q71" s="65"/>
      <c r="R71" s="65"/>
      <c r="S71" s="65"/>
      <c r="T71" s="65"/>
      <c r="U71" s="65"/>
      <c r="V71" s="65"/>
      <c r="W71" s="65"/>
      <c r="X71" s="65"/>
      <c r="Y71" s="65"/>
      <c r="Z71" s="65"/>
      <c r="AA71" s="65"/>
      <c r="AB71" s="65"/>
      <c r="AC71" s="65"/>
      <c r="AD71" s="65"/>
      <c r="AE71" s="65"/>
      <c r="AF71" s="65"/>
      <c r="AG71" s="65"/>
      <c r="AH71" s="65"/>
      <c r="AI71" s="65"/>
      <c r="AJ71" s="65"/>
      <c r="AK71" s="65"/>
      <c r="AL71" s="65"/>
      <c r="AM71" s="65"/>
      <c r="AN71" s="65"/>
      <c r="AO71" s="65"/>
      <c r="AP71" s="65"/>
      <c r="AQ71" s="65"/>
      <c r="AR71" s="65"/>
      <c r="AS71" s="65"/>
      <c r="AT71" s="65"/>
      <c r="AU71" s="65"/>
      <c r="AV71" s="65"/>
      <c r="AW71" s="73"/>
      <c r="AX71" s="74"/>
      <c r="AY71" s="74"/>
      <c r="AZ71" s="74"/>
      <c r="BA71" s="74"/>
      <c r="BC71" s="696">
        <f>SUM(BC68:BC69)</f>
        <v>514.30965300000003</v>
      </c>
      <c r="BD71" s="696">
        <f>SUM(BD68:BD69)</f>
        <v>3316.3278443144613</v>
      </c>
    </row>
    <row r="72" spans="1:57" s="3" customFormat="1" outlineLevel="1">
      <c r="A72" s="43" t="s">
        <v>128</v>
      </c>
      <c r="B72" s="44"/>
      <c r="C72" s="790"/>
      <c r="D72" s="793"/>
      <c r="E72" s="57">
        <f t="shared" ref="E72:P72" si="130">E59-E46</f>
        <v>0</v>
      </c>
      <c r="F72" s="66">
        <f t="shared" si="130"/>
        <v>0</v>
      </c>
      <c r="G72" s="66">
        <f t="shared" si="130"/>
        <v>-10.29000000000002</v>
      </c>
      <c r="H72" s="66">
        <f t="shared" si="130"/>
        <v>0.47800000000000864</v>
      </c>
      <c r="I72" s="66">
        <f t="shared" si="130"/>
        <v>-15.26400000000001</v>
      </c>
      <c r="J72" s="66">
        <f t="shared" si="130"/>
        <v>-3</v>
      </c>
      <c r="K72" s="66">
        <f t="shared" si="130"/>
        <v>1.3000000000000114</v>
      </c>
      <c r="L72" s="66">
        <f t="shared" si="130"/>
        <v>-1.2400000000000091</v>
      </c>
      <c r="M72" s="66">
        <f t="shared" si="130"/>
        <v>-13.833000000000027</v>
      </c>
      <c r="N72" s="66">
        <f t="shared" si="130"/>
        <v>-1.4499999999999886</v>
      </c>
      <c r="O72" s="66">
        <f t="shared" si="130"/>
        <v>-13.600000000000023</v>
      </c>
      <c r="P72" s="66">
        <f t="shared" si="130"/>
        <v>-42.199000000000012</v>
      </c>
      <c r="Q72" s="65">
        <f t="shared" ref="Q72:AD72" si="131">Q59-Q46</f>
        <v>0</v>
      </c>
      <c r="R72" s="65">
        <f t="shared" si="131"/>
        <v>-0.68258821384330304</v>
      </c>
      <c r="S72" s="65">
        <f t="shared" si="131"/>
        <v>-0.73547858181800052</v>
      </c>
      <c r="T72" s="65">
        <f t="shared" si="131"/>
        <v>-0.63999999999998636</v>
      </c>
      <c r="U72" s="65">
        <f t="shared" si="131"/>
        <v>0</v>
      </c>
      <c r="V72" s="65">
        <f t="shared" si="131"/>
        <v>-8.5939999999999941</v>
      </c>
      <c r="W72" s="65">
        <f t="shared" si="131"/>
        <v>3.5279999999999916</v>
      </c>
      <c r="X72" s="65">
        <f t="shared" si="131"/>
        <v>29.554999999999978</v>
      </c>
      <c r="Y72" s="65">
        <f t="shared" si="131"/>
        <v>0.11685793868548444</v>
      </c>
      <c r="Z72" s="65">
        <f t="shared" si="131"/>
        <v>8.3402322743503134</v>
      </c>
      <c r="AA72" s="65">
        <f t="shared" si="131"/>
        <v>-0.51487908479242606</v>
      </c>
      <c r="AB72" s="65">
        <f t="shared" si="131"/>
        <v>-7.8330849453320184</v>
      </c>
      <c r="AC72" s="65">
        <f t="shared" si="131"/>
        <v>3.0079999999999814</v>
      </c>
      <c r="AD72" s="65">
        <f t="shared" si="131"/>
        <v>-0.19226296542575483</v>
      </c>
      <c r="AE72" s="65">
        <f t="shared" ref="AE72:AT73" si="132">AE59-AE46</f>
        <v>-3.4112200380670004</v>
      </c>
      <c r="AF72" s="65">
        <f>AF59-AF46</f>
        <v>-3.3671231113611952</v>
      </c>
      <c r="AG72" s="65">
        <f t="shared" si="132"/>
        <v>-1.2663529411764216</v>
      </c>
      <c r="AH72" s="65">
        <f t="shared" si="132"/>
        <v>-0.30914709733741574</v>
      </c>
      <c r="AI72" s="65">
        <f t="shared" si="132"/>
        <v>-3.4855658106891667</v>
      </c>
      <c r="AJ72" s="65">
        <f t="shared" si="132"/>
        <v>-1.0915720081136442</v>
      </c>
      <c r="AK72" s="65">
        <f t="shared" si="132"/>
        <v>0</v>
      </c>
      <c r="AL72" s="65">
        <f t="shared" ref="AL72:AM72" si="133">AL59-AL46</f>
        <v>0</v>
      </c>
      <c r="AM72" s="65">
        <f t="shared" si="133"/>
        <v>0</v>
      </c>
      <c r="AN72" s="65">
        <f t="shared" ref="AN72:AO72" si="134">AN59-AN46</f>
        <v>0</v>
      </c>
      <c r="AO72" s="65">
        <f t="shared" si="134"/>
        <v>0</v>
      </c>
      <c r="AP72" s="65">
        <f t="shared" ref="AP72:AQ72" si="135">AP59-AP46</f>
        <v>0</v>
      </c>
      <c r="AQ72" s="65">
        <f t="shared" si="135"/>
        <v>0</v>
      </c>
      <c r="AR72" s="65">
        <f t="shared" ref="AR72:AS72" si="136">AR59-AR46</f>
        <v>0</v>
      </c>
      <c r="AS72" s="65">
        <f t="shared" si="136"/>
        <v>0</v>
      </c>
      <c r="AT72" s="65">
        <f t="shared" ref="AT72:AV73" si="137">AT59-AT46</f>
        <v>0</v>
      </c>
      <c r="AU72" s="65">
        <f t="shared" si="137"/>
        <v>0</v>
      </c>
      <c r="AV72" s="65">
        <f t="shared" ref="AV72" si="138">AV59-AV46</f>
        <v>0</v>
      </c>
      <c r="AW72" s="38"/>
      <c r="AX72" s="31"/>
      <c r="AY72" s="31"/>
      <c r="AZ72" s="31"/>
      <c r="BA72" s="31"/>
      <c r="BC72" s="697">
        <f>BC71-AY59-AZ59-BA59</f>
        <v>0</v>
      </c>
      <c r="BD72" s="697">
        <f>BD71-AX59</f>
        <v>0</v>
      </c>
    </row>
    <row r="73" spans="1:57" s="3" customFormat="1" outlineLevel="1">
      <c r="A73" s="43" t="s">
        <v>28</v>
      </c>
      <c r="B73" s="44"/>
      <c r="C73" s="781"/>
      <c r="D73" s="781"/>
      <c r="E73" s="61"/>
      <c r="F73" s="65"/>
      <c r="G73" s="65"/>
      <c r="H73" s="65"/>
      <c r="I73" s="65"/>
      <c r="J73" s="65"/>
      <c r="K73" s="65"/>
      <c r="L73" s="65"/>
      <c r="M73" s="65"/>
      <c r="N73" s="65"/>
      <c r="O73" s="65"/>
      <c r="P73" s="65"/>
      <c r="Q73" s="65"/>
      <c r="R73" s="65"/>
      <c r="S73" s="65"/>
      <c r="T73" s="65"/>
      <c r="U73" s="65"/>
      <c r="V73" s="65"/>
      <c r="W73" s="65"/>
      <c r="X73" s="65"/>
      <c r="Y73" s="65"/>
      <c r="Z73" s="65"/>
      <c r="AA73" s="65"/>
      <c r="AB73" s="65"/>
      <c r="AC73" s="65"/>
      <c r="AD73" s="65"/>
      <c r="AE73" s="65"/>
      <c r="AF73" s="65"/>
      <c r="AG73" s="65"/>
      <c r="AH73" s="65"/>
      <c r="AI73" s="65">
        <f t="shared" si="132"/>
        <v>0</v>
      </c>
      <c r="AJ73" s="65">
        <f t="shared" si="132"/>
        <v>0.60000000000000009</v>
      </c>
      <c r="AK73" s="65">
        <f t="shared" si="132"/>
        <v>0</v>
      </c>
      <c r="AL73" s="65">
        <f t="shared" si="132"/>
        <v>0</v>
      </c>
      <c r="AM73" s="65">
        <f t="shared" si="132"/>
        <v>0</v>
      </c>
      <c r="AN73" s="65">
        <f t="shared" si="132"/>
        <v>0</v>
      </c>
      <c r="AO73" s="65">
        <f t="shared" si="132"/>
        <v>0</v>
      </c>
      <c r="AP73" s="65">
        <f t="shared" si="132"/>
        <v>0</v>
      </c>
      <c r="AQ73" s="65">
        <f t="shared" si="132"/>
        <v>0</v>
      </c>
      <c r="AR73" s="65">
        <f t="shared" si="132"/>
        <v>0</v>
      </c>
      <c r="AS73" s="65">
        <f t="shared" si="132"/>
        <v>0</v>
      </c>
      <c r="AT73" s="65">
        <f t="shared" si="132"/>
        <v>0</v>
      </c>
      <c r="AU73" s="65">
        <f t="shared" si="137"/>
        <v>0</v>
      </c>
      <c r="AV73" s="65">
        <f t="shared" si="137"/>
        <v>0</v>
      </c>
      <c r="AW73" s="38"/>
      <c r="AX73" s="31"/>
      <c r="AY73" s="31"/>
      <c r="AZ73" s="31"/>
      <c r="BA73" s="31"/>
      <c r="BC73" s="697"/>
      <c r="BD73" s="697"/>
    </row>
    <row r="74" spans="1:57" outlineLevel="1">
      <c r="A74" s="43" t="s">
        <v>0</v>
      </c>
      <c r="B74" s="44"/>
      <c r="C74" s="789"/>
      <c r="D74" s="790"/>
      <c r="E74" s="61">
        <f t="shared" ref="E74:AD74" si="139">E61-E48</f>
        <v>0</v>
      </c>
      <c r="F74" s="65">
        <f t="shared" si="139"/>
        <v>-3</v>
      </c>
      <c r="G74" s="65">
        <f t="shared" si="139"/>
        <v>2</v>
      </c>
      <c r="H74" s="65">
        <f t="shared" si="139"/>
        <v>0</v>
      </c>
      <c r="I74" s="65">
        <f t="shared" si="139"/>
        <v>0</v>
      </c>
      <c r="J74" s="65">
        <f t="shared" si="139"/>
        <v>-3</v>
      </c>
      <c r="K74" s="65">
        <f t="shared" si="139"/>
        <v>2</v>
      </c>
      <c r="L74" s="65">
        <f t="shared" si="139"/>
        <v>1.5</v>
      </c>
      <c r="M74" s="65">
        <f t="shared" si="139"/>
        <v>-3</v>
      </c>
      <c r="N74" s="65">
        <f t="shared" si="139"/>
        <v>2</v>
      </c>
      <c r="O74" s="65">
        <f t="shared" si="139"/>
        <v>0</v>
      </c>
      <c r="P74" s="65">
        <f t="shared" si="139"/>
        <v>-12</v>
      </c>
      <c r="Q74" s="65">
        <f t="shared" si="139"/>
        <v>0</v>
      </c>
      <c r="R74" s="65">
        <f t="shared" si="139"/>
        <v>0</v>
      </c>
      <c r="S74" s="65">
        <f t="shared" si="139"/>
        <v>-4</v>
      </c>
      <c r="T74" s="65">
        <f t="shared" si="139"/>
        <v>1.2</v>
      </c>
      <c r="U74" s="65">
        <f t="shared" si="139"/>
        <v>-3</v>
      </c>
      <c r="V74" s="65">
        <f t="shared" si="139"/>
        <v>0</v>
      </c>
      <c r="W74" s="65">
        <f t="shared" si="139"/>
        <v>2</v>
      </c>
      <c r="X74" s="65">
        <f t="shared" si="139"/>
        <v>-2.4000000000000004</v>
      </c>
      <c r="Y74" s="65">
        <f t="shared" si="139"/>
        <v>16.5</v>
      </c>
      <c r="Z74" s="65">
        <f t="shared" si="139"/>
        <v>12</v>
      </c>
      <c r="AA74" s="65">
        <f t="shared" si="139"/>
        <v>0</v>
      </c>
      <c r="AB74" s="65">
        <f t="shared" si="139"/>
        <v>2</v>
      </c>
      <c r="AC74" s="65">
        <f t="shared" si="139"/>
        <v>0</v>
      </c>
      <c r="AD74" s="65">
        <f t="shared" si="139"/>
        <v>0</v>
      </c>
      <c r="AE74" s="65">
        <f t="shared" ref="AE74:AK77" si="140">AE61-AE48</f>
        <v>0</v>
      </c>
      <c r="AF74" s="65">
        <f t="shared" si="140"/>
        <v>0</v>
      </c>
      <c r="AG74" s="65">
        <f t="shared" si="140"/>
        <v>0</v>
      </c>
      <c r="AH74" s="65">
        <f t="shared" si="140"/>
        <v>1</v>
      </c>
      <c r="AI74" s="65">
        <f t="shared" si="140"/>
        <v>4</v>
      </c>
      <c r="AJ74" s="65">
        <f t="shared" si="140"/>
        <v>0</v>
      </c>
      <c r="AK74" s="65">
        <f t="shared" si="140"/>
        <v>0</v>
      </c>
      <c r="AL74" s="65">
        <f t="shared" ref="AL74:AM74" si="141">AL61-AL48</f>
        <v>0</v>
      </c>
      <c r="AM74" s="65">
        <f t="shared" si="141"/>
        <v>0</v>
      </c>
      <c r="AN74" s="65">
        <f t="shared" ref="AN74:AO74" si="142">AN61-AN48</f>
        <v>0</v>
      </c>
      <c r="AO74" s="65">
        <f t="shared" si="142"/>
        <v>0</v>
      </c>
      <c r="AP74" s="65">
        <f t="shared" ref="AP74:AQ74" si="143">AP61-AP48</f>
        <v>0</v>
      </c>
      <c r="AQ74" s="65">
        <f t="shared" si="143"/>
        <v>0</v>
      </c>
      <c r="AR74" s="65">
        <f t="shared" ref="AR74:AS74" si="144">AR61-AR48</f>
        <v>0</v>
      </c>
      <c r="AS74" s="65">
        <f t="shared" si="144"/>
        <v>0</v>
      </c>
      <c r="AT74" s="65">
        <f t="shared" ref="AT74:AU74" si="145">AT61-AT48</f>
        <v>0</v>
      </c>
      <c r="AU74" s="65">
        <f t="shared" si="145"/>
        <v>0</v>
      </c>
      <c r="AV74" s="65">
        <f t="shared" ref="AV74" si="146">AV61-AV48</f>
        <v>0</v>
      </c>
      <c r="AW74" s="38"/>
      <c r="AX74" s="31"/>
      <c r="AY74" s="31"/>
      <c r="AZ74" s="31"/>
      <c r="BA74" s="31"/>
    </row>
    <row r="75" spans="1:57" outlineLevel="1">
      <c r="A75" s="43" t="s">
        <v>1</v>
      </c>
      <c r="B75" s="44"/>
      <c r="C75" s="789"/>
      <c r="D75" s="790"/>
      <c r="E75" s="61">
        <f t="shared" ref="E75:AD75" si="147">E62-E49</f>
        <v>0</v>
      </c>
      <c r="F75" s="65">
        <f t="shared" si="147"/>
        <v>0</v>
      </c>
      <c r="G75" s="65">
        <f t="shared" si="147"/>
        <v>1.1000000000000005</v>
      </c>
      <c r="H75" s="65">
        <f t="shared" si="147"/>
        <v>0</v>
      </c>
      <c r="I75" s="65">
        <f t="shared" si="147"/>
        <v>0.70000000000000018</v>
      </c>
      <c r="J75" s="65">
        <f t="shared" si="147"/>
        <v>0</v>
      </c>
      <c r="K75" s="65">
        <f t="shared" si="147"/>
        <v>0</v>
      </c>
      <c r="L75" s="65">
        <f t="shared" si="147"/>
        <v>-1.4400000000000004</v>
      </c>
      <c r="M75" s="65">
        <f t="shared" si="147"/>
        <v>-0.83000000000000007</v>
      </c>
      <c r="N75" s="65">
        <f t="shared" si="147"/>
        <v>-0.40000000000000036</v>
      </c>
      <c r="O75" s="65">
        <f t="shared" si="147"/>
        <v>0</v>
      </c>
      <c r="P75" s="65">
        <f t="shared" si="147"/>
        <v>-2</v>
      </c>
      <c r="Q75" s="65">
        <f t="shared" si="147"/>
        <v>-3.5</v>
      </c>
      <c r="R75" s="65">
        <f t="shared" si="147"/>
        <v>-0.60000000000000009</v>
      </c>
      <c r="S75" s="65">
        <f t="shared" si="147"/>
        <v>-0.10000000000000009</v>
      </c>
      <c r="T75" s="65">
        <f t="shared" si="147"/>
        <v>-2</v>
      </c>
      <c r="U75" s="65">
        <f t="shared" si="147"/>
        <v>-0.64000000000000012</v>
      </c>
      <c r="V75" s="65">
        <f t="shared" si="147"/>
        <v>-0.59999999999999964</v>
      </c>
      <c r="W75" s="65">
        <f t="shared" si="147"/>
        <v>0.69999999999999929</v>
      </c>
      <c r="X75" s="65">
        <f t="shared" si="147"/>
        <v>1.2000000000000002</v>
      </c>
      <c r="Y75" s="65">
        <f t="shared" si="147"/>
        <v>2.169999999999999</v>
      </c>
      <c r="Z75" s="65">
        <f t="shared" si="147"/>
        <v>0.59999999999999964</v>
      </c>
      <c r="AA75" s="65">
        <f t="shared" si="147"/>
        <v>-0.44000000000000039</v>
      </c>
      <c r="AB75" s="65">
        <f t="shared" si="147"/>
        <v>-0.89999999999999947</v>
      </c>
      <c r="AC75" s="65">
        <f t="shared" si="147"/>
        <v>-2.0000000000000462E-2</v>
      </c>
      <c r="AD75" s="65">
        <f t="shared" si="147"/>
        <v>-0.91999999999999993</v>
      </c>
      <c r="AE75" s="65">
        <f t="shared" si="140"/>
        <v>-0.71999999999999975</v>
      </c>
      <c r="AF75" s="65">
        <f t="shared" si="140"/>
        <v>0</v>
      </c>
      <c r="AG75" s="65">
        <f t="shared" si="140"/>
        <v>0</v>
      </c>
      <c r="AH75" s="65">
        <f t="shared" si="140"/>
        <v>-0.90000000000000036</v>
      </c>
      <c r="AI75" s="65">
        <f t="shared" si="140"/>
        <v>0</v>
      </c>
      <c r="AJ75" s="65">
        <f t="shared" si="140"/>
        <v>0.71999999999999975</v>
      </c>
      <c r="AK75" s="65">
        <f t="shared" si="140"/>
        <v>0.54</v>
      </c>
      <c r="AL75" s="65">
        <f t="shared" ref="AL75:AM75" si="148">AL62-AL49</f>
        <v>0.54</v>
      </c>
      <c r="AM75" s="65">
        <f t="shared" si="148"/>
        <v>0.54</v>
      </c>
      <c r="AN75" s="65">
        <f t="shared" ref="AN75:AO75" si="149">AN62-AN49</f>
        <v>0.54</v>
      </c>
      <c r="AO75" s="65">
        <f t="shared" si="149"/>
        <v>0.54</v>
      </c>
      <c r="AP75" s="65">
        <f t="shared" ref="AP75:AQ75" si="150">AP62-AP49</f>
        <v>0</v>
      </c>
      <c r="AQ75" s="65">
        <f t="shared" si="150"/>
        <v>0</v>
      </c>
      <c r="AR75" s="65">
        <f t="shared" ref="AR75:AS75" si="151">AR62-AR49</f>
        <v>0</v>
      </c>
      <c r="AS75" s="65">
        <f t="shared" si="151"/>
        <v>0</v>
      </c>
      <c r="AT75" s="65">
        <f t="shared" ref="AT75:AU75" si="152">AT62-AT49</f>
        <v>0</v>
      </c>
      <c r="AU75" s="65">
        <f t="shared" si="152"/>
        <v>0</v>
      </c>
      <c r="AV75" s="65">
        <f t="shared" ref="AV75" si="153">AV62-AV49</f>
        <v>0</v>
      </c>
      <c r="AW75" s="38"/>
      <c r="AX75" s="31"/>
      <c r="AY75" s="31"/>
      <c r="AZ75" s="31"/>
      <c r="BA75" s="31"/>
    </row>
    <row r="76" spans="1:57" outlineLevel="1">
      <c r="A76" s="43" t="s">
        <v>27</v>
      </c>
      <c r="B76" s="44"/>
      <c r="C76" s="789"/>
      <c r="D76" s="790"/>
      <c r="E76" s="61">
        <f t="shared" ref="E76:AD76" si="154">E63-E50</f>
        <v>0</v>
      </c>
      <c r="F76" s="65">
        <f t="shared" si="154"/>
        <v>0.51999999999999957</v>
      </c>
      <c r="G76" s="65">
        <f t="shared" si="154"/>
        <v>0</v>
      </c>
      <c r="H76" s="65">
        <f t="shared" si="154"/>
        <v>0.16000000000000014</v>
      </c>
      <c r="I76" s="65">
        <f t="shared" si="154"/>
        <v>0</v>
      </c>
      <c r="J76" s="65">
        <f t="shared" si="154"/>
        <v>0</v>
      </c>
      <c r="K76" s="65">
        <f t="shared" si="154"/>
        <v>0.85000000000000053</v>
      </c>
      <c r="L76" s="65">
        <f t="shared" si="154"/>
        <v>0</v>
      </c>
      <c r="M76" s="65">
        <f t="shared" si="154"/>
        <v>0.15000000000000036</v>
      </c>
      <c r="N76" s="65">
        <f t="shared" si="154"/>
        <v>0</v>
      </c>
      <c r="O76" s="65">
        <f t="shared" si="154"/>
        <v>0</v>
      </c>
      <c r="P76" s="65">
        <f t="shared" si="154"/>
        <v>0</v>
      </c>
      <c r="Q76" s="65">
        <f t="shared" si="154"/>
        <v>-1.4500000000000002</v>
      </c>
      <c r="R76" s="65">
        <f t="shared" si="154"/>
        <v>0.29999999999999982</v>
      </c>
      <c r="S76" s="65">
        <f t="shared" si="154"/>
        <v>1.1400000000000006</v>
      </c>
      <c r="T76" s="65">
        <f t="shared" si="154"/>
        <v>9.9999999999999645E-2</v>
      </c>
      <c r="U76" s="65">
        <f t="shared" si="154"/>
        <v>-0.17999999999999972</v>
      </c>
      <c r="V76" s="65">
        <f t="shared" si="154"/>
        <v>0.21999999999999975</v>
      </c>
      <c r="W76" s="65">
        <f t="shared" si="154"/>
        <v>0</v>
      </c>
      <c r="X76" s="65">
        <f t="shared" si="154"/>
        <v>0</v>
      </c>
      <c r="Y76" s="65">
        <f t="shared" si="154"/>
        <v>-0.40299999999999958</v>
      </c>
      <c r="Z76" s="65">
        <f t="shared" si="154"/>
        <v>0</v>
      </c>
      <c r="AA76" s="65">
        <f t="shared" si="154"/>
        <v>-0.14999999999999947</v>
      </c>
      <c r="AB76" s="65">
        <f t="shared" si="154"/>
        <v>0.27200000000000024</v>
      </c>
      <c r="AC76" s="65">
        <f t="shared" si="154"/>
        <v>0</v>
      </c>
      <c r="AD76" s="65">
        <f t="shared" si="154"/>
        <v>0.44000000000000039</v>
      </c>
      <c r="AE76" s="65">
        <f t="shared" si="140"/>
        <v>0</v>
      </c>
      <c r="AF76" s="65">
        <f t="shared" si="140"/>
        <v>0</v>
      </c>
      <c r="AG76" s="65">
        <f t="shared" si="140"/>
        <v>0</v>
      </c>
      <c r="AH76" s="65">
        <f t="shared" si="140"/>
        <v>-0.27899999999999991</v>
      </c>
      <c r="AI76" s="65">
        <f t="shared" si="140"/>
        <v>0</v>
      </c>
      <c r="AJ76" s="65">
        <f t="shared" si="140"/>
        <v>-0.3100000000000005</v>
      </c>
      <c r="AK76" s="65">
        <f t="shared" si="140"/>
        <v>0</v>
      </c>
      <c r="AL76" s="65">
        <f t="shared" ref="AL76:AM76" si="155">AL63-AL50</f>
        <v>-0.5550000000000006</v>
      </c>
      <c r="AM76" s="65">
        <f t="shared" si="155"/>
        <v>0</v>
      </c>
      <c r="AN76" s="65">
        <f t="shared" ref="AN76:AO76" si="156">AN63-AN50</f>
        <v>0</v>
      </c>
      <c r="AO76" s="65">
        <f t="shared" si="156"/>
        <v>0</v>
      </c>
      <c r="AP76" s="65">
        <f t="shared" ref="AP76:AQ76" si="157">AP63-AP50</f>
        <v>0</v>
      </c>
      <c r="AQ76" s="65">
        <f t="shared" si="157"/>
        <v>0</v>
      </c>
      <c r="AR76" s="65">
        <f t="shared" ref="AR76:AS76" si="158">AR63-AR50</f>
        <v>0</v>
      </c>
      <c r="AS76" s="65">
        <f t="shared" si="158"/>
        <v>0</v>
      </c>
      <c r="AT76" s="65">
        <f t="shared" ref="AT76:AU76" si="159">AT63-AT50</f>
        <v>0</v>
      </c>
      <c r="AU76" s="65">
        <f t="shared" si="159"/>
        <v>0</v>
      </c>
      <c r="AV76" s="65">
        <f t="shared" ref="AV76" si="160">AV63-AV50</f>
        <v>0</v>
      </c>
      <c r="AW76" s="38"/>
      <c r="AX76" s="31"/>
      <c r="AY76" s="31"/>
      <c r="AZ76" s="31"/>
      <c r="BA76" s="31"/>
    </row>
    <row r="77" spans="1:57" ht="15" outlineLevel="1" thickBot="1">
      <c r="A77" s="51" t="s">
        <v>5</v>
      </c>
      <c r="B77" s="52"/>
      <c r="C77" s="791"/>
      <c r="D77" s="792"/>
      <c r="E77" s="67">
        <f t="shared" ref="E77:AD77" si="161">E64-E51</f>
        <v>0</v>
      </c>
      <c r="F77" s="68">
        <f t="shared" si="161"/>
        <v>0.68000000000000149</v>
      </c>
      <c r="G77" s="68">
        <f t="shared" si="161"/>
        <v>0</v>
      </c>
      <c r="H77" s="68">
        <f t="shared" si="161"/>
        <v>-1.9299999999999997</v>
      </c>
      <c r="I77" s="68">
        <f t="shared" si="161"/>
        <v>0</v>
      </c>
      <c r="J77" s="68">
        <f t="shared" si="161"/>
        <v>0</v>
      </c>
      <c r="K77" s="68">
        <f t="shared" si="161"/>
        <v>2.6500000000000004</v>
      </c>
      <c r="L77" s="68">
        <f t="shared" si="161"/>
        <v>0</v>
      </c>
      <c r="M77" s="68">
        <f t="shared" si="161"/>
        <v>2.7189999999999994</v>
      </c>
      <c r="N77" s="68">
        <f t="shared" si="161"/>
        <v>1.5</v>
      </c>
      <c r="O77" s="68">
        <f t="shared" si="161"/>
        <v>-2</v>
      </c>
      <c r="P77" s="68">
        <f t="shared" si="161"/>
        <v>0.90000000000000036</v>
      </c>
      <c r="Q77" s="68">
        <f t="shared" si="161"/>
        <v>-2.0500000000000007</v>
      </c>
      <c r="R77" s="68">
        <f t="shared" si="161"/>
        <v>-1.0999999999999996</v>
      </c>
      <c r="S77" s="68">
        <f t="shared" si="161"/>
        <v>-1.2399999999999984</v>
      </c>
      <c r="T77" s="68">
        <f t="shared" si="161"/>
        <v>-1.5200000000000014</v>
      </c>
      <c r="U77" s="68">
        <f t="shared" si="161"/>
        <v>0</v>
      </c>
      <c r="V77" s="68">
        <f t="shared" si="161"/>
        <v>-0.90999999999999837</v>
      </c>
      <c r="W77" s="68">
        <f t="shared" si="161"/>
        <v>0</v>
      </c>
      <c r="X77" s="68">
        <f t="shared" si="161"/>
        <v>-0.72000000000000064</v>
      </c>
      <c r="Y77" s="68">
        <f t="shared" si="161"/>
        <v>-2.1199999999999992</v>
      </c>
      <c r="Z77" s="68">
        <f t="shared" si="161"/>
        <v>-2.1100000000000003</v>
      </c>
      <c r="AA77" s="68">
        <f t="shared" si="161"/>
        <v>-2.0600000000000005</v>
      </c>
      <c r="AB77" s="68">
        <f t="shared" si="161"/>
        <v>0</v>
      </c>
      <c r="AC77" s="68">
        <f t="shared" si="161"/>
        <v>0</v>
      </c>
      <c r="AD77" s="68">
        <f t="shared" si="161"/>
        <v>-1.5</v>
      </c>
      <c r="AE77" s="68">
        <f t="shared" si="140"/>
        <v>0.63000000000000078</v>
      </c>
      <c r="AF77" s="68">
        <f t="shared" si="140"/>
        <v>-1.5999999999999996</v>
      </c>
      <c r="AG77" s="68">
        <f t="shared" si="140"/>
        <v>1.5</v>
      </c>
      <c r="AH77" s="68">
        <f t="shared" si="140"/>
        <v>0</v>
      </c>
      <c r="AI77" s="68">
        <f t="shared" si="140"/>
        <v>0</v>
      </c>
      <c r="AJ77" s="68">
        <f t="shared" si="140"/>
        <v>-2.5907000000000053</v>
      </c>
      <c r="AK77" s="68">
        <f t="shared" si="140"/>
        <v>-4.4600000000000009</v>
      </c>
      <c r="AL77" s="68">
        <f t="shared" ref="AL77:AM77" si="162">AL64-AL51</f>
        <v>-3.6399999999999988</v>
      </c>
      <c r="AM77" s="68">
        <f t="shared" si="162"/>
        <v>-2.0150000000000006</v>
      </c>
      <c r="AN77" s="68">
        <f t="shared" ref="AN77:AO77" si="163">AN64-AN51</f>
        <v>-2.6999999999999993</v>
      </c>
      <c r="AO77" s="68">
        <f t="shared" si="163"/>
        <v>-0.46499999999999986</v>
      </c>
      <c r="AP77" s="68">
        <f t="shared" ref="AP77:AQ77" si="164">AP64-AP51</f>
        <v>-2.25</v>
      </c>
      <c r="AQ77" s="68">
        <f t="shared" si="164"/>
        <v>-1.2650000000000006</v>
      </c>
      <c r="AR77" s="68">
        <f t="shared" ref="AR77:AS77" si="165">AR64-AR51</f>
        <v>-1.8600000000000003</v>
      </c>
      <c r="AS77" s="68">
        <f t="shared" si="165"/>
        <v>-0.26500000000000012</v>
      </c>
      <c r="AT77" s="68">
        <f t="shared" ref="AT77:AU77" si="166">AT64-AT51</f>
        <v>-2.9999999999999971E-2</v>
      </c>
      <c r="AU77" s="68">
        <f t="shared" si="166"/>
        <v>1.1229219999999991</v>
      </c>
      <c r="AV77" s="68">
        <f t="shared" ref="AV77" si="167">AV64-AV51</f>
        <v>-0.30500000000000016</v>
      </c>
      <c r="AW77" s="38"/>
      <c r="AX77" s="31"/>
      <c r="AY77" s="31"/>
      <c r="AZ77" s="31"/>
      <c r="BA77" s="31"/>
    </row>
    <row r="78" spans="1:57" ht="15" outlineLevel="1" thickBot="1">
      <c r="A78" s="806" t="s">
        <v>31</v>
      </c>
      <c r="B78" s="807"/>
      <c r="C78" s="807"/>
      <c r="D78" s="807"/>
      <c r="E78" s="63">
        <f t="shared" ref="E78:Z78" si="168">SUM(E72:E77)</f>
        <v>0</v>
      </c>
      <c r="F78" s="64">
        <f t="shared" si="168"/>
        <v>-1.7999999999999989</v>
      </c>
      <c r="G78" s="64">
        <f t="shared" si="168"/>
        <v>-7.1900000000000199</v>
      </c>
      <c r="H78" s="64">
        <f t="shared" si="168"/>
        <v>-1.2919999999999909</v>
      </c>
      <c r="I78" s="64">
        <f t="shared" si="168"/>
        <v>-14.564000000000011</v>
      </c>
      <c r="J78" s="64">
        <f t="shared" si="168"/>
        <v>-6</v>
      </c>
      <c r="K78" s="64">
        <f t="shared" si="168"/>
        <v>6.8000000000000123</v>
      </c>
      <c r="L78" s="64">
        <f t="shared" si="168"/>
        <v>-1.1800000000000095</v>
      </c>
      <c r="M78" s="64">
        <f t="shared" si="168"/>
        <v>-14.794000000000027</v>
      </c>
      <c r="N78" s="64">
        <f t="shared" si="168"/>
        <v>1.650000000000011</v>
      </c>
      <c r="O78" s="64">
        <f t="shared" si="168"/>
        <v>-15.600000000000023</v>
      </c>
      <c r="P78" s="64">
        <f t="shared" si="168"/>
        <v>-55.299000000000014</v>
      </c>
      <c r="Q78" s="64">
        <f t="shared" si="168"/>
        <v>-7.0000000000000009</v>
      </c>
      <c r="R78" s="64">
        <f t="shared" si="168"/>
        <v>-2.0825882138433029</v>
      </c>
      <c r="S78" s="64">
        <f t="shared" si="168"/>
        <v>-4.935478581817998</v>
      </c>
      <c r="T78" s="64">
        <f t="shared" si="168"/>
        <v>-2.8599999999999879</v>
      </c>
      <c r="U78" s="64">
        <f t="shared" si="168"/>
        <v>-3.82</v>
      </c>
      <c r="V78" s="64">
        <f t="shared" si="168"/>
        <v>-9.8839999999999915</v>
      </c>
      <c r="W78" s="64">
        <f t="shared" si="168"/>
        <v>6.2279999999999909</v>
      </c>
      <c r="X78" s="64">
        <f t="shared" si="168"/>
        <v>27.634999999999977</v>
      </c>
      <c r="Y78" s="64">
        <f t="shared" si="168"/>
        <v>16.263857938685483</v>
      </c>
      <c r="Z78" s="64">
        <f t="shared" si="168"/>
        <v>18.830232274350315</v>
      </c>
      <c r="AA78" s="64">
        <f t="shared" ref="AA78:AK78" si="169">SUM(AA72:AA77)</f>
        <v>-3.1648790847924264</v>
      </c>
      <c r="AB78" s="64">
        <f t="shared" si="169"/>
        <v>-6.4610849453320176</v>
      </c>
      <c r="AC78" s="64">
        <f t="shared" si="169"/>
        <v>2.9879999999999809</v>
      </c>
      <c r="AD78" s="64">
        <f t="shared" si="169"/>
        <v>-2.1722629654257544</v>
      </c>
      <c r="AE78" s="64">
        <f t="shared" si="169"/>
        <v>-3.5012200380669993</v>
      </c>
      <c r="AF78" s="64">
        <f t="shared" si="169"/>
        <v>-4.9671231113611949</v>
      </c>
      <c r="AG78" s="64">
        <f t="shared" si="169"/>
        <v>0.23364705882357839</v>
      </c>
      <c r="AH78" s="64">
        <f t="shared" si="169"/>
        <v>-0.48814709733741601</v>
      </c>
      <c r="AI78" s="64">
        <f>SUM(AI72:AI77)</f>
        <v>0.51443418931083329</v>
      </c>
      <c r="AJ78" s="64">
        <f t="shared" si="169"/>
        <v>-2.6722720081136502</v>
      </c>
      <c r="AK78" s="64">
        <f t="shared" si="169"/>
        <v>-3.9200000000000008</v>
      </c>
      <c r="AL78" s="64">
        <f t="shared" ref="AL78:AM78" si="170">SUM(AL72:AL77)</f>
        <v>-3.6549999999999994</v>
      </c>
      <c r="AM78" s="64">
        <f t="shared" si="170"/>
        <v>-1.4750000000000005</v>
      </c>
      <c r="AN78" s="64">
        <f t="shared" ref="AN78:AO78" si="171">SUM(AN72:AN77)</f>
        <v>-2.1599999999999993</v>
      </c>
      <c r="AO78" s="64">
        <f t="shared" si="171"/>
        <v>7.5000000000000178E-2</v>
      </c>
      <c r="AP78" s="64">
        <f t="shared" ref="AP78:AQ78" si="172">SUM(AP72:AP77)</f>
        <v>-2.25</v>
      </c>
      <c r="AQ78" s="64">
        <f t="shared" si="172"/>
        <v>-1.2650000000000006</v>
      </c>
      <c r="AR78" s="64">
        <f t="shared" ref="AR78:AS78" si="173">SUM(AR72:AR77)</f>
        <v>-1.8600000000000003</v>
      </c>
      <c r="AS78" s="64">
        <f t="shared" si="173"/>
        <v>-0.26500000000000012</v>
      </c>
      <c r="AT78" s="64">
        <f t="shared" ref="AT78:AU78" si="174">SUM(AT72:AT77)</f>
        <v>-2.9999999999999971E-2</v>
      </c>
      <c r="AU78" s="64">
        <f t="shared" si="174"/>
        <v>1.1229219999999991</v>
      </c>
      <c r="AV78" s="64">
        <f t="shared" ref="AV78" si="175">SUM(AV72:AV77)</f>
        <v>-0.30500000000000016</v>
      </c>
      <c r="AW78" s="38"/>
      <c r="AX78" s="31"/>
      <c r="AY78" s="31"/>
      <c r="AZ78" s="31"/>
      <c r="BA78" s="31"/>
    </row>
    <row r="79" spans="1:57" ht="13.25" customHeight="1" outlineLevel="1">
      <c r="A79" s="251"/>
      <c r="B79" s="525"/>
      <c r="C79" s="525" t="s">
        <v>20</v>
      </c>
      <c r="D79" s="525"/>
      <c r="E79" s="62"/>
      <c r="F79" s="62"/>
      <c r="G79" s="62"/>
      <c r="H79" s="62"/>
      <c r="I79" s="62"/>
      <c r="J79" s="62"/>
      <c r="K79" s="62"/>
      <c r="L79" s="62"/>
      <c r="M79" s="62"/>
      <c r="N79" s="62"/>
      <c r="O79" s="62"/>
      <c r="P79" s="62"/>
      <c r="Q79" s="62"/>
      <c r="R79" s="62"/>
      <c r="S79" s="62"/>
      <c r="T79" s="62"/>
      <c r="U79" s="62"/>
      <c r="V79" s="62"/>
      <c r="W79" s="62"/>
      <c r="X79" s="62"/>
      <c r="Y79" s="62"/>
      <c r="Z79" s="342">
        <f t="shared" ref="Z79:AH79" si="176">IF(Z119&gt;Z8,Z8,Z119)</f>
        <v>39</v>
      </c>
      <c r="AA79" s="342">
        <f t="shared" si="176"/>
        <v>37</v>
      </c>
      <c r="AB79" s="342">
        <f t="shared" si="176"/>
        <v>29.5</v>
      </c>
      <c r="AC79" s="342">
        <f t="shared" si="176"/>
        <v>35</v>
      </c>
      <c r="AD79" s="342">
        <f t="shared" si="176"/>
        <v>31.5</v>
      </c>
      <c r="AE79" s="342">
        <f t="shared" si="176"/>
        <v>54.31</v>
      </c>
      <c r="AF79" s="342">
        <f t="shared" si="176"/>
        <v>26</v>
      </c>
      <c r="AG79" s="342">
        <f t="shared" si="176"/>
        <v>50.82</v>
      </c>
      <c r="AH79" s="342">
        <f t="shared" si="176"/>
        <v>42</v>
      </c>
      <c r="AI79" s="342">
        <f>IF(AI119&gt;(AI8+AI10),(AI8+AI10),AI119)</f>
        <v>32.700000000000003</v>
      </c>
      <c r="AJ79" s="342">
        <f t="shared" ref="AJ79:AV79" si="177">IF(AJ119&gt;(AJ8+AJ10),(AJ8+AJ10),AJ119)</f>
        <v>39.700000000000003</v>
      </c>
      <c r="AK79" s="342">
        <f t="shared" si="177"/>
        <v>58</v>
      </c>
      <c r="AL79" s="342">
        <f t="shared" si="177"/>
        <v>61.617314239999999</v>
      </c>
      <c r="AM79" s="342">
        <f t="shared" si="177"/>
        <v>60.290979539999995</v>
      </c>
      <c r="AN79" s="342">
        <f t="shared" si="177"/>
        <v>57.802225450000009</v>
      </c>
      <c r="AO79" s="342">
        <f t="shared" si="177"/>
        <v>59.217310670000003</v>
      </c>
      <c r="AP79" s="342">
        <f t="shared" si="177"/>
        <v>60.470735329999997</v>
      </c>
      <c r="AQ79" s="342">
        <f t="shared" si="177"/>
        <v>60.911559339999997</v>
      </c>
      <c r="AR79" s="342">
        <f t="shared" si="177"/>
        <v>60.989999999999995</v>
      </c>
      <c r="AS79" s="342">
        <f t="shared" si="177"/>
        <v>63.319999999999993</v>
      </c>
      <c r="AT79" s="342">
        <f t="shared" si="177"/>
        <v>64.187326659999997</v>
      </c>
      <c r="AU79" s="342">
        <f t="shared" si="177"/>
        <v>61.184418080000007</v>
      </c>
      <c r="AV79" s="342">
        <f t="shared" si="177"/>
        <v>61.18</v>
      </c>
      <c r="AW79" s="38"/>
      <c r="AX79" s="31"/>
      <c r="AY79" s="31"/>
      <c r="AZ79" s="31"/>
      <c r="BA79" s="31"/>
    </row>
    <row r="80" spans="1:57" ht="13.25" customHeight="1" outlineLevel="1">
      <c r="A80" s="250"/>
      <c r="B80" s="525"/>
      <c r="C80" s="525" t="s">
        <v>20</v>
      </c>
      <c r="D80" s="525"/>
      <c r="E80" s="62"/>
      <c r="F80" s="62"/>
      <c r="G80" s="62"/>
      <c r="H80" s="62"/>
      <c r="I80" s="62"/>
      <c r="J80" s="62"/>
      <c r="K80" s="62"/>
      <c r="L80" s="62"/>
      <c r="M80" s="62"/>
      <c r="N80" s="62"/>
      <c r="O80" s="62"/>
      <c r="P80" s="62"/>
      <c r="Q80" s="62"/>
      <c r="R80" s="62"/>
      <c r="S80" s="62"/>
      <c r="T80" s="62"/>
      <c r="U80" s="62"/>
      <c r="V80" s="62"/>
      <c r="W80" s="62"/>
      <c r="X80" s="62"/>
      <c r="Y80" s="62"/>
      <c r="Z80" s="342"/>
      <c r="AA80" s="342"/>
      <c r="AB80" s="342"/>
      <c r="AC80" s="342"/>
      <c r="AD80" s="342"/>
      <c r="AE80" s="342"/>
      <c r="AF80" s="342"/>
      <c r="AG80" s="342"/>
      <c r="AH80" s="342"/>
      <c r="AI80" s="342">
        <f t="shared" ref="AI80" si="178">AI82-AI124</f>
        <v>-26</v>
      </c>
      <c r="AJ80" s="342">
        <f t="shared" ref="AJ80:AV80" si="179">AJ82-AJ124</f>
        <v>-29</v>
      </c>
      <c r="AK80" s="342">
        <f t="shared" si="179"/>
        <v>-30</v>
      </c>
      <c r="AL80" s="342">
        <f t="shared" si="179"/>
        <v>-25.5</v>
      </c>
      <c r="AM80" s="342">
        <f t="shared" si="179"/>
        <v>-28.290979539999995</v>
      </c>
      <c r="AN80" s="342">
        <f t="shared" si="179"/>
        <v>-14.802225450000009</v>
      </c>
      <c r="AO80" s="342">
        <f t="shared" si="179"/>
        <v>-10.217310670000003</v>
      </c>
      <c r="AP80" s="342">
        <f t="shared" si="179"/>
        <v>-13.470735329999997</v>
      </c>
      <c r="AQ80" s="342">
        <f t="shared" si="179"/>
        <v>-3.9115593399999966</v>
      </c>
      <c r="AR80" s="342">
        <f t="shared" si="179"/>
        <v>3.0100000000000051</v>
      </c>
      <c r="AS80" s="342">
        <f t="shared" si="179"/>
        <v>-16.319999999999993</v>
      </c>
      <c r="AT80" s="342">
        <f t="shared" si="179"/>
        <v>-14.187326659999997</v>
      </c>
      <c r="AU80" s="342">
        <f t="shared" si="179"/>
        <v>-10.18441808</v>
      </c>
      <c r="AV80" s="342">
        <f t="shared" si="179"/>
        <v>-0.18000000000000682</v>
      </c>
      <c r="AW80" s="38"/>
      <c r="AX80" s="31"/>
      <c r="AY80" s="31"/>
      <c r="AZ80" s="31"/>
      <c r="BA80" s="31"/>
    </row>
    <row r="81" spans="1:53" ht="13.25" customHeight="1" outlineLevel="1">
      <c r="A81" s="250"/>
      <c r="B81" s="525"/>
      <c r="C81" s="525" t="s">
        <v>15</v>
      </c>
      <c r="D81" s="525"/>
      <c r="E81" s="62"/>
      <c r="F81" s="62"/>
      <c r="G81" s="62"/>
      <c r="H81" s="62"/>
      <c r="I81" s="62"/>
      <c r="J81" s="62"/>
      <c r="K81" s="62"/>
      <c r="L81" s="62"/>
      <c r="M81" s="62"/>
      <c r="N81" s="62"/>
      <c r="O81" s="62"/>
      <c r="P81" s="62"/>
      <c r="Q81" s="62"/>
      <c r="R81" s="62"/>
      <c r="S81" s="62"/>
      <c r="T81" s="62"/>
      <c r="U81" s="62"/>
      <c r="V81" s="62"/>
      <c r="W81" s="62"/>
      <c r="X81" s="62"/>
      <c r="Y81" s="62"/>
      <c r="Z81" s="342">
        <f t="shared" ref="Z81:AH81" si="180">IF(Z8=Z79,0,Z8-Z119)</f>
        <v>0</v>
      </c>
      <c r="AA81" s="342">
        <f t="shared" si="180"/>
        <v>0</v>
      </c>
      <c r="AB81" s="342">
        <f t="shared" si="180"/>
        <v>0</v>
      </c>
      <c r="AC81" s="342">
        <f t="shared" si="180"/>
        <v>0</v>
      </c>
      <c r="AD81" s="342">
        <f t="shared" si="180"/>
        <v>0</v>
      </c>
      <c r="AE81" s="342">
        <f t="shared" si="180"/>
        <v>45.69</v>
      </c>
      <c r="AF81" s="342">
        <f t="shared" si="180"/>
        <v>0</v>
      </c>
      <c r="AG81" s="342">
        <f t="shared" si="180"/>
        <v>0.17999999999999972</v>
      </c>
      <c r="AH81" s="342">
        <f t="shared" si="180"/>
        <v>0</v>
      </c>
      <c r="AI81" s="342">
        <f>IF((AI8+AI10)=AI79,0,(AI8+AI10)-AI119)</f>
        <v>0</v>
      </c>
      <c r="AJ81" s="342">
        <f t="shared" ref="AJ81:AV81" si="181">IF((AJ8+AJ10)=AJ79,0,(AJ8+AJ10)-AJ119)</f>
        <v>0</v>
      </c>
      <c r="AK81" s="342">
        <f t="shared" si="181"/>
        <v>0</v>
      </c>
      <c r="AL81" s="342">
        <f t="shared" si="181"/>
        <v>2.3826857600000011</v>
      </c>
      <c r="AM81" s="342">
        <f t="shared" si="181"/>
        <v>15.709020460000005</v>
      </c>
      <c r="AN81" s="342">
        <f t="shared" si="181"/>
        <v>29.197774549999991</v>
      </c>
      <c r="AO81" s="342">
        <f t="shared" si="181"/>
        <v>33.782689329999997</v>
      </c>
      <c r="AP81" s="342">
        <f t="shared" si="181"/>
        <v>30.529264670000003</v>
      </c>
      <c r="AQ81" s="342">
        <f t="shared" si="181"/>
        <v>40.088440660000003</v>
      </c>
      <c r="AR81" s="342">
        <f t="shared" si="181"/>
        <v>47.010000000000005</v>
      </c>
      <c r="AS81" s="342">
        <f t="shared" si="181"/>
        <v>27.680000000000007</v>
      </c>
      <c r="AT81" s="342">
        <f t="shared" si="181"/>
        <v>29.812673340000003</v>
      </c>
      <c r="AU81" s="342">
        <f t="shared" si="181"/>
        <v>33.815581919999993</v>
      </c>
      <c r="AV81" s="342">
        <f t="shared" si="181"/>
        <v>43.82</v>
      </c>
      <c r="AW81" s="38"/>
      <c r="AX81" s="31"/>
      <c r="AY81" s="31"/>
      <c r="AZ81" s="31"/>
      <c r="BA81" s="31"/>
    </row>
    <row r="82" spans="1:53" ht="13.25" customHeight="1" outlineLevel="1">
      <c r="A82" s="250"/>
      <c r="B82" s="525"/>
      <c r="C82" s="525" t="s">
        <v>16</v>
      </c>
      <c r="D82" s="525"/>
      <c r="E82" s="62"/>
      <c r="F82" s="62"/>
      <c r="G82" s="62"/>
      <c r="H82" s="62"/>
      <c r="I82" s="62"/>
      <c r="J82" s="62"/>
      <c r="K82" s="62"/>
      <c r="L82" s="62"/>
      <c r="M82" s="62"/>
      <c r="N82" s="62"/>
      <c r="O82" s="62"/>
      <c r="P82" s="62"/>
      <c r="Q82" s="62"/>
      <c r="R82" s="62"/>
      <c r="S82" s="62"/>
      <c r="T82" s="62"/>
      <c r="U82" s="62"/>
      <c r="V82" s="62"/>
      <c r="W82" s="62"/>
      <c r="X82" s="62"/>
      <c r="Y82" s="62"/>
      <c r="Z82" s="342">
        <f t="shared" ref="Z82:AI82" si="182">IF(Z83+Z85&gt;Z8,0,Z8-(Z83+Z85))</f>
        <v>0</v>
      </c>
      <c r="AA82" s="342">
        <f t="shared" si="182"/>
        <v>0</v>
      </c>
      <c r="AB82" s="342">
        <f t="shared" si="182"/>
        <v>0</v>
      </c>
      <c r="AC82" s="342">
        <f t="shared" si="182"/>
        <v>0</v>
      </c>
      <c r="AD82" s="342">
        <f t="shared" si="182"/>
        <v>0</v>
      </c>
      <c r="AE82" s="342">
        <f t="shared" si="182"/>
        <v>32.69</v>
      </c>
      <c r="AF82" s="342">
        <f t="shared" si="182"/>
        <v>0</v>
      </c>
      <c r="AG82" s="342">
        <f t="shared" si="182"/>
        <v>0</v>
      </c>
      <c r="AH82" s="342">
        <f t="shared" si="182"/>
        <v>0</v>
      </c>
      <c r="AI82" s="342">
        <f t="shared" si="182"/>
        <v>0</v>
      </c>
      <c r="AJ82" s="342">
        <f t="shared" ref="AJ82:AV82" si="183">IF(AJ83+AJ85&gt;AJ8,0,AJ8-(AJ83+AJ85))</f>
        <v>0</v>
      </c>
      <c r="AK82" s="342">
        <f t="shared" si="183"/>
        <v>0</v>
      </c>
      <c r="AL82" s="342">
        <f t="shared" si="183"/>
        <v>0</v>
      </c>
      <c r="AM82" s="342">
        <f t="shared" si="183"/>
        <v>1.709020460000005</v>
      </c>
      <c r="AN82" s="342">
        <f t="shared" si="183"/>
        <v>15.197774549999991</v>
      </c>
      <c r="AO82" s="342">
        <f t="shared" si="183"/>
        <v>19.782689329999997</v>
      </c>
      <c r="AP82" s="342">
        <f t="shared" si="183"/>
        <v>16.529264670000003</v>
      </c>
      <c r="AQ82" s="342">
        <f t="shared" si="183"/>
        <v>26.088440660000003</v>
      </c>
      <c r="AR82" s="342">
        <f t="shared" si="183"/>
        <v>33.010000000000005</v>
      </c>
      <c r="AS82" s="342">
        <f t="shared" si="183"/>
        <v>13.680000000000007</v>
      </c>
      <c r="AT82" s="342">
        <f t="shared" si="183"/>
        <v>15.812673340000003</v>
      </c>
      <c r="AU82" s="342">
        <f t="shared" si="183"/>
        <v>19.81558192</v>
      </c>
      <c r="AV82" s="342">
        <f t="shared" si="183"/>
        <v>29.819999999999993</v>
      </c>
      <c r="AW82" s="38"/>
      <c r="AX82" s="31"/>
      <c r="AY82" s="31"/>
      <c r="AZ82" s="31"/>
      <c r="BA82" s="31"/>
    </row>
    <row r="83" spans="1:53" ht="13.25" customHeight="1" outlineLevel="1">
      <c r="A83" s="772" t="s">
        <v>86</v>
      </c>
      <c r="B83" s="526" t="s">
        <v>46</v>
      </c>
      <c r="C83" s="526" t="s">
        <v>20</v>
      </c>
      <c r="D83" s="526" t="s">
        <v>14</v>
      </c>
      <c r="E83" s="62"/>
      <c r="F83" s="62"/>
      <c r="G83" s="62"/>
      <c r="H83" s="62"/>
      <c r="I83" s="62"/>
      <c r="J83" s="62"/>
      <c r="K83" s="62"/>
      <c r="L83" s="62"/>
      <c r="M83" s="62"/>
      <c r="N83" s="62"/>
      <c r="O83" s="62"/>
      <c r="P83" s="62"/>
      <c r="Q83" s="62"/>
      <c r="R83" s="62"/>
      <c r="S83" s="62"/>
      <c r="T83" s="62"/>
      <c r="U83" s="62"/>
      <c r="V83" s="62"/>
      <c r="W83" s="62"/>
      <c r="X83" s="62"/>
      <c r="Y83" s="768">
        <f t="shared" ref="Y83:AJ83" si="184">Y79</f>
        <v>0</v>
      </c>
      <c r="Z83" s="768">
        <f t="shared" si="184"/>
        <v>39</v>
      </c>
      <c r="AA83" s="768">
        <f t="shared" si="184"/>
        <v>37</v>
      </c>
      <c r="AB83" s="768">
        <f t="shared" si="184"/>
        <v>29.5</v>
      </c>
      <c r="AC83" s="768">
        <f t="shared" si="184"/>
        <v>35</v>
      </c>
      <c r="AD83" s="768">
        <f t="shared" si="184"/>
        <v>31.5</v>
      </c>
      <c r="AE83" s="768">
        <f t="shared" si="184"/>
        <v>54.31</v>
      </c>
      <c r="AF83" s="768">
        <f t="shared" si="184"/>
        <v>26</v>
      </c>
      <c r="AG83" s="768">
        <f t="shared" si="184"/>
        <v>50.82</v>
      </c>
      <c r="AH83" s="768">
        <f t="shared" si="184"/>
        <v>42</v>
      </c>
      <c r="AI83" s="768">
        <f t="shared" si="184"/>
        <v>32.700000000000003</v>
      </c>
      <c r="AJ83" s="768">
        <f t="shared" si="184"/>
        <v>39.700000000000003</v>
      </c>
      <c r="AK83" s="768">
        <f t="shared" ref="AK83:AV83" si="185">AK79</f>
        <v>58</v>
      </c>
      <c r="AL83" s="768">
        <f t="shared" si="185"/>
        <v>61.617314239999999</v>
      </c>
      <c r="AM83" s="768">
        <f t="shared" si="185"/>
        <v>60.290979539999995</v>
      </c>
      <c r="AN83" s="768">
        <f t="shared" si="185"/>
        <v>57.802225450000009</v>
      </c>
      <c r="AO83" s="768">
        <f t="shared" si="185"/>
        <v>59.217310670000003</v>
      </c>
      <c r="AP83" s="768">
        <f t="shared" si="185"/>
        <v>60.470735329999997</v>
      </c>
      <c r="AQ83" s="768">
        <f t="shared" si="185"/>
        <v>60.911559339999997</v>
      </c>
      <c r="AR83" s="768">
        <f t="shared" si="185"/>
        <v>60.989999999999995</v>
      </c>
      <c r="AS83" s="768">
        <f t="shared" si="185"/>
        <v>63.319999999999993</v>
      </c>
      <c r="AT83" s="768">
        <f t="shared" si="185"/>
        <v>64.187326659999997</v>
      </c>
      <c r="AU83" s="768">
        <f t="shared" si="185"/>
        <v>61.184418080000007</v>
      </c>
      <c r="AV83" s="768">
        <f t="shared" si="185"/>
        <v>61.18</v>
      </c>
      <c r="AW83" s="38"/>
      <c r="AX83" s="434">
        <f>SUM(Y83:AJ83)</f>
        <v>417.53</v>
      </c>
      <c r="AY83" s="727"/>
      <c r="AZ83" s="727">
        <f t="shared" ref="AZ83:AZ94" si="186">SUM(AK83:AV83)</f>
        <v>729.17186930999992</v>
      </c>
      <c r="BA83" s="31"/>
    </row>
    <row r="84" spans="1:53" ht="13.25" customHeight="1" outlineLevel="1">
      <c r="A84" s="773"/>
      <c r="B84" s="526" t="s">
        <v>46</v>
      </c>
      <c r="C84" s="526" t="s">
        <v>20</v>
      </c>
      <c r="D84" s="526" t="s">
        <v>48</v>
      </c>
      <c r="E84" s="62"/>
      <c r="F84" s="62"/>
      <c r="G84" s="62"/>
      <c r="H84" s="62"/>
      <c r="I84" s="62"/>
      <c r="J84" s="62"/>
      <c r="K84" s="62"/>
      <c r="L84" s="62"/>
      <c r="M84" s="62"/>
      <c r="N84" s="62"/>
      <c r="O84" s="62"/>
      <c r="P84" s="62"/>
      <c r="Q84" s="62"/>
      <c r="R84" s="62"/>
      <c r="S84" s="62"/>
      <c r="T84" s="62"/>
      <c r="U84" s="62"/>
      <c r="V84" s="62"/>
      <c r="W84" s="62"/>
      <c r="X84" s="62"/>
      <c r="Y84" s="768">
        <f t="shared" ref="Y84:AI84" si="187">IF(Y80&gt;0,Y80,0)</f>
        <v>0</v>
      </c>
      <c r="Z84" s="768">
        <f t="shared" si="187"/>
        <v>0</v>
      </c>
      <c r="AA84" s="768">
        <f t="shared" si="187"/>
        <v>0</v>
      </c>
      <c r="AB84" s="768">
        <f t="shared" si="187"/>
        <v>0</v>
      </c>
      <c r="AC84" s="768">
        <f t="shared" si="187"/>
        <v>0</v>
      </c>
      <c r="AD84" s="768">
        <f t="shared" si="187"/>
        <v>0</v>
      </c>
      <c r="AE84" s="768">
        <f t="shared" si="187"/>
        <v>0</v>
      </c>
      <c r="AF84" s="768">
        <f t="shared" si="187"/>
        <v>0</v>
      </c>
      <c r="AG84" s="768">
        <f t="shared" si="187"/>
        <v>0</v>
      </c>
      <c r="AH84" s="768">
        <f t="shared" si="187"/>
        <v>0</v>
      </c>
      <c r="AI84" s="768">
        <f t="shared" si="187"/>
        <v>0</v>
      </c>
      <c r="AJ84" s="768">
        <f t="shared" ref="AJ84:AV84" si="188">IF(AJ80&gt;0,AJ80,0)</f>
        <v>0</v>
      </c>
      <c r="AK84" s="768">
        <f t="shared" si="188"/>
        <v>0</v>
      </c>
      <c r="AL84" s="768">
        <f t="shared" si="188"/>
        <v>0</v>
      </c>
      <c r="AM84" s="768">
        <f t="shared" si="188"/>
        <v>0</v>
      </c>
      <c r="AN84" s="768">
        <f t="shared" si="188"/>
        <v>0</v>
      </c>
      <c r="AO84" s="768">
        <f t="shared" si="188"/>
        <v>0</v>
      </c>
      <c r="AP84" s="768">
        <f t="shared" si="188"/>
        <v>0</v>
      </c>
      <c r="AQ84" s="768">
        <f t="shared" si="188"/>
        <v>0</v>
      </c>
      <c r="AR84" s="768">
        <f t="shared" si="188"/>
        <v>3.0100000000000051</v>
      </c>
      <c r="AS84" s="768">
        <f t="shared" si="188"/>
        <v>0</v>
      </c>
      <c r="AT84" s="768">
        <f t="shared" si="188"/>
        <v>0</v>
      </c>
      <c r="AU84" s="768">
        <f t="shared" si="188"/>
        <v>0</v>
      </c>
      <c r="AV84" s="768">
        <f t="shared" si="188"/>
        <v>0</v>
      </c>
      <c r="AW84" s="38"/>
      <c r="AX84" s="434">
        <f t="shared" ref="AX84:AX94" si="189">SUM(Y84:AJ84)</f>
        <v>0</v>
      </c>
      <c r="AY84" s="727"/>
      <c r="AZ84" s="727">
        <f t="shared" si="186"/>
        <v>3.0100000000000051</v>
      </c>
      <c r="BA84" s="31"/>
    </row>
    <row r="85" spans="1:53" ht="13.25" customHeight="1" outlineLevel="1">
      <c r="A85" s="773"/>
      <c r="B85" s="526" t="s">
        <v>46</v>
      </c>
      <c r="C85" s="526" t="s">
        <v>15</v>
      </c>
      <c r="D85" s="526" t="s">
        <v>14</v>
      </c>
      <c r="E85" s="62"/>
      <c r="F85" s="62"/>
      <c r="G85" s="62"/>
      <c r="H85" s="62"/>
      <c r="I85" s="62"/>
      <c r="J85" s="62"/>
      <c r="K85" s="62"/>
      <c r="L85" s="62"/>
      <c r="M85" s="62"/>
      <c r="N85" s="62"/>
      <c r="O85" s="62"/>
      <c r="P85" s="62"/>
      <c r="Q85" s="62"/>
      <c r="R85" s="62"/>
      <c r="S85" s="62"/>
      <c r="T85" s="62"/>
      <c r="U85" s="62"/>
      <c r="V85" s="62"/>
      <c r="W85" s="62"/>
      <c r="X85" s="62"/>
      <c r="Y85" s="768">
        <f t="shared" ref="Y85:AI85" si="190">IF(Y81&lt;Y123,Y81,Y123)</f>
        <v>0</v>
      </c>
      <c r="Z85" s="768">
        <f t="shared" si="190"/>
        <v>0</v>
      </c>
      <c r="AA85" s="768">
        <f t="shared" si="190"/>
        <v>0</v>
      </c>
      <c r="AB85" s="768">
        <f t="shared" si="190"/>
        <v>0</v>
      </c>
      <c r="AC85" s="768">
        <f t="shared" si="190"/>
        <v>0</v>
      </c>
      <c r="AD85" s="768">
        <f t="shared" si="190"/>
        <v>0</v>
      </c>
      <c r="AE85" s="768">
        <f t="shared" si="190"/>
        <v>13</v>
      </c>
      <c r="AF85" s="768">
        <f t="shared" si="190"/>
        <v>0</v>
      </c>
      <c r="AG85" s="768">
        <f t="shared" si="190"/>
        <v>0.17999999999999972</v>
      </c>
      <c r="AH85" s="768">
        <f t="shared" si="190"/>
        <v>0</v>
      </c>
      <c r="AI85" s="768">
        <f t="shared" si="190"/>
        <v>0</v>
      </c>
      <c r="AJ85" s="768">
        <f t="shared" ref="AJ85:AV85" si="191">IF(AJ81&lt;AJ123,AJ81,AJ123)</f>
        <v>0</v>
      </c>
      <c r="AK85" s="768">
        <f t="shared" si="191"/>
        <v>0</v>
      </c>
      <c r="AL85" s="768">
        <f t="shared" si="191"/>
        <v>2.3826857600000011</v>
      </c>
      <c r="AM85" s="768">
        <f t="shared" si="191"/>
        <v>14</v>
      </c>
      <c r="AN85" s="768">
        <f t="shared" si="191"/>
        <v>14</v>
      </c>
      <c r="AO85" s="768">
        <f t="shared" si="191"/>
        <v>14</v>
      </c>
      <c r="AP85" s="768">
        <f t="shared" si="191"/>
        <v>14</v>
      </c>
      <c r="AQ85" s="768">
        <f t="shared" si="191"/>
        <v>14</v>
      </c>
      <c r="AR85" s="768">
        <f t="shared" si="191"/>
        <v>14</v>
      </c>
      <c r="AS85" s="768">
        <f t="shared" si="191"/>
        <v>14</v>
      </c>
      <c r="AT85" s="768">
        <f t="shared" si="191"/>
        <v>14</v>
      </c>
      <c r="AU85" s="768">
        <f t="shared" si="191"/>
        <v>14</v>
      </c>
      <c r="AV85" s="768">
        <f t="shared" si="191"/>
        <v>14</v>
      </c>
      <c r="AW85" s="38"/>
      <c r="AX85" s="434">
        <f t="shared" si="189"/>
        <v>13.18</v>
      </c>
      <c r="AY85" s="727"/>
      <c r="AZ85" s="727">
        <f t="shared" si="186"/>
        <v>142.38268576000002</v>
      </c>
      <c r="BA85" s="31"/>
    </row>
    <row r="86" spans="1:53" ht="13.25" customHeight="1" outlineLevel="1">
      <c r="A86" s="773"/>
      <c r="B86" s="526" t="s">
        <v>46</v>
      </c>
      <c r="C86" s="526" t="s">
        <v>16</v>
      </c>
      <c r="D86" s="526" t="s">
        <v>14</v>
      </c>
      <c r="E86" s="62"/>
      <c r="F86" s="62"/>
      <c r="G86" s="62"/>
      <c r="H86" s="62"/>
      <c r="I86" s="62"/>
      <c r="J86" s="62"/>
      <c r="K86" s="62"/>
      <c r="L86" s="62"/>
      <c r="M86" s="62"/>
      <c r="N86" s="62"/>
      <c r="O86" s="62"/>
      <c r="P86" s="62"/>
      <c r="Q86" s="62"/>
      <c r="R86" s="62"/>
      <c r="S86" s="62"/>
      <c r="T86" s="62"/>
      <c r="U86" s="62"/>
      <c r="V86" s="62"/>
      <c r="W86" s="62"/>
      <c r="X86" s="62"/>
      <c r="Y86" s="768">
        <f t="shared" ref="Y86:AI86" si="192">IF(Y124&lt;Y82,Y124,Y82)</f>
        <v>0</v>
      </c>
      <c r="Z86" s="768">
        <f t="shared" si="192"/>
        <v>0</v>
      </c>
      <c r="AA86" s="768">
        <f t="shared" si="192"/>
        <v>0</v>
      </c>
      <c r="AB86" s="768">
        <f t="shared" si="192"/>
        <v>0</v>
      </c>
      <c r="AC86" s="768">
        <f t="shared" si="192"/>
        <v>0</v>
      </c>
      <c r="AD86" s="768">
        <f t="shared" si="192"/>
        <v>0</v>
      </c>
      <c r="AE86" s="768">
        <f t="shared" si="192"/>
        <v>24</v>
      </c>
      <c r="AF86" s="768">
        <f t="shared" si="192"/>
        <v>0</v>
      </c>
      <c r="AG86" s="768">
        <f t="shared" si="192"/>
        <v>0</v>
      </c>
      <c r="AH86" s="768">
        <f t="shared" si="192"/>
        <v>0</v>
      </c>
      <c r="AI86" s="768">
        <f t="shared" si="192"/>
        <v>0</v>
      </c>
      <c r="AJ86" s="768">
        <f t="shared" ref="AJ86:AV86" si="193">IF(AJ124&lt;AJ82,AJ124,AJ82)</f>
        <v>0</v>
      </c>
      <c r="AK86" s="768">
        <f t="shared" si="193"/>
        <v>0</v>
      </c>
      <c r="AL86" s="768">
        <f t="shared" si="193"/>
        <v>0</v>
      </c>
      <c r="AM86" s="768">
        <f t="shared" si="193"/>
        <v>1.709020460000005</v>
      </c>
      <c r="AN86" s="768">
        <f t="shared" si="193"/>
        <v>15.197774549999991</v>
      </c>
      <c r="AO86" s="352">
        <f t="shared" si="193"/>
        <v>19.782689329999997</v>
      </c>
      <c r="AP86" s="768">
        <f t="shared" si="193"/>
        <v>16.529264670000003</v>
      </c>
      <c r="AQ86" s="768">
        <f t="shared" si="193"/>
        <v>26.088440660000003</v>
      </c>
      <c r="AR86" s="352">
        <f t="shared" si="193"/>
        <v>30</v>
      </c>
      <c r="AS86" s="768">
        <f t="shared" si="193"/>
        <v>13.680000000000007</v>
      </c>
      <c r="AT86" s="768">
        <f t="shared" si="193"/>
        <v>15.812673340000003</v>
      </c>
      <c r="AU86" s="768">
        <f t="shared" si="193"/>
        <v>19.81558192</v>
      </c>
      <c r="AV86" s="768">
        <f t="shared" si="193"/>
        <v>29.819999999999993</v>
      </c>
      <c r="AW86" s="38"/>
      <c r="AX86" s="434">
        <f t="shared" si="189"/>
        <v>24</v>
      </c>
      <c r="AY86" s="727"/>
      <c r="AZ86" s="727">
        <f t="shared" si="186"/>
        <v>188.43544493000002</v>
      </c>
      <c r="BA86" s="31"/>
    </row>
    <row r="87" spans="1:53" ht="13.25" customHeight="1" outlineLevel="1">
      <c r="A87" s="250"/>
      <c r="B87" s="30"/>
      <c r="C87" s="524" t="s">
        <v>20</v>
      </c>
      <c r="D87" s="31"/>
      <c r="E87" s="62"/>
      <c r="F87" s="62"/>
      <c r="G87" s="62"/>
      <c r="H87" s="62"/>
      <c r="I87" s="62"/>
      <c r="J87" s="62"/>
      <c r="K87" s="252">
        <f t="shared" ref="K87:Q87" si="194">K119-K8</f>
        <v>53.24</v>
      </c>
      <c r="L87" s="252">
        <f t="shared" si="194"/>
        <v>59.77</v>
      </c>
      <c r="M87" s="252">
        <f t="shared" si="194"/>
        <v>70.308482029999993</v>
      </c>
      <c r="N87" s="252">
        <f t="shared" si="194"/>
        <v>62.170128779999992</v>
      </c>
      <c r="O87" s="252">
        <f t="shared" si="194"/>
        <v>67.39</v>
      </c>
      <c r="P87" s="252">
        <f t="shared" si="194"/>
        <v>52.08</v>
      </c>
      <c r="Q87" s="252">
        <f t="shared" si="194"/>
        <v>45.18</v>
      </c>
      <c r="R87" s="252">
        <f t="shared" ref="R87:AV87" si="195">R119-R8-R10</f>
        <v>47.39</v>
      </c>
      <c r="S87" s="252">
        <f t="shared" si="195"/>
        <v>32.54</v>
      </c>
      <c r="T87" s="252">
        <f t="shared" si="195"/>
        <v>32.6</v>
      </c>
      <c r="U87" s="252">
        <f t="shared" si="195"/>
        <v>43.42</v>
      </c>
      <c r="V87" s="252">
        <f t="shared" si="195"/>
        <v>55.54</v>
      </c>
      <c r="W87" s="252">
        <f t="shared" si="195"/>
        <v>27.382407709999995</v>
      </c>
      <c r="X87" s="252">
        <f t="shared" si="195"/>
        <v>35.423000000000002</v>
      </c>
      <c r="Y87" s="341">
        <f t="shared" ref="Y87:AI87" si="196">Y119-Y8-Y10</f>
        <v>48.21</v>
      </c>
      <c r="Z87" s="341">
        <f t="shared" si="196"/>
        <v>13.25</v>
      </c>
      <c r="AA87" s="341">
        <f t="shared" si="196"/>
        <v>19.880000000000003</v>
      </c>
      <c r="AB87" s="341">
        <f t="shared" si="196"/>
        <v>17.78</v>
      </c>
      <c r="AC87" s="341">
        <f t="shared" si="196"/>
        <v>16.799999999999997</v>
      </c>
      <c r="AD87" s="341">
        <f t="shared" si="196"/>
        <v>19.739999999999995</v>
      </c>
      <c r="AE87" s="341">
        <f t="shared" si="196"/>
        <v>-45.69</v>
      </c>
      <c r="AF87" s="341">
        <f t="shared" si="196"/>
        <v>24.169999999999995</v>
      </c>
      <c r="AG87" s="341">
        <f t="shared" si="196"/>
        <v>-0.17999999999999972</v>
      </c>
      <c r="AH87" s="341">
        <f t="shared" si="196"/>
        <v>10.660000000000004</v>
      </c>
      <c r="AI87" s="341">
        <f t="shared" si="196"/>
        <v>21.099999999999998</v>
      </c>
      <c r="AJ87" s="341">
        <f t="shared" si="195"/>
        <v>16.497444320000003</v>
      </c>
      <c r="AK87" s="341">
        <f t="shared" si="195"/>
        <v>5.8507143599999978</v>
      </c>
      <c r="AL87" s="341">
        <f t="shared" si="195"/>
        <v>-2.3826857600000011</v>
      </c>
      <c r="AM87" s="341">
        <f t="shared" si="195"/>
        <v>-15.709020460000005</v>
      </c>
      <c r="AN87" s="341">
        <f t="shared" si="195"/>
        <v>-29.197774549999991</v>
      </c>
      <c r="AO87" s="341">
        <f t="shared" si="195"/>
        <v>-33.782689329999997</v>
      </c>
      <c r="AP87" s="341">
        <f t="shared" si="195"/>
        <v>-30.529264670000003</v>
      </c>
      <c r="AQ87" s="341">
        <f t="shared" si="195"/>
        <v>-40.088440660000003</v>
      </c>
      <c r="AR87" s="341">
        <f t="shared" si="195"/>
        <v>-47.010000000000005</v>
      </c>
      <c r="AS87" s="341">
        <f t="shared" si="195"/>
        <v>-27.680000000000007</v>
      </c>
      <c r="AT87" s="341">
        <f t="shared" si="195"/>
        <v>-29.812673340000003</v>
      </c>
      <c r="AU87" s="341">
        <f t="shared" si="195"/>
        <v>-33.815581919999993</v>
      </c>
      <c r="AV87" s="341">
        <f t="shared" si="195"/>
        <v>-43.82</v>
      </c>
      <c r="AW87" s="38"/>
      <c r="AX87" s="434">
        <f t="shared" si="189"/>
        <v>162.21744431999997</v>
      </c>
      <c r="AY87" s="727"/>
      <c r="AZ87" s="727">
        <f t="shared" si="186"/>
        <v>-327.97741632999998</v>
      </c>
      <c r="BA87" s="31"/>
    </row>
    <row r="88" spans="1:53" ht="13.25" customHeight="1" outlineLevel="1">
      <c r="A88" s="251"/>
      <c r="B88" s="524"/>
      <c r="C88" s="524" t="s">
        <v>20</v>
      </c>
      <c r="D88" s="767"/>
      <c r="E88" s="62"/>
      <c r="F88" s="62"/>
      <c r="G88" s="62"/>
      <c r="H88" s="62"/>
      <c r="I88" s="62"/>
      <c r="J88" s="62"/>
      <c r="K88" s="252"/>
      <c r="L88" s="252"/>
      <c r="M88" s="252"/>
      <c r="N88" s="252"/>
      <c r="O88" s="252"/>
      <c r="P88" s="252"/>
      <c r="Q88" s="252"/>
      <c r="R88" s="252"/>
      <c r="S88" s="252"/>
      <c r="T88" s="252"/>
      <c r="U88" s="252"/>
      <c r="V88" s="252"/>
      <c r="W88" s="252"/>
      <c r="X88" s="252"/>
      <c r="Y88" s="341">
        <f t="shared" ref="Y88:AI88" si="197">-Y84</f>
        <v>0</v>
      </c>
      <c r="Z88" s="341">
        <f t="shared" si="197"/>
        <v>0</v>
      </c>
      <c r="AA88" s="341">
        <f t="shared" si="197"/>
        <v>0</v>
      </c>
      <c r="AB88" s="341">
        <f t="shared" si="197"/>
        <v>0</v>
      </c>
      <c r="AC88" s="341">
        <f t="shared" si="197"/>
        <v>0</v>
      </c>
      <c r="AD88" s="341">
        <f t="shared" si="197"/>
        <v>0</v>
      </c>
      <c r="AE88" s="341">
        <f t="shared" si="197"/>
        <v>0</v>
      </c>
      <c r="AF88" s="341">
        <f t="shared" si="197"/>
        <v>0</v>
      </c>
      <c r="AG88" s="341">
        <f t="shared" si="197"/>
        <v>0</v>
      </c>
      <c r="AH88" s="341">
        <f t="shared" si="197"/>
        <v>0</v>
      </c>
      <c r="AI88" s="341">
        <f t="shared" si="197"/>
        <v>0</v>
      </c>
      <c r="AJ88" s="341">
        <f t="shared" ref="AJ88:AV88" si="198">-AJ84</f>
        <v>0</v>
      </c>
      <c r="AK88" s="341">
        <f t="shared" si="198"/>
        <v>0</v>
      </c>
      <c r="AL88" s="341">
        <f t="shared" si="198"/>
        <v>0</v>
      </c>
      <c r="AM88" s="341">
        <f t="shared" si="198"/>
        <v>0</v>
      </c>
      <c r="AN88" s="341">
        <f t="shared" si="198"/>
        <v>0</v>
      </c>
      <c r="AO88" s="341">
        <f t="shared" si="198"/>
        <v>0</v>
      </c>
      <c r="AP88" s="341">
        <f t="shared" si="198"/>
        <v>0</v>
      </c>
      <c r="AQ88" s="341">
        <f t="shared" si="198"/>
        <v>0</v>
      </c>
      <c r="AR88" s="341">
        <f t="shared" si="198"/>
        <v>-3.0100000000000051</v>
      </c>
      <c r="AS88" s="341">
        <f t="shared" si="198"/>
        <v>0</v>
      </c>
      <c r="AT88" s="341">
        <f t="shared" si="198"/>
        <v>0</v>
      </c>
      <c r="AU88" s="341">
        <f t="shared" si="198"/>
        <v>0</v>
      </c>
      <c r="AV88" s="341">
        <f t="shared" si="198"/>
        <v>0</v>
      </c>
      <c r="AW88" s="38"/>
      <c r="AX88" s="434">
        <f t="shared" si="189"/>
        <v>0</v>
      </c>
      <c r="AY88" s="727"/>
      <c r="AZ88" s="727">
        <f t="shared" si="186"/>
        <v>-3.0100000000000051</v>
      </c>
      <c r="BA88" s="31"/>
    </row>
    <row r="89" spans="1:53" ht="13.25" customHeight="1" outlineLevel="1">
      <c r="A89" s="251"/>
      <c r="B89" s="30"/>
      <c r="C89" s="524" t="s">
        <v>15</v>
      </c>
      <c r="D89" s="31"/>
      <c r="E89" s="62"/>
      <c r="F89" s="62"/>
      <c r="G89" s="62"/>
      <c r="H89" s="62"/>
      <c r="I89" s="62"/>
      <c r="J89" s="62"/>
      <c r="K89" s="252"/>
      <c r="L89" s="252"/>
      <c r="M89" s="252"/>
      <c r="N89" s="252"/>
      <c r="O89" s="252"/>
      <c r="P89" s="252"/>
      <c r="Q89" s="252"/>
      <c r="R89" s="252"/>
      <c r="S89" s="252"/>
      <c r="T89" s="252"/>
      <c r="U89" s="252"/>
      <c r="V89" s="252"/>
      <c r="W89" s="252"/>
      <c r="X89" s="252"/>
      <c r="Y89" s="341">
        <f t="shared" ref="Y89:AI89" si="199">IF(Y87&gt;0,Y123,Y123+Y87)</f>
        <v>25</v>
      </c>
      <c r="Z89" s="341">
        <f t="shared" si="199"/>
        <v>24.4</v>
      </c>
      <c r="AA89" s="341">
        <f t="shared" si="199"/>
        <v>26</v>
      </c>
      <c r="AB89" s="341">
        <f t="shared" si="199"/>
        <v>23.5</v>
      </c>
      <c r="AC89" s="341">
        <f t="shared" si="199"/>
        <v>22</v>
      </c>
      <c r="AD89" s="341">
        <f t="shared" si="199"/>
        <v>13.5</v>
      </c>
      <c r="AE89" s="341">
        <f t="shared" si="199"/>
        <v>-32.69</v>
      </c>
      <c r="AF89" s="341">
        <f t="shared" si="199"/>
        <v>12</v>
      </c>
      <c r="AG89" s="341">
        <f t="shared" si="199"/>
        <v>11.82</v>
      </c>
      <c r="AH89" s="341">
        <f t="shared" si="199"/>
        <v>13</v>
      </c>
      <c r="AI89" s="341">
        <f t="shared" si="199"/>
        <v>13</v>
      </c>
      <c r="AJ89" s="341">
        <f t="shared" ref="AJ89:AV89" si="200">IF(AJ87&gt;0,AJ123,AJ123+AJ87)</f>
        <v>14</v>
      </c>
      <c r="AK89" s="341">
        <f t="shared" si="200"/>
        <v>14</v>
      </c>
      <c r="AL89" s="341">
        <f t="shared" si="200"/>
        <v>9.1173142399999989</v>
      </c>
      <c r="AM89" s="341">
        <f t="shared" si="200"/>
        <v>-1.709020460000005</v>
      </c>
      <c r="AN89" s="341">
        <f t="shared" si="200"/>
        <v>-15.197774549999991</v>
      </c>
      <c r="AO89" s="341">
        <f t="shared" si="200"/>
        <v>-19.782689329999997</v>
      </c>
      <c r="AP89" s="341">
        <f t="shared" si="200"/>
        <v>-16.529264670000003</v>
      </c>
      <c r="AQ89" s="341">
        <f t="shared" si="200"/>
        <v>-26.088440660000003</v>
      </c>
      <c r="AR89" s="341">
        <f t="shared" si="200"/>
        <v>-33.010000000000005</v>
      </c>
      <c r="AS89" s="341">
        <f t="shared" si="200"/>
        <v>-13.680000000000007</v>
      </c>
      <c r="AT89" s="341">
        <f t="shared" si="200"/>
        <v>-15.812673340000003</v>
      </c>
      <c r="AU89" s="341">
        <f t="shared" si="200"/>
        <v>-19.815581919999993</v>
      </c>
      <c r="AV89" s="341">
        <f t="shared" si="200"/>
        <v>-29.82</v>
      </c>
      <c r="AW89" s="38"/>
      <c r="AX89" s="434">
        <f t="shared" si="189"/>
        <v>165.53</v>
      </c>
      <c r="AY89" s="727"/>
      <c r="AZ89" s="727">
        <f t="shared" si="186"/>
        <v>-168.32813068999999</v>
      </c>
      <c r="BA89" s="31"/>
    </row>
    <row r="90" spans="1:53" ht="13.25" customHeight="1" outlineLevel="1">
      <c r="A90" s="251"/>
      <c r="B90" s="30"/>
      <c r="C90" s="524" t="s">
        <v>16</v>
      </c>
      <c r="D90" s="31"/>
      <c r="E90" s="62"/>
      <c r="F90" s="62"/>
      <c r="G90" s="62"/>
      <c r="H90" s="62"/>
      <c r="I90" s="62"/>
      <c r="J90" s="62"/>
      <c r="K90" s="252"/>
      <c r="L90" s="252"/>
      <c r="M90" s="252"/>
      <c r="N90" s="252"/>
      <c r="O90" s="252"/>
      <c r="P90" s="252"/>
      <c r="Q90" s="252"/>
      <c r="R90" s="252"/>
      <c r="S90" s="252"/>
      <c r="T90" s="252"/>
      <c r="U90" s="252"/>
      <c r="V90" s="252"/>
      <c r="W90" s="252"/>
      <c r="X90" s="252"/>
      <c r="Y90" s="341">
        <f t="shared" ref="Y90:AI90" si="201">IF(Y89&gt;=0,Y124,Y124+Y89)</f>
        <v>15</v>
      </c>
      <c r="Z90" s="341">
        <f t="shared" si="201"/>
        <v>15</v>
      </c>
      <c r="AA90" s="341">
        <f t="shared" si="201"/>
        <v>17</v>
      </c>
      <c r="AB90" s="341">
        <f t="shared" si="201"/>
        <v>12.5</v>
      </c>
      <c r="AC90" s="341">
        <f t="shared" si="201"/>
        <v>14</v>
      </c>
      <c r="AD90" s="341">
        <f t="shared" si="201"/>
        <v>22.5</v>
      </c>
      <c r="AE90" s="341">
        <f t="shared" si="201"/>
        <v>-8.6899999999999977</v>
      </c>
      <c r="AF90" s="341">
        <f t="shared" si="201"/>
        <v>24</v>
      </c>
      <c r="AG90" s="341">
        <f t="shared" si="201"/>
        <v>24</v>
      </c>
      <c r="AH90" s="341">
        <f t="shared" si="201"/>
        <v>24</v>
      </c>
      <c r="AI90" s="341">
        <f t="shared" si="201"/>
        <v>26</v>
      </c>
      <c r="AJ90" s="341">
        <f t="shared" ref="AJ90:AV90" si="202">IF(AJ89&gt;=0,AJ124,AJ124+AJ89)</f>
        <v>29</v>
      </c>
      <c r="AK90" s="341">
        <f t="shared" si="202"/>
        <v>30</v>
      </c>
      <c r="AL90" s="341">
        <f t="shared" si="202"/>
        <v>25.5</v>
      </c>
      <c r="AM90" s="341">
        <f t="shared" si="202"/>
        <v>28.290979539999995</v>
      </c>
      <c r="AN90" s="341">
        <f t="shared" si="202"/>
        <v>14.802225450000009</v>
      </c>
      <c r="AO90" s="341">
        <f t="shared" si="202"/>
        <v>10.217310670000003</v>
      </c>
      <c r="AP90" s="341">
        <f t="shared" si="202"/>
        <v>13.470735329999997</v>
      </c>
      <c r="AQ90" s="341">
        <f t="shared" si="202"/>
        <v>3.9115593399999966</v>
      </c>
      <c r="AR90" s="341">
        <f t="shared" si="202"/>
        <v>-3.0100000000000051</v>
      </c>
      <c r="AS90" s="341">
        <f t="shared" si="202"/>
        <v>16.319999999999993</v>
      </c>
      <c r="AT90" s="341">
        <f t="shared" si="202"/>
        <v>14.187326659999997</v>
      </c>
      <c r="AU90" s="341">
        <f t="shared" si="202"/>
        <v>10.184418080000007</v>
      </c>
      <c r="AV90" s="341">
        <f t="shared" si="202"/>
        <v>0.17999999999999972</v>
      </c>
      <c r="AW90" s="38"/>
      <c r="AX90" s="434">
        <f t="shared" si="189"/>
        <v>214.31</v>
      </c>
      <c r="AY90" s="727"/>
      <c r="AZ90" s="727">
        <f t="shared" si="186"/>
        <v>164.05455506999999</v>
      </c>
      <c r="BA90" s="31"/>
    </row>
    <row r="91" spans="1:53" ht="13.25" customHeight="1" outlineLevel="1">
      <c r="A91" s="777"/>
      <c r="B91" s="776" t="s">
        <v>3</v>
      </c>
      <c r="C91" s="776" t="s">
        <v>20</v>
      </c>
      <c r="D91" s="776" t="s">
        <v>180</v>
      </c>
      <c r="E91" s="62"/>
      <c r="F91" s="62"/>
      <c r="G91" s="62"/>
      <c r="H91" s="62"/>
      <c r="I91" s="62"/>
      <c r="J91" s="62"/>
      <c r="K91" s="778"/>
      <c r="L91" s="778"/>
      <c r="M91" s="778"/>
      <c r="N91" s="778"/>
      <c r="O91" s="778"/>
      <c r="P91" s="778"/>
      <c r="Q91" s="778"/>
      <c r="R91" s="778"/>
      <c r="S91" s="778"/>
      <c r="T91" s="778"/>
      <c r="U91" s="778"/>
      <c r="V91" s="778"/>
      <c r="W91" s="778"/>
      <c r="X91" s="778"/>
      <c r="Y91" s="778">
        <f t="shared" ref="Y91:AI91" si="203">IF(Y87&lt;0,0,Y87)</f>
        <v>48.21</v>
      </c>
      <c r="Z91" s="778">
        <f t="shared" si="203"/>
        <v>13.25</v>
      </c>
      <c r="AA91" s="778">
        <f t="shared" si="203"/>
        <v>19.880000000000003</v>
      </c>
      <c r="AB91" s="778">
        <f t="shared" si="203"/>
        <v>17.78</v>
      </c>
      <c r="AC91" s="778">
        <f t="shared" si="203"/>
        <v>16.799999999999997</v>
      </c>
      <c r="AD91" s="778">
        <f t="shared" si="203"/>
        <v>19.739999999999995</v>
      </c>
      <c r="AE91" s="778">
        <f t="shared" si="203"/>
        <v>0</v>
      </c>
      <c r="AF91" s="778">
        <f t="shared" si="203"/>
        <v>24.169999999999995</v>
      </c>
      <c r="AG91" s="778">
        <f t="shared" si="203"/>
        <v>0</v>
      </c>
      <c r="AH91" s="778">
        <f t="shared" si="203"/>
        <v>10.660000000000004</v>
      </c>
      <c r="AI91" s="778">
        <f t="shared" si="203"/>
        <v>21.099999999999998</v>
      </c>
      <c r="AJ91" s="778">
        <f t="shared" ref="AJ91:AV91" si="204">IF(AJ87&lt;0,0,AJ87)</f>
        <v>16.497444320000003</v>
      </c>
      <c r="AK91" s="778">
        <f t="shared" si="204"/>
        <v>5.8507143599999978</v>
      </c>
      <c r="AL91" s="778">
        <f t="shared" si="204"/>
        <v>0</v>
      </c>
      <c r="AM91" s="778">
        <f t="shared" si="204"/>
        <v>0</v>
      </c>
      <c r="AN91" s="778">
        <f t="shared" si="204"/>
        <v>0</v>
      </c>
      <c r="AO91" s="778">
        <f t="shared" si="204"/>
        <v>0</v>
      </c>
      <c r="AP91" s="778">
        <f t="shared" si="204"/>
        <v>0</v>
      </c>
      <c r="AQ91" s="778">
        <f t="shared" si="204"/>
        <v>0</v>
      </c>
      <c r="AR91" s="778">
        <f t="shared" si="204"/>
        <v>0</v>
      </c>
      <c r="AS91" s="778">
        <f t="shared" si="204"/>
        <v>0</v>
      </c>
      <c r="AT91" s="778">
        <f t="shared" si="204"/>
        <v>0</v>
      </c>
      <c r="AU91" s="778">
        <f t="shared" si="204"/>
        <v>0</v>
      </c>
      <c r="AV91" s="778">
        <f t="shared" si="204"/>
        <v>0</v>
      </c>
      <c r="AW91" s="38"/>
      <c r="AX91" s="434">
        <f t="shared" si="189"/>
        <v>208.08744431999997</v>
      </c>
      <c r="AY91" s="727"/>
      <c r="AZ91" s="727">
        <f t="shared" si="186"/>
        <v>5.8507143599999978</v>
      </c>
      <c r="BA91" s="31"/>
    </row>
    <row r="92" spans="1:53" ht="13.25" customHeight="1" outlineLevel="1">
      <c r="A92" s="777"/>
      <c r="B92" s="776" t="s">
        <v>3</v>
      </c>
      <c r="C92" s="776" t="s">
        <v>20</v>
      </c>
      <c r="D92" s="776" t="s">
        <v>243</v>
      </c>
      <c r="E92" s="62"/>
      <c r="F92" s="62"/>
      <c r="G92" s="62"/>
      <c r="H92" s="62"/>
      <c r="I92" s="62"/>
      <c r="J92" s="62"/>
      <c r="K92" s="778"/>
      <c r="L92" s="778"/>
      <c r="M92" s="778"/>
      <c r="N92" s="778"/>
      <c r="O92" s="778"/>
      <c r="P92" s="778"/>
      <c r="Q92" s="778"/>
      <c r="R92" s="778"/>
      <c r="S92" s="778"/>
      <c r="T92" s="778"/>
      <c r="U92" s="778"/>
      <c r="V92" s="778"/>
      <c r="W92" s="778"/>
      <c r="X92" s="778"/>
      <c r="Y92" s="778">
        <f t="shared" ref="Y92:AI92" si="205">Y120+Y88</f>
        <v>61.92</v>
      </c>
      <c r="Z92" s="778">
        <f t="shared" si="205"/>
        <v>56.777439450000003</v>
      </c>
      <c r="AA92" s="778">
        <f t="shared" si="205"/>
        <v>62.23</v>
      </c>
      <c r="AB92" s="778">
        <f t="shared" si="205"/>
        <v>53.05</v>
      </c>
      <c r="AC92" s="778">
        <f t="shared" si="205"/>
        <v>53.03</v>
      </c>
      <c r="AD92" s="778">
        <f t="shared" si="205"/>
        <v>54.080000000000005</v>
      </c>
      <c r="AE92" s="778">
        <f t="shared" si="205"/>
        <v>53.959999999999994</v>
      </c>
      <c r="AF92" s="778">
        <f t="shared" si="205"/>
        <v>52.06</v>
      </c>
      <c r="AG92" s="778">
        <f t="shared" si="205"/>
        <v>52.13</v>
      </c>
      <c r="AH92" s="778">
        <f t="shared" si="205"/>
        <v>55.099000000000011</v>
      </c>
      <c r="AI92" s="778">
        <f t="shared" si="205"/>
        <v>53.53</v>
      </c>
      <c r="AJ92" s="778">
        <f t="shared" ref="AJ92:AV92" si="206">AJ120+AJ88</f>
        <v>54.742669990000003</v>
      </c>
      <c r="AK92" s="778">
        <f t="shared" si="206"/>
        <v>57.149695229999999</v>
      </c>
      <c r="AL92" s="778">
        <f t="shared" si="206"/>
        <v>52.046293659999996</v>
      </c>
      <c r="AM92" s="778">
        <f t="shared" si="206"/>
        <v>53.668959759999993</v>
      </c>
      <c r="AN92" s="778">
        <f t="shared" si="206"/>
        <v>52.264837319999998</v>
      </c>
      <c r="AO92" s="778">
        <f t="shared" si="206"/>
        <v>53.813492189999991</v>
      </c>
      <c r="AP92" s="778">
        <f t="shared" si="206"/>
        <v>52.008330149999992</v>
      </c>
      <c r="AQ92" s="778">
        <f t="shared" si="206"/>
        <v>53.470047659999992</v>
      </c>
      <c r="AR92" s="778">
        <f t="shared" si="206"/>
        <v>51.109999999999992</v>
      </c>
      <c r="AS92" s="778">
        <f t="shared" si="206"/>
        <v>53.319999999999993</v>
      </c>
      <c r="AT92" s="778">
        <f t="shared" si="206"/>
        <v>54.723862669999995</v>
      </c>
      <c r="AU92" s="778">
        <f t="shared" si="206"/>
        <v>53.862929569999999</v>
      </c>
      <c r="AV92" s="778">
        <f t="shared" si="206"/>
        <v>53.86</v>
      </c>
      <c r="AW92" s="38"/>
      <c r="AX92" s="434">
        <f t="shared" si="189"/>
        <v>662.60910943999988</v>
      </c>
      <c r="AY92" s="727"/>
      <c r="AZ92" s="727">
        <f t="shared" si="186"/>
        <v>641.29844820999995</v>
      </c>
      <c r="BA92" s="31"/>
    </row>
    <row r="93" spans="1:53" ht="13.25" customHeight="1" outlineLevel="1">
      <c r="A93" s="777"/>
      <c r="B93" s="776" t="s">
        <v>3</v>
      </c>
      <c r="C93" s="776" t="s">
        <v>15</v>
      </c>
      <c r="D93" s="776" t="s">
        <v>180</v>
      </c>
      <c r="E93" s="62"/>
      <c r="F93" s="62"/>
      <c r="G93" s="62"/>
      <c r="H93" s="62"/>
      <c r="I93" s="62"/>
      <c r="J93" s="62"/>
      <c r="K93" s="778"/>
      <c r="L93" s="778"/>
      <c r="M93" s="778"/>
      <c r="N93" s="778"/>
      <c r="O93" s="778"/>
      <c r="P93" s="778"/>
      <c r="Q93" s="778"/>
      <c r="R93" s="778"/>
      <c r="S93" s="778"/>
      <c r="T93" s="778"/>
      <c r="U93" s="778"/>
      <c r="V93" s="778"/>
      <c r="W93" s="778"/>
      <c r="X93" s="778"/>
      <c r="Y93" s="778">
        <f t="shared" ref="Y93:AI93" si="207">IF(Y89&lt;0,0,Y89)</f>
        <v>25</v>
      </c>
      <c r="Z93" s="778">
        <f t="shared" si="207"/>
        <v>24.4</v>
      </c>
      <c r="AA93" s="778">
        <f t="shared" si="207"/>
        <v>26</v>
      </c>
      <c r="AB93" s="778">
        <f t="shared" si="207"/>
        <v>23.5</v>
      </c>
      <c r="AC93" s="778">
        <f t="shared" si="207"/>
        <v>22</v>
      </c>
      <c r="AD93" s="778">
        <f t="shared" si="207"/>
        <v>13.5</v>
      </c>
      <c r="AE93" s="778">
        <f t="shared" si="207"/>
        <v>0</v>
      </c>
      <c r="AF93" s="778">
        <f t="shared" si="207"/>
        <v>12</v>
      </c>
      <c r="AG93" s="778">
        <f t="shared" si="207"/>
        <v>11.82</v>
      </c>
      <c r="AH93" s="778">
        <f t="shared" si="207"/>
        <v>13</v>
      </c>
      <c r="AI93" s="778">
        <f t="shared" si="207"/>
        <v>13</v>
      </c>
      <c r="AJ93" s="778">
        <f t="shared" ref="AJ93:AV93" si="208">IF(AJ89&lt;0,0,AJ89)</f>
        <v>14</v>
      </c>
      <c r="AK93" s="778">
        <f t="shared" si="208"/>
        <v>14</v>
      </c>
      <c r="AL93" s="778">
        <f t="shared" si="208"/>
        <v>9.1173142399999989</v>
      </c>
      <c r="AM93" s="778">
        <f t="shared" si="208"/>
        <v>0</v>
      </c>
      <c r="AN93" s="778">
        <f t="shared" si="208"/>
        <v>0</v>
      </c>
      <c r="AO93" s="778">
        <f t="shared" si="208"/>
        <v>0</v>
      </c>
      <c r="AP93" s="778">
        <f t="shared" si="208"/>
        <v>0</v>
      </c>
      <c r="AQ93" s="778">
        <f t="shared" si="208"/>
        <v>0</v>
      </c>
      <c r="AR93" s="778">
        <f t="shared" si="208"/>
        <v>0</v>
      </c>
      <c r="AS93" s="778">
        <f t="shared" si="208"/>
        <v>0</v>
      </c>
      <c r="AT93" s="778">
        <f t="shared" si="208"/>
        <v>0</v>
      </c>
      <c r="AU93" s="778">
        <f t="shared" si="208"/>
        <v>0</v>
      </c>
      <c r="AV93" s="778">
        <f t="shared" si="208"/>
        <v>0</v>
      </c>
      <c r="AW93" s="38"/>
      <c r="AX93" s="434">
        <f t="shared" si="189"/>
        <v>198.22</v>
      </c>
      <c r="AY93" s="727"/>
      <c r="AZ93" s="727">
        <f t="shared" si="186"/>
        <v>23.117314239999999</v>
      </c>
      <c r="BA93" s="31"/>
    </row>
    <row r="94" spans="1:53" ht="13.25" customHeight="1" outlineLevel="1">
      <c r="A94" s="777"/>
      <c r="B94" s="776" t="s">
        <v>3</v>
      </c>
      <c r="C94" s="776" t="s">
        <v>16</v>
      </c>
      <c r="D94" s="776" t="s">
        <v>180</v>
      </c>
      <c r="E94" s="62"/>
      <c r="F94" s="62"/>
      <c r="G94" s="62"/>
      <c r="H94" s="62"/>
      <c r="I94" s="62"/>
      <c r="J94" s="62"/>
      <c r="K94" s="778"/>
      <c r="L94" s="778"/>
      <c r="M94" s="778"/>
      <c r="N94" s="778"/>
      <c r="O94" s="778"/>
      <c r="P94" s="778"/>
      <c r="Q94" s="778"/>
      <c r="R94" s="778"/>
      <c r="S94" s="778"/>
      <c r="T94" s="778"/>
      <c r="U94" s="778"/>
      <c r="V94" s="778"/>
      <c r="W94" s="778"/>
      <c r="X94" s="778"/>
      <c r="Y94" s="778">
        <f t="shared" ref="Y94:AI94" si="209">IF(Y90&lt;0,0,Y90)</f>
        <v>15</v>
      </c>
      <c r="Z94" s="778">
        <f t="shared" si="209"/>
        <v>15</v>
      </c>
      <c r="AA94" s="778">
        <f t="shared" si="209"/>
        <v>17</v>
      </c>
      <c r="AB94" s="778">
        <f t="shared" si="209"/>
        <v>12.5</v>
      </c>
      <c r="AC94" s="778">
        <f t="shared" si="209"/>
        <v>14</v>
      </c>
      <c r="AD94" s="778">
        <f t="shared" si="209"/>
        <v>22.5</v>
      </c>
      <c r="AE94" s="778">
        <f t="shared" si="209"/>
        <v>0</v>
      </c>
      <c r="AF94" s="778">
        <f t="shared" si="209"/>
        <v>24</v>
      </c>
      <c r="AG94" s="778">
        <f t="shared" si="209"/>
        <v>24</v>
      </c>
      <c r="AH94" s="778">
        <f t="shared" si="209"/>
        <v>24</v>
      </c>
      <c r="AI94" s="778">
        <f t="shared" si="209"/>
        <v>26</v>
      </c>
      <c r="AJ94" s="778">
        <f t="shared" ref="AJ94:AV94" si="210">IF(AJ90&lt;0,0,AJ90)</f>
        <v>29</v>
      </c>
      <c r="AK94" s="778">
        <f t="shared" si="210"/>
        <v>30</v>
      </c>
      <c r="AL94" s="778">
        <f t="shared" si="210"/>
        <v>25.5</v>
      </c>
      <c r="AM94" s="778">
        <f t="shared" si="210"/>
        <v>28.290979539999995</v>
      </c>
      <c r="AN94" s="778">
        <f t="shared" si="210"/>
        <v>14.802225450000009</v>
      </c>
      <c r="AO94" s="778">
        <f t="shared" si="210"/>
        <v>10.217310670000003</v>
      </c>
      <c r="AP94" s="778">
        <f t="shared" si="210"/>
        <v>13.470735329999997</v>
      </c>
      <c r="AQ94" s="778">
        <f t="shared" si="210"/>
        <v>3.9115593399999966</v>
      </c>
      <c r="AR94" s="778">
        <f t="shared" si="210"/>
        <v>0</v>
      </c>
      <c r="AS94" s="778">
        <f t="shared" si="210"/>
        <v>16.319999999999993</v>
      </c>
      <c r="AT94" s="778">
        <f t="shared" si="210"/>
        <v>14.187326659999997</v>
      </c>
      <c r="AU94" s="778">
        <f t="shared" si="210"/>
        <v>10.184418080000007</v>
      </c>
      <c r="AV94" s="778">
        <f t="shared" si="210"/>
        <v>0.17999999999999972</v>
      </c>
      <c r="AW94" s="38"/>
      <c r="AX94" s="434">
        <f t="shared" si="189"/>
        <v>223</v>
      </c>
      <c r="AY94" s="727"/>
      <c r="AZ94" s="727">
        <f t="shared" si="186"/>
        <v>167.06455506999998</v>
      </c>
      <c r="BA94" s="31"/>
    </row>
    <row r="95" spans="1:53" outlineLevel="1">
      <c r="A95" s="248"/>
      <c r="B95" s="249" t="s">
        <v>83</v>
      </c>
      <c r="C95" s="248"/>
      <c r="D95" s="249" t="s">
        <v>81</v>
      </c>
      <c r="E95" s="62"/>
      <c r="F95" s="62"/>
      <c r="G95" s="62"/>
      <c r="H95" s="62"/>
      <c r="I95" s="62"/>
      <c r="J95" s="62"/>
      <c r="K95" s="247">
        <f>SUM(K119:K162)-K8-K61</f>
        <v>186.98999999999998</v>
      </c>
      <c r="L95" s="247">
        <f>SUM(L119:L162)-L8-L61</f>
        <v>176.72567744999995</v>
      </c>
      <c r="M95" s="247">
        <f>SUM(M119:M163)-M8-M61</f>
        <v>184.30329082000003</v>
      </c>
      <c r="N95" s="247">
        <f>SUM(N119:N163)-N8-N61</f>
        <v>172.28545953</v>
      </c>
      <c r="O95" s="247">
        <f>SUM(O119:O163)-O8-O61</f>
        <v>172.38000000000002</v>
      </c>
      <c r="P95" s="247">
        <f>SUM(P119:P163)-P8-P61</f>
        <v>142.44</v>
      </c>
      <c r="Q95" s="247">
        <f>SUM(Q119:Q163)-Q8-Q61</f>
        <v>138.16</v>
      </c>
      <c r="R95" s="247">
        <f t="shared" ref="R95:AV95" si="211">SUM(R119:R163)-R8-R61-R10</f>
        <v>154.13999999999999</v>
      </c>
      <c r="S95" s="247">
        <f t="shared" si="211"/>
        <v>152.03</v>
      </c>
      <c r="T95" s="247">
        <f t="shared" si="211"/>
        <v>164.28000000000006</v>
      </c>
      <c r="U95" s="247">
        <f t="shared" si="211"/>
        <v>174.54000000000002</v>
      </c>
      <c r="V95" s="247">
        <f t="shared" si="211"/>
        <v>191.40999999999997</v>
      </c>
      <c r="W95" s="247">
        <f t="shared" si="211"/>
        <v>148.50240770999997</v>
      </c>
      <c r="X95" s="247">
        <f t="shared" si="211"/>
        <v>163.09299999999999</v>
      </c>
      <c r="Y95" s="247">
        <f t="shared" si="211"/>
        <v>157.68</v>
      </c>
      <c r="Z95" s="247">
        <f t="shared" si="211"/>
        <v>129.34743945000002</v>
      </c>
      <c r="AA95" s="247">
        <f t="shared" si="211"/>
        <v>161.13999999999996</v>
      </c>
      <c r="AB95" s="247">
        <f t="shared" si="211"/>
        <v>135.09999999999997</v>
      </c>
      <c r="AC95" s="247">
        <f t="shared" si="211"/>
        <v>135.55000000000001</v>
      </c>
      <c r="AD95" s="247">
        <f t="shared" si="211"/>
        <v>146.10999999999999</v>
      </c>
      <c r="AE95" s="247">
        <f t="shared" si="211"/>
        <v>83.71999999999997</v>
      </c>
      <c r="AF95" s="247">
        <f t="shared" si="211"/>
        <v>145.25999999999996</v>
      </c>
      <c r="AG95" s="247">
        <f t="shared" si="211"/>
        <v>122</v>
      </c>
      <c r="AH95" s="247">
        <f t="shared" si="211"/>
        <v>133.03900000000002</v>
      </c>
      <c r="AI95" s="247">
        <f t="shared" si="211"/>
        <v>144.27999999999997</v>
      </c>
      <c r="AJ95" s="247">
        <f t="shared" si="211"/>
        <v>150.12011431000008</v>
      </c>
      <c r="AK95" s="247">
        <f t="shared" si="211"/>
        <v>136.84040959000001</v>
      </c>
      <c r="AL95" s="247">
        <f t="shared" si="211"/>
        <v>124.35360789999999</v>
      </c>
      <c r="AM95" s="247">
        <f t="shared" si="211"/>
        <v>120.44993929999995</v>
      </c>
      <c r="AN95" s="247">
        <f t="shared" si="211"/>
        <v>110.97706276999997</v>
      </c>
      <c r="AO95" s="247">
        <f t="shared" si="211"/>
        <v>102.52080285999997</v>
      </c>
      <c r="AP95" s="247">
        <f t="shared" si="211"/>
        <v>104.22906547999997</v>
      </c>
      <c r="AQ95" s="247">
        <f t="shared" si="211"/>
        <v>106.47160699999995</v>
      </c>
      <c r="AR95" s="247">
        <f t="shared" si="211"/>
        <v>98.939999999999969</v>
      </c>
      <c r="AS95" s="247">
        <f t="shared" si="211"/>
        <v>119.08999999999995</v>
      </c>
      <c r="AT95" s="247">
        <f t="shared" si="211"/>
        <v>119.61118932999995</v>
      </c>
      <c r="AU95" s="247">
        <f t="shared" si="211"/>
        <v>114.47734764999998</v>
      </c>
      <c r="AV95" s="247">
        <f t="shared" si="211"/>
        <v>104.46999999999997</v>
      </c>
      <c r="AW95" s="38"/>
      <c r="AX95" s="31"/>
      <c r="AY95" s="31"/>
      <c r="AZ95" s="727"/>
      <c r="BA95" s="31"/>
    </row>
    <row r="96" spans="1:53" outlineLevel="1">
      <c r="A96" s="248"/>
      <c r="B96" s="249" t="s">
        <v>84</v>
      </c>
      <c r="C96" s="248"/>
      <c r="D96" s="249" t="s">
        <v>82</v>
      </c>
      <c r="E96" s="62"/>
      <c r="F96" s="62"/>
      <c r="G96" s="62"/>
      <c r="H96" s="62"/>
      <c r="I96" s="62"/>
      <c r="J96" s="62"/>
      <c r="K96" s="247">
        <f t="shared" ref="K96:AV96" si="212">K119+K120+K123+K124+K125+K127+K129+K132+K135+K137+K139+K140+K147+K150+K152+K155+K157+K159+K161-K8-K10</f>
        <v>171.64</v>
      </c>
      <c r="L96" s="247">
        <f t="shared" si="212"/>
        <v>177.10567744999997</v>
      </c>
      <c r="M96" s="247">
        <f t="shared" si="212"/>
        <v>181.64329082</v>
      </c>
      <c r="N96" s="247">
        <f t="shared" si="212"/>
        <v>172.19545952999999</v>
      </c>
      <c r="O96" s="247">
        <f t="shared" si="212"/>
        <v>161.47</v>
      </c>
      <c r="P96" s="247">
        <f t="shared" si="212"/>
        <v>132.49</v>
      </c>
      <c r="Q96" s="247">
        <f t="shared" si="212"/>
        <v>131.46</v>
      </c>
      <c r="R96" s="247">
        <f t="shared" si="212"/>
        <v>136.26</v>
      </c>
      <c r="S96" s="247">
        <f t="shared" si="212"/>
        <v>132.22999999999999</v>
      </c>
      <c r="T96" s="247">
        <f t="shared" si="212"/>
        <v>133.78</v>
      </c>
      <c r="U96" s="247">
        <f t="shared" si="212"/>
        <v>144.84</v>
      </c>
      <c r="V96" s="247">
        <f t="shared" si="212"/>
        <v>159.91</v>
      </c>
      <c r="W96" s="247">
        <f t="shared" si="212"/>
        <v>128.70240770999999</v>
      </c>
      <c r="X96" s="247">
        <f t="shared" si="212"/>
        <v>142.04300000000001</v>
      </c>
      <c r="Y96" s="247">
        <f t="shared" si="212"/>
        <v>150.13</v>
      </c>
      <c r="Z96" s="247">
        <f t="shared" si="212"/>
        <v>109.42743945000001</v>
      </c>
      <c r="AA96" s="247">
        <f t="shared" si="212"/>
        <v>125.11000000000001</v>
      </c>
      <c r="AB96" s="247">
        <f t="shared" si="212"/>
        <v>106.82999999999998</v>
      </c>
      <c r="AC96" s="247">
        <f t="shared" si="212"/>
        <v>105.82999999999998</v>
      </c>
      <c r="AD96" s="247">
        <f t="shared" si="212"/>
        <v>109.82</v>
      </c>
      <c r="AE96" s="247">
        <f t="shared" si="212"/>
        <v>45.269999999999982</v>
      </c>
      <c r="AF96" s="247">
        <f t="shared" si="212"/>
        <v>112.22999999999999</v>
      </c>
      <c r="AG96" s="247">
        <f t="shared" si="212"/>
        <v>87.949999999999989</v>
      </c>
      <c r="AH96" s="247">
        <f t="shared" si="212"/>
        <v>102.75900000000001</v>
      </c>
      <c r="AI96" s="247">
        <f t="shared" si="212"/>
        <v>113.62999999999998</v>
      </c>
      <c r="AJ96" s="247">
        <f t="shared" si="212"/>
        <v>114.24011431000001</v>
      </c>
      <c r="AK96" s="247">
        <f t="shared" si="212"/>
        <v>107.00040959</v>
      </c>
      <c r="AL96" s="247">
        <f t="shared" si="212"/>
        <v>86.663607899999988</v>
      </c>
      <c r="AM96" s="247">
        <f t="shared" si="212"/>
        <v>81.959939299999974</v>
      </c>
      <c r="AN96" s="247">
        <f t="shared" si="212"/>
        <v>67.067062770000007</v>
      </c>
      <c r="AO96" s="247">
        <f t="shared" si="212"/>
        <v>64.030802859999994</v>
      </c>
      <c r="AP96" s="247">
        <f t="shared" si="212"/>
        <v>65.479065479999974</v>
      </c>
      <c r="AQ96" s="247">
        <f t="shared" si="212"/>
        <v>57.381606999999974</v>
      </c>
      <c r="AR96" s="247">
        <f t="shared" si="212"/>
        <v>51.109999999999985</v>
      </c>
      <c r="AS96" s="247">
        <f t="shared" si="212"/>
        <v>69.639999999999986</v>
      </c>
      <c r="AT96" s="247">
        <f t="shared" si="212"/>
        <v>68.911189329999985</v>
      </c>
      <c r="AU96" s="247">
        <f t="shared" si="212"/>
        <v>64.047347650000006</v>
      </c>
      <c r="AV96" s="247">
        <f t="shared" si="212"/>
        <v>54.039999999999992</v>
      </c>
      <c r="AW96" s="38"/>
      <c r="AX96" s="31"/>
      <c r="AY96" s="31"/>
      <c r="AZ96" s="727"/>
      <c r="BA96" s="31"/>
    </row>
    <row r="97" spans="1:55" ht="15" hidden="1" outlineLevel="1" thickBot="1">
      <c r="A97" s="263"/>
      <c r="B97" s="264" t="s">
        <v>87</v>
      </c>
      <c r="C97" s="263"/>
      <c r="D97" s="265" t="s">
        <v>117</v>
      </c>
      <c r="E97" s="62"/>
      <c r="F97" s="62"/>
      <c r="G97" s="62"/>
      <c r="H97" s="62"/>
      <c r="I97" s="62"/>
      <c r="J97" s="62"/>
      <c r="K97" s="62"/>
      <c r="L97" s="62"/>
      <c r="M97" s="262">
        <f t="shared" ref="M97:AJ97" si="213">M119+M120+M121+M170+M148+M147</f>
        <v>160.64329082</v>
      </c>
      <c r="N97" s="262">
        <f t="shared" si="213"/>
        <v>152.08545953000001</v>
      </c>
      <c r="O97" s="262">
        <f t="shared" si="213"/>
        <v>147.27000000000001</v>
      </c>
      <c r="P97" s="262">
        <f t="shared" si="213"/>
        <v>120.19</v>
      </c>
      <c r="Q97" s="262">
        <f t="shared" si="213"/>
        <v>121.35999999999999</v>
      </c>
      <c r="R97" s="262">
        <f t="shared" si="213"/>
        <v>125.03999999999999</v>
      </c>
      <c r="S97" s="262">
        <f t="shared" si="213"/>
        <v>142.72999999999999</v>
      </c>
      <c r="T97" s="262">
        <f t="shared" si="213"/>
        <v>149.02000000000001</v>
      </c>
      <c r="U97" s="262">
        <f t="shared" si="213"/>
        <v>147.04</v>
      </c>
      <c r="V97" s="262">
        <f t="shared" si="213"/>
        <v>149.34</v>
      </c>
      <c r="W97" s="262">
        <f t="shared" si="213"/>
        <v>148.90240770999998</v>
      </c>
      <c r="X97" s="262">
        <f t="shared" si="213"/>
        <v>148.19</v>
      </c>
      <c r="Y97" s="262">
        <f t="shared" si="213"/>
        <v>142.56</v>
      </c>
      <c r="Z97" s="262">
        <f t="shared" si="213"/>
        <v>137.14743945000001</v>
      </c>
      <c r="AA97" s="262">
        <f t="shared" si="213"/>
        <v>152.07</v>
      </c>
      <c r="AB97" s="262">
        <f t="shared" si="213"/>
        <v>134.78</v>
      </c>
      <c r="AC97" s="262">
        <f t="shared" si="213"/>
        <v>137.32999999999998</v>
      </c>
      <c r="AD97" s="262">
        <f t="shared" si="213"/>
        <v>137.26999999999998</v>
      </c>
      <c r="AE97" s="262">
        <f t="shared" si="213"/>
        <v>138.87</v>
      </c>
      <c r="AF97" s="262">
        <f t="shared" si="213"/>
        <v>134.82999999999998</v>
      </c>
      <c r="AG97" s="262">
        <f t="shared" si="213"/>
        <v>138.44999999999999</v>
      </c>
      <c r="AH97" s="262">
        <f t="shared" si="213"/>
        <v>141.98400000000001</v>
      </c>
      <c r="AI97" s="262">
        <f t="shared" si="213"/>
        <v>141.38</v>
      </c>
      <c r="AJ97" s="262">
        <f t="shared" si="213"/>
        <v>144.71941431000002</v>
      </c>
      <c r="AK97" s="262">
        <f t="shared" ref="AK97:AP97" si="214">AK119+AK120+AK121+AK170+AK148+AK147</f>
        <v>149.05540959000001</v>
      </c>
      <c r="AL97" s="262">
        <f t="shared" si="214"/>
        <v>141.54360789999998</v>
      </c>
      <c r="AM97" s="262">
        <f t="shared" si="214"/>
        <v>145.38993929999998</v>
      </c>
      <c r="AN97" s="262">
        <f t="shared" si="214"/>
        <v>140.06706277000001</v>
      </c>
      <c r="AO97" s="262">
        <f t="shared" si="214"/>
        <v>145.39080286000001</v>
      </c>
      <c r="AP97" s="262">
        <f t="shared" si="214"/>
        <v>141.12906547999998</v>
      </c>
      <c r="AQ97" s="262">
        <f t="shared" ref="AQ97:AR97" si="215">AQ119+AQ120+AQ121+AQ170+AQ148+AQ147</f>
        <v>144.37660699999998</v>
      </c>
      <c r="AR97" s="262">
        <f t="shared" si="215"/>
        <v>145.10999999999999</v>
      </c>
      <c r="AS97" s="262">
        <f t="shared" ref="AS97:AT97" si="216">AS119+AS120+AS121+AS170+AS148+AS147</f>
        <v>143.63499999999996</v>
      </c>
      <c r="AT97" s="262">
        <f t="shared" si="216"/>
        <v>145.91118932999998</v>
      </c>
      <c r="AU97" s="262">
        <f t="shared" ref="AU97:AV97" si="217">AU119+AU120+AU121+AU170+AU148+AU147</f>
        <v>145.05026965000002</v>
      </c>
      <c r="AV97" s="262">
        <f t="shared" si="217"/>
        <v>143.01499999999999</v>
      </c>
      <c r="AW97" s="38"/>
      <c r="AX97" s="31"/>
      <c r="AY97" s="31"/>
      <c r="AZ97" s="31"/>
      <c r="BA97" s="31"/>
    </row>
    <row r="98" spans="1:55" s="3" customFormat="1">
      <c r="A98" s="650"/>
      <c r="B98" s="502" t="s">
        <v>178</v>
      </c>
      <c r="C98" s="502" t="s">
        <v>114</v>
      </c>
      <c r="D98" s="328" t="s">
        <v>114</v>
      </c>
      <c r="E98" s="501"/>
      <c r="F98" s="501"/>
      <c r="G98" s="501"/>
      <c r="H98" s="501"/>
      <c r="I98" s="501"/>
      <c r="J98" s="501"/>
      <c r="K98" s="501"/>
      <c r="L98" s="501"/>
      <c r="M98" s="501"/>
      <c r="N98" s="501"/>
      <c r="O98" s="501"/>
      <c r="P98" s="501"/>
      <c r="Q98" s="501"/>
      <c r="R98" s="501"/>
      <c r="S98" s="501"/>
      <c r="T98" s="501"/>
      <c r="U98" s="501"/>
      <c r="V98" s="501"/>
      <c r="W98" s="501"/>
      <c r="X98" s="62"/>
      <c r="Y98" s="62"/>
      <c r="Z98" s="62"/>
      <c r="AA98" s="62"/>
      <c r="AB98" s="588">
        <v>12.1</v>
      </c>
      <c r="AC98" s="419">
        <f>16+1</f>
        <v>17</v>
      </c>
      <c r="AD98" s="600">
        <v>18</v>
      </c>
      <c r="AF98" s="669"/>
      <c r="AG98" s="62"/>
      <c r="AH98" s="673"/>
      <c r="AI98" s="660"/>
      <c r="AJ98" s="660"/>
      <c r="AK98" s="779">
        <v>7</v>
      </c>
      <c r="AL98" s="779">
        <f>10+3.5</f>
        <v>13.5</v>
      </c>
      <c r="AM98" s="779">
        <v>14</v>
      </c>
      <c r="AN98" s="223"/>
      <c r="AO98" s="223"/>
      <c r="AP98" s="223"/>
      <c r="AQ98" s="223"/>
      <c r="AR98" s="223"/>
      <c r="AS98" s="223"/>
      <c r="AT98" s="223"/>
      <c r="AU98" s="223"/>
      <c r="AV98" s="223"/>
      <c r="AW98" s="325"/>
      <c r="AX98" s="434">
        <f>SUM(Y98:AJ98)</f>
        <v>47.1</v>
      </c>
      <c r="AZ98" s="666">
        <f t="shared" ref="AZ98:AZ100" si="218">SUM(AK98:AV98)</f>
        <v>34.5</v>
      </c>
    </row>
    <row r="99" spans="1:55" s="3" customFormat="1">
      <c r="A99" s="650"/>
      <c r="B99" s="502" t="s">
        <v>220</v>
      </c>
      <c r="C99" s="502" t="s">
        <v>114</v>
      </c>
      <c r="D99" s="328" t="s">
        <v>114</v>
      </c>
      <c r="E99" s="501"/>
      <c r="F99" s="501"/>
      <c r="G99" s="501"/>
      <c r="H99" s="501"/>
      <c r="I99" s="501"/>
      <c r="J99" s="501"/>
      <c r="K99" s="501"/>
      <c r="L99" s="501"/>
      <c r="M99" s="501"/>
      <c r="N99" s="501"/>
      <c r="O99" s="501"/>
      <c r="P99" s="501"/>
      <c r="Q99" s="501"/>
      <c r="R99" s="501"/>
      <c r="S99" s="501"/>
      <c r="T99" s="501"/>
      <c r="U99" s="501"/>
      <c r="V99" s="501"/>
      <c r="W99" s="501"/>
      <c r="X99" s="62"/>
      <c r="Y99" s="62"/>
      <c r="Z99" s="62"/>
      <c r="AA99" s="62"/>
      <c r="AB99" s="588"/>
      <c r="AC99" s="419"/>
      <c r="AD99" s="600"/>
      <c r="AF99" s="669"/>
      <c r="AG99" s="62"/>
      <c r="AH99" s="673"/>
      <c r="AI99" s="223"/>
      <c r="AJ99" s="223"/>
      <c r="AK99" s="223"/>
      <c r="AL99" s="223"/>
      <c r="AM99" s="223"/>
      <c r="AN99" s="661">
        <v>0</v>
      </c>
      <c r="AO99" s="661">
        <v>14</v>
      </c>
      <c r="AP99" s="661">
        <v>13.045999999999999</v>
      </c>
      <c r="AQ99" s="661">
        <v>13.481</v>
      </c>
      <c r="AR99" s="661">
        <f>13.481-AR111</f>
        <v>3.4809999999999999</v>
      </c>
      <c r="AS99" s="661">
        <v>13.045999999999999</v>
      </c>
      <c r="AT99" s="661">
        <v>10.8</v>
      </c>
      <c r="AU99" s="661">
        <v>10.8</v>
      </c>
      <c r="AV99" s="661">
        <v>10.8</v>
      </c>
      <c r="AW99" s="325"/>
      <c r="AX99" s="804" t="s">
        <v>239</v>
      </c>
      <c r="AZ99" s="666">
        <f t="shared" si="218"/>
        <v>89.453999999999994</v>
      </c>
    </row>
    <row r="100" spans="1:55" s="3" customFormat="1">
      <c r="A100" s="650"/>
      <c r="B100" s="502" t="s">
        <v>220</v>
      </c>
      <c r="C100" s="502" t="s">
        <v>0</v>
      </c>
      <c r="D100" s="328" t="s">
        <v>0</v>
      </c>
      <c r="E100" s="501"/>
      <c r="F100" s="501"/>
      <c r="G100" s="501"/>
      <c r="H100" s="501"/>
      <c r="I100" s="501"/>
      <c r="J100" s="501"/>
      <c r="K100" s="501"/>
      <c r="L100" s="501"/>
      <c r="M100" s="501"/>
      <c r="N100" s="501"/>
      <c r="O100" s="501"/>
      <c r="P100" s="501"/>
      <c r="Q100" s="501"/>
      <c r="R100" s="501"/>
      <c r="S100" s="501"/>
      <c r="T100" s="501"/>
      <c r="U100" s="501"/>
      <c r="V100" s="501"/>
      <c r="W100" s="501"/>
      <c r="X100" s="62"/>
      <c r="Y100" s="62"/>
      <c r="Z100" s="62"/>
      <c r="AA100" s="62"/>
      <c r="AB100" s="588"/>
      <c r="AC100" s="419"/>
      <c r="AD100" s="600"/>
      <c r="AF100" s="669"/>
      <c r="AG100" s="62"/>
      <c r="AH100" s="673"/>
      <c r="AI100" s="223"/>
      <c r="AJ100" s="223"/>
      <c r="AK100" s="223"/>
      <c r="AL100" s="223"/>
      <c r="AM100" s="223"/>
      <c r="AN100" s="223"/>
      <c r="AO100" s="223"/>
      <c r="AP100" s="661">
        <v>34.861799729561781</v>
      </c>
      <c r="AQ100" s="661">
        <v>47.748060573613706</v>
      </c>
      <c r="AR100" s="661">
        <v>47.748059323430049</v>
      </c>
      <c r="AS100" s="661">
        <v>19.89204045832156</v>
      </c>
      <c r="AT100" s="661">
        <v>43.545179998576657</v>
      </c>
      <c r="AU100" s="661">
        <v>42.982199800729759</v>
      </c>
      <c r="AV100" s="661">
        <v>17.454420186460034</v>
      </c>
      <c r="AW100" s="325"/>
      <c r="AX100" s="804"/>
      <c r="AZ100" s="666">
        <f t="shared" si="218"/>
        <v>254.23176007069355</v>
      </c>
    </row>
    <row r="101" spans="1:55" outlineLevel="1">
      <c r="A101" s="37"/>
      <c r="B101" s="707" t="s">
        <v>3</v>
      </c>
      <c r="C101" s="707" t="s">
        <v>176</v>
      </c>
      <c r="D101" s="708" t="s">
        <v>3</v>
      </c>
      <c r="E101" s="62"/>
      <c r="F101" s="62"/>
      <c r="G101" s="62"/>
      <c r="H101" s="62"/>
      <c r="I101" s="62"/>
      <c r="J101" s="62"/>
      <c r="K101" s="62"/>
      <c r="L101" s="62"/>
      <c r="M101" s="62"/>
      <c r="N101" s="62"/>
      <c r="O101" s="62"/>
      <c r="P101" s="62"/>
      <c r="Q101" s="62"/>
      <c r="R101" s="62"/>
      <c r="S101" s="62"/>
      <c r="T101" s="62"/>
      <c r="U101" s="62"/>
      <c r="V101" s="62"/>
      <c r="W101" s="62"/>
      <c r="X101" s="62"/>
      <c r="Y101" s="58">
        <f>Y111+Y112+Y98</f>
        <v>0</v>
      </c>
      <c r="Z101" s="58">
        <f>Z111+Z112+Z98</f>
        <v>9</v>
      </c>
      <c r="AA101" s="58">
        <f>AA111+AA112+AA98</f>
        <v>10.8</v>
      </c>
      <c r="AB101" s="58">
        <f>AB111+AB112+AB98</f>
        <v>22.7</v>
      </c>
      <c r="AC101" s="58">
        <f>AC111+AC112+AC98</f>
        <v>27.5</v>
      </c>
      <c r="AD101" s="709">
        <v>27</v>
      </c>
      <c r="AE101" s="709"/>
      <c r="AF101" s="709">
        <f t="shared" ref="AF101:AN101" si="219">AF111+AF112+AF98</f>
        <v>8.927999999999999</v>
      </c>
      <c r="AG101" s="710">
        <f t="shared" si="219"/>
        <v>11.821999999999999</v>
      </c>
      <c r="AH101" s="710">
        <f t="shared" si="219"/>
        <v>14</v>
      </c>
      <c r="AI101" s="710">
        <f t="shared" si="219"/>
        <v>10.8</v>
      </c>
      <c r="AJ101" s="710">
        <f t="shared" si="219"/>
        <v>10.8</v>
      </c>
      <c r="AK101" s="709">
        <f t="shared" si="219"/>
        <v>13.784000000000001</v>
      </c>
      <c r="AL101" s="709">
        <f t="shared" si="219"/>
        <v>13.5</v>
      </c>
      <c r="AM101" s="709">
        <f t="shared" si="219"/>
        <v>14</v>
      </c>
      <c r="AN101" s="709">
        <f t="shared" si="219"/>
        <v>0</v>
      </c>
      <c r="AO101" s="709">
        <f>AO111+AO112+AO99</f>
        <v>14</v>
      </c>
      <c r="AP101" s="709">
        <f t="shared" ref="AP101:AV101" si="220">AP111+AP112+AP99</f>
        <v>13.045999999999999</v>
      </c>
      <c r="AQ101" s="709">
        <f t="shared" si="220"/>
        <v>13.481</v>
      </c>
      <c r="AR101" s="709">
        <f t="shared" si="220"/>
        <v>13.481</v>
      </c>
      <c r="AS101" s="709">
        <f t="shared" si="220"/>
        <v>13.045999999999999</v>
      </c>
      <c r="AT101" s="709">
        <f t="shared" si="220"/>
        <v>10.8</v>
      </c>
      <c r="AU101" s="709">
        <f t="shared" si="220"/>
        <v>10.8</v>
      </c>
      <c r="AV101" s="709">
        <f t="shared" si="220"/>
        <v>10.8</v>
      </c>
      <c r="AW101" s="38"/>
      <c r="AX101" s="31"/>
      <c r="AY101" s="31"/>
      <c r="AZ101" s="31"/>
      <c r="BA101" s="31"/>
    </row>
    <row r="102" spans="1:55" hidden="1" outlineLevel="1">
      <c r="A102" s="37"/>
      <c r="B102" s="718">
        <v>845</v>
      </c>
      <c r="C102" s="32" t="s">
        <v>218</v>
      </c>
      <c r="D102" s="5"/>
      <c r="E102" s="62"/>
      <c r="F102" s="62"/>
      <c r="G102" s="62"/>
      <c r="H102" s="62"/>
      <c r="I102" s="62"/>
      <c r="J102" s="62"/>
      <c r="K102" s="62"/>
      <c r="L102" s="62"/>
      <c r="M102" s="62"/>
      <c r="N102" s="62"/>
      <c r="O102" s="62"/>
      <c r="P102" s="62"/>
      <c r="Q102" s="62"/>
      <c r="R102" s="62"/>
      <c r="S102" s="62"/>
      <c r="T102" s="62"/>
      <c r="U102" s="62"/>
      <c r="V102" s="62"/>
      <c r="W102" s="62"/>
      <c r="X102" s="62"/>
      <c r="Y102" s="58"/>
      <c r="Z102" s="58"/>
      <c r="AA102" s="58"/>
      <c r="AB102" s="58"/>
      <c r="AC102" s="58"/>
      <c r="AD102" s="58"/>
      <c r="AE102" s="58"/>
      <c r="AF102" s="58"/>
      <c r="AG102" s="636"/>
      <c r="AH102" s="636"/>
      <c r="AI102" s="636"/>
      <c r="AJ102" s="636"/>
      <c r="AK102" s="627">
        <f>$B$102*AK1/1000</f>
        <v>26.195</v>
      </c>
      <c r="AL102" s="627">
        <f t="shared" ref="AL102:AV102" si="221">845*AL1/1000</f>
        <v>23.66</v>
      </c>
      <c r="AM102" s="627">
        <f t="shared" si="221"/>
        <v>26.195</v>
      </c>
      <c r="AN102" s="627">
        <f t="shared" si="221"/>
        <v>25.35</v>
      </c>
      <c r="AO102" s="627">
        <f t="shared" si="221"/>
        <v>26.195</v>
      </c>
      <c r="AP102" s="627">
        <f t="shared" si="221"/>
        <v>25.35</v>
      </c>
      <c r="AQ102" s="627">
        <f t="shared" si="221"/>
        <v>26.195</v>
      </c>
      <c r="AR102" s="627">
        <f t="shared" si="221"/>
        <v>26.195</v>
      </c>
      <c r="AS102" s="627">
        <f t="shared" si="221"/>
        <v>25.35</v>
      </c>
      <c r="AT102" s="627">
        <f t="shared" si="221"/>
        <v>26.195</v>
      </c>
      <c r="AU102" s="627">
        <f t="shared" si="221"/>
        <v>25.35</v>
      </c>
      <c r="AV102" s="627">
        <f t="shared" si="221"/>
        <v>26.195</v>
      </c>
      <c r="AW102" s="31"/>
      <c r="AX102" s="31"/>
      <c r="AY102" s="31"/>
      <c r="AZ102" s="31"/>
      <c r="BA102" s="31"/>
    </row>
    <row r="103" spans="1:55" hidden="1" outlineLevel="1">
      <c r="A103" s="37"/>
      <c r="B103" s="32"/>
      <c r="C103" s="32"/>
      <c r="D103" s="5"/>
      <c r="E103" s="62"/>
      <c r="F103" s="62"/>
      <c r="G103" s="62"/>
      <c r="H103" s="62"/>
      <c r="I103" s="62"/>
      <c r="J103" s="62"/>
      <c r="K103" s="62"/>
      <c r="L103" s="62"/>
      <c r="M103" s="62"/>
      <c r="N103" s="62"/>
      <c r="O103" s="62"/>
      <c r="P103" s="62"/>
      <c r="Q103" s="62"/>
      <c r="R103" s="62"/>
      <c r="S103" s="62"/>
      <c r="T103" s="62"/>
      <c r="U103" s="62"/>
      <c r="V103" s="62"/>
      <c r="W103" s="62"/>
      <c r="X103" s="62"/>
      <c r="Y103" s="58"/>
      <c r="Z103" s="58"/>
      <c r="AA103" s="58"/>
      <c r="AB103" s="58"/>
      <c r="AC103" s="58"/>
      <c r="AD103" s="58"/>
      <c r="AE103" s="58"/>
      <c r="AF103" s="58"/>
      <c r="AG103" s="636"/>
      <c r="AH103" s="636"/>
      <c r="AI103" s="636"/>
      <c r="AJ103" s="636"/>
      <c r="AK103" s="688">
        <f>AK115+AK116-AK102</f>
        <v>3.5650000000000013</v>
      </c>
      <c r="AL103" s="688">
        <f t="shared" ref="AL103:AV103" si="222">AL115+AL116-AL102</f>
        <v>-0.89000000000000057</v>
      </c>
      <c r="AM103" s="688">
        <f t="shared" si="222"/>
        <v>-2.3350000000000009</v>
      </c>
      <c r="AN103" s="688">
        <f t="shared" si="222"/>
        <v>-1.1700000000000017</v>
      </c>
      <c r="AO103" s="688">
        <f t="shared" si="222"/>
        <v>-8.7420000000000009</v>
      </c>
      <c r="AP103" s="688">
        <f t="shared" si="222"/>
        <v>-4.7678082191780859</v>
      </c>
      <c r="AQ103" s="688">
        <f t="shared" si="222"/>
        <v>-5.0100684931506869</v>
      </c>
      <c r="AR103" s="688">
        <f t="shared" si="222"/>
        <v>-0.47100000000000009</v>
      </c>
      <c r="AS103" s="688">
        <f t="shared" si="222"/>
        <v>-1.2678082191780859</v>
      </c>
      <c r="AT103" s="688">
        <f t="shared" si="222"/>
        <v>-1.5100684931506869</v>
      </c>
      <c r="AU103" s="688">
        <f t="shared" si="222"/>
        <v>-1.7678082191780859</v>
      </c>
      <c r="AV103" s="688">
        <f t="shared" si="222"/>
        <v>-1.5100684931506869</v>
      </c>
      <c r="AW103" s="31"/>
      <c r="AX103" s="31"/>
      <c r="AY103" s="31"/>
      <c r="AZ103" s="31"/>
      <c r="BA103" s="31"/>
    </row>
    <row r="104" spans="1:55" hidden="1" outlineLevel="1">
      <c r="A104" s="37"/>
      <c r="B104" s="32"/>
      <c r="C104" s="32" t="s">
        <v>233</v>
      </c>
      <c r="D104" s="5"/>
      <c r="E104" s="62"/>
      <c r="F104" s="62"/>
      <c r="G104" s="62"/>
      <c r="H104" s="62"/>
      <c r="I104" s="62"/>
      <c r="J104" s="62"/>
      <c r="K104" s="62"/>
      <c r="L104" s="62"/>
      <c r="M104" s="62"/>
      <c r="N104" s="62"/>
      <c r="O104" s="62"/>
      <c r="P104" s="62"/>
      <c r="Q104" s="62"/>
      <c r="R104" s="62"/>
      <c r="S104" s="62"/>
      <c r="T104" s="62"/>
      <c r="U104" s="62"/>
      <c r="V104" s="62"/>
      <c r="W104" s="62"/>
      <c r="X104" s="62"/>
      <c r="Y104" s="58"/>
      <c r="Z104" s="58"/>
      <c r="AA104" s="58"/>
      <c r="AB104" s="58"/>
      <c r="AC104" s="58"/>
      <c r="AD104" s="58"/>
      <c r="AE104" s="58"/>
      <c r="AF104" s="58"/>
      <c r="AG104" s="636"/>
      <c r="AH104" s="636"/>
      <c r="AI104" s="636"/>
      <c r="AJ104" s="636"/>
      <c r="AK104" s="687"/>
      <c r="AL104" s="687"/>
      <c r="AM104" s="687"/>
      <c r="AN104" s="687"/>
      <c r="AO104" s="687"/>
      <c r="AP104" s="687"/>
      <c r="AQ104" s="687"/>
      <c r="AR104" s="687"/>
      <c r="AS104" s="687"/>
      <c r="AT104" s="687"/>
      <c r="AU104" s="687"/>
      <c r="AV104" s="687"/>
      <c r="AW104" s="31"/>
      <c r="AX104" s="31"/>
      <c r="AY104" s="31"/>
      <c r="AZ104" s="31"/>
      <c r="BA104" s="31"/>
    </row>
    <row r="105" spans="1:55" hidden="1" outlineLevel="1">
      <c r="A105" s="37"/>
      <c r="B105" s="32"/>
      <c r="C105" s="32" t="s">
        <v>221</v>
      </c>
      <c r="D105" s="5"/>
      <c r="E105" s="62"/>
      <c r="F105" s="62"/>
      <c r="G105" s="62"/>
      <c r="H105" s="62"/>
      <c r="I105" s="62"/>
      <c r="J105" s="62"/>
      <c r="K105" s="62"/>
      <c r="L105" s="62"/>
      <c r="M105" s="62"/>
      <c r="N105" s="62"/>
      <c r="O105" s="62"/>
      <c r="P105" s="62"/>
      <c r="Q105" s="62"/>
      <c r="R105" s="62"/>
      <c r="S105" s="62"/>
      <c r="T105" s="62"/>
      <c r="U105" s="62"/>
      <c r="V105" s="62"/>
      <c r="W105" s="62"/>
      <c r="X105" s="62"/>
      <c r="Y105" s="58"/>
      <c r="Z105" s="58"/>
      <c r="AA105" s="58"/>
      <c r="AB105" s="58"/>
      <c r="AC105" s="58"/>
      <c r="AD105" s="58"/>
      <c r="AE105" s="58"/>
      <c r="AF105" s="58"/>
      <c r="AG105" s="636"/>
      <c r="AH105" s="636"/>
      <c r="AI105" s="636"/>
      <c r="AJ105" s="636"/>
      <c r="AK105" s="688"/>
      <c r="AL105" s="688"/>
      <c r="AM105" s="688"/>
      <c r="AN105" s="688"/>
      <c r="AO105" s="693"/>
      <c r="AP105" s="693"/>
      <c r="AQ105" s="693"/>
      <c r="AR105" s="693"/>
      <c r="AS105" s="693"/>
      <c r="AT105" s="693"/>
      <c r="AU105" s="693"/>
      <c r="AV105" s="693"/>
      <c r="AW105" s="31"/>
      <c r="AX105" s="31"/>
      <c r="AY105" s="31"/>
      <c r="AZ105" s="31"/>
      <c r="BA105" s="31"/>
    </row>
    <row r="106" spans="1:55" hidden="1" outlineLevel="1">
      <c r="A106" s="37"/>
      <c r="B106" s="32"/>
      <c r="C106" s="32"/>
      <c r="D106" s="5"/>
      <c r="E106" s="62"/>
      <c r="F106" s="62"/>
      <c r="G106" s="62"/>
      <c r="H106" s="62"/>
      <c r="I106" s="62"/>
      <c r="J106" s="62"/>
      <c r="K106" s="62"/>
      <c r="L106" s="62"/>
      <c r="M106" s="62"/>
      <c r="N106" s="62"/>
      <c r="O106" s="62"/>
      <c r="P106" s="62"/>
      <c r="Q106" s="62"/>
      <c r="R106" s="62"/>
      <c r="S106" s="62"/>
      <c r="T106" s="62"/>
      <c r="U106" s="62"/>
      <c r="V106" s="62"/>
      <c r="W106" s="62"/>
      <c r="X106" s="62"/>
      <c r="Y106" s="58"/>
      <c r="Z106" s="58"/>
      <c r="AA106" s="58"/>
      <c r="AB106" s="58"/>
      <c r="AC106" s="58"/>
      <c r="AD106" s="58"/>
      <c r="AE106" s="58"/>
      <c r="AF106" s="58"/>
      <c r="AG106" s="636"/>
      <c r="AH106" s="636"/>
      <c r="AI106" s="636"/>
      <c r="AJ106" s="636"/>
      <c r="AK106" s="688"/>
      <c r="AL106" s="688"/>
      <c r="AM106" s="688"/>
      <c r="AN106" s="688"/>
      <c r="AO106" s="688"/>
      <c r="AP106" s="688"/>
      <c r="AQ106" s="688"/>
      <c r="AR106" s="688"/>
      <c r="AS106" s="688"/>
      <c r="AT106" s="688"/>
      <c r="AU106" s="688"/>
      <c r="AV106" s="688"/>
      <c r="AW106" s="31"/>
      <c r="AX106" s="31"/>
      <c r="AY106" s="31"/>
      <c r="AZ106" s="31"/>
      <c r="BA106" s="31"/>
    </row>
    <row r="107" spans="1:55" s="38" customFormat="1" ht="24" thickBot="1">
      <c r="A107" s="383" t="s">
        <v>6</v>
      </c>
      <c r="B107" s="32" t="s">
        <v>3</v>
      </c>
      <c r="C107" s="5" t="s">
        <v>11</v>
      </c>
      <c r="D107" s="5" t="s">
        <v>3</v>
      </c>
      <c r="E107" s="55">
        <v>97.96</v>
      </c>
      <c r="F107" s="55">
        <f>79+2</f>
        <v>81</v>
      </c>
      <c r="G107" s="55">
        <v>71</v>
      </c>
      <c r="H107" s="55">
        <f>67.5-0.5</f>
        <v>67</v>
      </c>
      <c r="I107" s="223">
        <f>61.5+0.5</f>
        <v>62</v>
      </c>
      <c r="J107" s="55">
        <v>63</v>
      </c>
      <c r="K107" s="55">
        <f>57+4+2+2</f>
        <v>65</v>
      </c>
      <c r="L107" s="98">
        <f>(59.5+5.5+1.5+2)-3</f>
        <v>65.5</v>
      </c>
      <c r="M107" s="55">
        <v>47</v>
      </c>
      <c r="N107" s="55">
        <v>22</v>
      </c>
      <c r="O107" s="98">
        <v>39</v>
      </c>
      <c r="P107" s="98">
        <f t="shared" ref="P107:X107" si="223">P109+P110</f>
        <v>44.5</v>
      </c>
      <c r="Q107" s="98">
        <f t="shared" si="223"/>
        <v>43.5</v>
      </c>
      <c r="R107" s="223">
        <f t="shared" si="223"/>
        <v>55.5</v>
      </c>
      <c r="S107" s="223">
        <f t="shared" si="223"/>
        <v>47.93</v>
      </c>
      <c r="T107" s="223">
        <f t="shared" si="223"/>
        <v>56.379999999999995</v>
      </c>
      <c r="U107" s="223">
        <f t="shared" si="223"/>
        <v>42.91</v>
      </c>
      <c r="V107" s="223">
        <f t="shared" si="223"/>
        <v>43</v>
      </c>
      <c r="W107" s="223">
        <f t="shared" si="223"/>
        <v>48.4</v>
      </c>
      <c r="X107" s="223">
        <f t="shared" si="223"/>
        <v>58.5</v>
      </c>
      <c r="Y107" s="223">
        <f t="shared" ref="Y107:AD107" si="224">Y109+Y110</f>
        <v>56.42</v>
      </c>
      <c r="Z107" s="223">
        <f t="shared" si="224"/>
        <v>40.159999999999997</v>
      </c>
      <c r="AA107" s="223">
        <f t="shared" si="224"/>
        <v>51.32</v>
      </c>
      <c r="AB107" s="223">
        <f t="shared" si="224"/>
        <v>33.5</v>
      </c>
      <c r="AC107" s="223">
        <f t="shared" si="224"/>
        <v>63</v>
      </c>
      <c r="AD107" s="223">
        <f t="shared" si="224"/>
        <v>59.579000000000008</v>
      </c>
      <c r="AE107" s="627">
        <f>AE109+AE110</f>
        <v>94.679000000000002</v>
      </c>
      <c r="AF107" s="647">
        <f>AF109+AF110</f>
        <v>64.073999999999998</v>
      </c>
      <c r="AG107" s="647">
        <f>AG109+AG110</f>
        <v>64.5</v>
      </c>
      <c r="AH107" s="647">
        <f>AH109+AH110</f>
        <v>41.120000000000005</v>
      </c>
      <c r="AI107" s="223">
        <f t="shared" ref="AI107:AK107" si="225">AI109+AI110</f>
        <v>29.6</v>
      </c>
      <c r="AJ107" s="223">
        <f>AJ109+AJ110</f>
        <v>33</v>
      </c>
      <c r="AK107" s="223">
        <f t="shared" si="225"/>
        <v>47.32</v>
      </c>
      <c r="AL107" s="223">
        <f t="shared" ref="AL107:AM107" si="226">AL109+AL110</f>
        <v>43.16</v>
      </c>
      <c r="AM107" s="223">
        <f t="shared" si="226"/>
        <v>57.779000000000003</v>
      </c>
      <c r="AN107" s="223">
        <f t="shared" ref="AN107:AO107" si="227">AN109+AN110</f>
        <v>76.795999999999992</v>
      </c>
      <c r="AO107" s="223">
        <f t="shared" si="227"/>
        <v>69.640458958306908</v>
      </c>
      <c r="AP107" s="223">
        <f t="shared" ref="AP107:AQ107" si="228">AP109+AP110</f>
        <v>48.765535553896413</v>
      </c>
      <c r="AQ107" s="223">
        <f t="shared" si="228"/>
        <v>49.505057299118029</v>
      </c>
      <c r="AR107" s="223">
        <f t="shared" ref="AR107:AS107" si="229">AR109+AR110</f>
        <v>49.134854878187248</v>
      </c>
      <c r="AS107" s="223">
        <f t="shared" si="229"/>
        <v>44.268745275139779</v>
      </c>
      <c r="AT107" s="223">
        <f t="shared" ref="AT107:AU107" si="230">AT109+AT110</f>
        <v>54.562108314633385</v>
      </c>
      <c r="AU107" s="223">
        <f t="shared" si="230"/>
        <v>52.657201307117887</v>
      </c>
      <c r="AV107" s="223">
        <f t="shared" ref="AV107" si="231">AV109+AV110</f>
        <v>44.450519286513313</v>
      </c>
      <c r="AZ107" s="31"/>
    </row>
    <row r="108" spans="1:55" s="75" customFormat="1" ht="15" thickBot="1">
      <c r="A108" s="81" t="s">
        <v>30</v>
      </c>
      <c r="B108" s="494" t="s">
        <v>7</v>
      </c>
      <c r="C108" s="495" t="s">
        <v>6</v>
      </c>
      <c r="D108" s="372" t="s">
        <v>10</v>
      </c>
      <c r="E108" s="382">
        <f t="shared" ref="E108:AV108" si="232">E3</f>
        <v>43587</v>
      </c>
      <c r="F108" s="382">
        <f t="shared" si="232"/>
        <v>43618</v>
      </c>
      <c r="G108" s="382">
        <f t="shared" si="232"/>
        <v>43648</v>
      </c>
      <c r="H108" s="382">
        <f t="shared" si="232"/>
        <v>43679</v>
      </c>
      <c r="I108" s="382">
        <f t="shared" si="232"/>
        <v>43710</v>
      </c>
      <c r="J108" s="382">
        <f t="shared" si="232"/>
        <v>43740</v>
      </c>
      <c r="K108" s="382">
        <f t="shared" si="232"/>
        <v>43771</v>
      </c>
      <c r="L108" s="382">
        <f t="shared" si="232"/>
        <v>43801</v>
      </c>
      <c r="M108" s="382">
        <f t="shared" si="232"/>
        <v>43832</v>
      </c>
      <c r="N108" s="382">
        <f t="shared" si="232"/>
        <v>43863</v>
      </c>
      <c r="O108" s="382">
        <f t="shared" si="232"/>
        <v>43892</v>
      </c>
      <c r="P108" s="382">
        <f t="shared" si="232"/>
        <v>43923</v>
      </c>
      <c r="Q108" s="382">
        <f t="shared" si="232"/>
        <v>43953</v>
      </c>
      <c r="R108" s="77">
        <f t="shared" si="232"/>
        <v>43984</v>
      </c>
      <c r="S108" s="78">
        <f t="shared" si="232"/>
        <v>44014</v>
      </c>
      <c r="T108" s="78">
        <f t="shared" si="232"/>
        <v>44045</v>
      </c>
      <c r="U108" s="78">
        <f t="shared" si="232"/>
        <v>44076</v>
      </c>
      <c r="V108" s="78">
        <f t="shared" si="232"/>
        <v>44106</v>
      </c>
      <c r="W108" s="78">
        <f t="shared" si="232"/>
        <v>44137</v>
      </c>
      <c r="X108" s="78">
        <f t="shared" si="232"/>
        <v>44167</v>
      </c>
      <c r="Y108" s="79">
        <f t="shared" si="232"/>
        <v>44198</v>
      </c>
      <c r="Z108" s="80">
        <f t="shared" si="232"/>
        <v>44229</v>
      </c>
      <c r="AA108" s="80">
        <f t="shared" si="232"/>
        <v>44257</v>
      </c>
      <c r="AB108" s="80">
        <f t="shared" si="232"/>
        <v>44288</v>
      </c>
      <c r="AC108" s="80">
        <f t="shared" si="232"/>
        <v>44318</v>
      </c>
      <c r="AD108" s="80">
        <f t="shared" si="232"/>
        <v>44349</v>
      </c>
      <c r="AE108" s="80">
        <f t="shared" si="232"/>
        <v>44379</v>
      </c>
      <c r="AF108" s="80">
        <f t="shared" si="232"/>
        <v>44410</v>
      </c>
      <c r="AG108" s="80">
        <f t="shared" si="232"/>
        <v>44441</v>
      </c>
      <c r="AH108" s="80">
        <f t="shared" si="232"/>
        <v>44471</v>
      </c>
      <c r="AI108" s="80">
        <f t="shared" si="232"/>
        <v>44502</v>
      </c>
      <c r="AJ108" s="80">
        <f t="shared" si="232"/>
        <v>44532</v>
      </c>
      <c r="AK108" s="77">
        <f t="shared" si="232"/>
        <v>44563</v>
      </c>
      <c r="AL108" s="589">
        <f t="shared" si="232"/>
        <v>44594</v>
      </c>
      <c r="AM108" s="589">
        <f t="shared" si="232"/>
        <v>44622</v>
      </c>
      <c r="AN108" s="589">
        <f t="shared" si="232"/>
        <v>44653</v>
      </c>
      <c r="AO108" s="589">
        <f t="shared" si="232"/>
        <v>44683</v>
      </c>
      <c r="AP108" s="589">
        <f t="shared" si="232"/>
        <v>44714</v>
      </c>
      <c r="AQ108" s="589">
        <f t="shared" si="232"/>
        <v>44744</v>
      </c>
      <c r="AR108" s="589">
        <f t="shared" si="232"/>
        <v>44775</v>
      </c>
      <c r="AS108" s="589">
        <f t="shared" si="232"/>
        <v>44806</v>
      </c>
      <c r="AT108" s="589">
        <f t="shared" si="232"/>
        <v>44836</v>
      </c>
      <c r="AU108" s="589">
        <f t="shared" si="232"/>
        <v>44867</v>
      </c>
      <c r="AV108" s="714">
        <f t="shared" si="232"/>
        <v>44897</v>
      </c>
      <c r="AW108" s="73"/>
      <c r="AX108" s="433" t="s">
        <v>155</v>
      </c>
      <c r="AY108" s="31"/>
      <c r="AZ108" s="433" t="s">
        <v>219</v>
      </c>
      <c r="BA108" s="31"/>
    </row>
    <row r="109" spans="1:55" ht="14.75" customHeight="1">
      <c r="A109" s="380" t="s">
        <v>8</v>
      </c>
      <c r="B109" s="332" t="s">
        <v>3</v>
      </c>
      <c r="C109" s="381" t="s">
        <v>118</v>
      </c>
      <c r="D109" s="4" t="s">
        <v>3</v>
      </c>
      <c r="E109" s="62"/>
      <c r="F109" s="62"/>
      <c r="G109" s="62"/>
      <c r="H109" s="62"/>
      <c r="I109" s="62"/>
      <c r="J109" s="62"/>
      <c r="K109" s="62"/>
      <c r="L109" s="62"/>
      <c r="M109" s="62"/>
      <c r="N109" s="62"/>
      <c r="O109" s="62"/>
      <c r="P109" s="341">
        <v>29</v>
      </c>
      <c r="Q109" s="341">
        <v>26</v>
      </c>
      <c r="R109" s="341">
        <v>26</v>
      </c>
      <c r="S109" s="414">
        <v>20.72</v>
      </c>
      <c r="T109" s="414">
        <v>20.38</v>
      </c>
      <c r="U109" s="414">
        <v>22.41</v>
      </c>
      <c r="V109" s="414">
        <v>27</v>
      </c>
      <c r="W109" s="462">
        <f>23+1.4</f>
        <v>24.4</v>
      </c>
      <c r="X109" s="462">
        <v>29</v>
      </c>
      <c r="Y109" s="514">
        <f>720*Y1/1000</f>
        <v>22.32</v>
      </c>
      <c r="Z109" s="513">
        <f>720*Z1/1000</f>
        <v>20.16</v>
      </c>
      <c r="AA109" s="539">
        <f>(720*AA1/1000)-2.5-1</f>
        <v>18.82</v>
      </c>
      <c r="AB109" s="599">
        <v>12</v>
      </c>
      <c r="AC109" s="606">
        <v>24</v>
      </c>
      <c r="AD109" s="513">
        <v>18.3</v>
      </c>
      <c r="AE109" s="599">
        <v>17</v>
      </c>
      <c r="AF109" s="513">
        <v>22.32</v>
      </c>
      <c r="AG109" s="513">
        <f>21.6-3.4</f>
        <v>18.200000000000003</v>
      </c>
      <c r="AH109" s="513">
        <f>22.32-5.208+0.008</f>
        <v>17.12</v>
      </c>
      <c r="AI109" s="513">
        <f>21.6-3.6-7.2</f>
        <v>10.8</v>
      </c>
      <c r="AJ109" s="513">
        <f>22.32-9.32</f>
        <v>13</v>
      </c>
      <c r="AK109" s="701">
        <f>22.32</f>
        <v>22.32</v>
      </c>
      <c r="AL109" s="702">
        <v>20.16</v>
      </c>
      <c r="AM109" s="702">
        <v>22.32</v>
      </c>
      <c r="AN109" s="702">
        <v>21.6</v>
      </c>
      <c r="AO109" s="763">
        <v>20.696458958306906</v>
      </c>
      <c r="AP109" s="685">
        <v>21.495000612044336</v>
      </c>
      <c r="AQ109" s="685">
        <v>22.208400882482515</v>
      </c>
      <c r="AR109" s="685">
        <v>22.208400882482515</v>
      </c>
      <c r="AS109" s="685">
        <v>21.492000854015362</v>
      </c>
      <c r="AT109" s="685">
        <v>22.208400882482515</v>
      </c>
      <c r="AU109" s="685">
        <v>21.493800128102269</v>
      </c>
      <c r="AV109" s="686">
        <v>22.208687557995255</v>
      </c>
      <c r="AW109" s="38"/>
      <c r="AX109" s="434">
        <f>SUM(Y109:AJ109)</f>
        <v>214.04000000000002</v>
      </c>
      <c r="AY109" s="31"/>
      <c r="AZ109" s="727">
        <f>SUM(AK109:AV109)</f>
        <v>260.41115075791168</v>
      </c>
      <c r="BA109" s="31"/>
      <c r="BB109" s="678">
        <v>260000</v>
      </c>
      <c r="BC109" s="679">
        <f>BB109/(BB116)</f>
        <v>0.25742574257425743</v>
      </c>
    </row>
    <row r="110" spans="1:55" s="31" customFormat="1">
      <c r="A110" s="37"/>
      <c r="B110" s="332" t="s">
        <v>3</v>
      </c>
      <c r="C110" s="32" t="s">
        <v>134</v>
      </c>
      <c r="D110" s="4" t="s">
        <v>3</v>
      </c>
      <c r="E110" s="91"/>
      <c r="F110" s="91"/>
      <c r="G110" s="91"/>
      <c r="H110" s="91"/>
      <c r="I110" s="91"/>
      <c r="J110" s="91"/>
      <c r="K110" s="91"/>
      <c r="L110" s="91"/>
      <c r="M110" s="91"/>
      <c r="N110" s="91"/>
      <c r="O110" s="91"/>
      <c r="P110" s="342">
        <v>15.5</v>
      </c>
      <c r="Q110" s="352">
        <v>17.5</v>
      </c>
      <c r="R110" s="356">
        <v>29.5</v>
      </c>
      <c r="S110" s="419">
        <f>31.21-4</f>
        <v>27.21</v>
      </c>
      <c r="T110" s="342">
        <f>31.25+7.5-2.75</f>
        <v>36</v>
      </c>
      <c r="U110" s="419">
        <v>20.5</v>
      </c>
      <c r="V110" s="342">
        <v>16</v>
      </c>
      <c r="W110" s="419">
        <v>24</v>
      </c>
      <c r="X110" s="466">
        <v>29.5</v>
      </c>
      <c r="Y110" s="437">
        <f>34.1</f>
        <v>34.1</v>
      </c>
      <c r="Z110" s="223">
        <f>25-5</f>
        <v>20</v>
      </c>
      <c r="AA110" s="98">
        <f>31.5+1</f>
        <v>32.5</v>
      </c>
      <c r="AB110" s="605">
        <v>21.5</v>
      </c>
      <c r="AC110" s="607">
        <v>39</v>
      </c>
      <c r="AD110" s="625">
        <f>35.032+3+3.24700000000001</f>
        <v>41.279000000000003</v>
      </c>
      <c r="AE110" s="642">
        <f>78.668-0.989000000000004</f>
        <v>77.679000000000002</v>
      </c>
      <c r="AF110" s="625">
        <f>41.754</f>
        <v>41.753999999999998</v>
      </c>
      <c r="AG110" s="625">
        <f>46.6-0.3</f>
        <v>46.300000000000004</v>
      </c>
      <c r="AH110" s="638">
        <f>46.626-11.626-5-4.2-1.8</f>
        <v>24</v>
      </c>
      <c r="AI110" s="625">
        <f>38.783-13.783+5-5-4-1-1.2</f>
        <v>18.8</v>
      </c>
      <c r="AJ110" s="625">
        <v>20</v>
      </c>
      <c r="AK110" s="760">
        <v>25</v>
      </c>
      <c r="AL110" s="625">
        <v>23</v>
      </c>
      <c r="AM110" s="625">
        <v>35.459000000000003</v>
      </c>
      <c r="AN110" s="625">
        <v>55.195999999999998</v>
      </c>
      <c r="AO110" s="625">
        <v>48.944000000000003</v>
      </c>
      <c r="AP110" s="638">
        <v>27.270534941852073</v>
      </c>
      <c r="AQ110" s="638">
        <v>27.296656416635514</v>
      </c>
      <c r="AR110" s="638">
        <v>26.926453995704733</v>
      </c>
      <c r="AS110" s="638">
        <v>22.77674442112442</v>
      </c>
      <c r="AT110" s="638">
        <v>32.35370743215087</v>
      </c>
      <c r="AU110" s="638">
        <v>31.163401179015615</v>
      </c>
      <c r="AV110" s="730">
        <v>22.241831728518061</v>
      </c>
      <c r="AW110" s="38"/>
      <c r="AX110" s="434">
        <f t="shared" ref="AX110:AX116" si="233">SUM(Y110:AJ110)</f>
        <v>416.91200000000003</v>
      </c>
      <c r="AZ110" s="727">
        <f>SUM(AK110:AV110)</f>
        <v>377.62833011500129</v>
      </c>
      <c r="BB110" s="680"/>
      <c r="BC110" s="681"/>
    </row>
    <row r="111" spans="1:55">
      <c r="A111" s="327"/>
      <c r="B111" s="332" t="s">
        <v>3</v>
      </c>
      <c r="C111" s="5" t="s">
        <v>119</v>
      </c>
      <c r="D111" s="4" t="s">
        <v>3</v>
      </c>
      <c r="E111" s="55"/>
      <c r="F111" s="55"/>
      <c r="G111" s="55"/>
      <c r="H111" s="55"/>
      <c r="I111" s="223"/>
      <c r="J111" s="55"/>
      <c r="K111" s="55"/>
      <c r="L111" s="266"/>
      <c r="M111" s="55"/>
      <c r="N111" s="55"/>
      <c r="O111" s="98"/>
      <c r="P111" s="98"/>
      <c r="Q111" s="98"/>
      <c r="R111" s="98"/>
      <c r="S111" s="98"/>
      <c r="T111" s="98"/>
      <c r="U111" s="98"/>
      <c r="V111" s="98"/>
      <c r="W111" s="98"/>
      <c r="X111" s="98"/>
      <c r="Y111" s="430">
        <v>0</v>
      </c>
      <c r="Z111" s="321">
        <f>10.8-1.8</f>
        <v>9</v>
      </c>
      <c r="AA111" s="460">
        <v>10.8</v>
      </c>
      <c r="AB111" s="587">
        <v>10.6</v>
      </c>
      <c r="AC111" s="590">
        <v>10.5</v>
      </c>
      <c r="AD111" s="621">
        <f>11-1</f>
        <v>10</v>
      </c>
      <c r="AE111" s="528"/>
      <c r="AF111" s="655">
        <v>0.73099999999999998</v>
      </c>
      <c r="AG111" s="655">
        <v>4.9909999999999997</v>
      </c>
      <c r="AH111" s="677">
        <v>6.7</v>
      </c>
      <c r="AI111" s="677">
        <f>9.4-0.85</f>
        <v>8.5500000000000007</v>
      </c>
      <c r="AJ111" s="713"/>
      <c r="AK111" s="764">
        <f>12.204-AK98</f>
        <v>5.2040000000000006</v>
      </c>
      <c r="AL111" s="689"/>
      <c r="AM111" s="689"/>
      <c r="AN111" s="689"/>
      <c r="AO111" s="689"/>
      <c r="AP111" s="689"/>
      <c r="AQ111" s="689"/>
      <c r="AR111" s="724">
        <v>10</v>
      </c>
      <c r="AS111" s="689"/>
      <c r="AT111" s="689"/>
      <c r="AU111" s="689"/>
      <c r="AV111" s="690"/>
      <c r="AW111" s="38"/>
      <c r="AX111" s="434">
        <f t="shared" si="233"/>
        <v>71.872</v>
      </c>
      <c r="AY111" s="31"/>
      <c r="AZ111" s="727">
        <f t="shared" ref="AZ111:AZ116" si="234">SUM(AK111:AV111)</f>
        <v>15.204000000000001</v>
      </c>
      <c r="BA111" s="31"/>
      <c r="BB111" s="680"/>
      <c r="BC111" s="682"/>
    </row>
    <row r="112" spans="1:55">
      <c r="A112" s="327"/>
      <c r="B112" s="332" t="s">
        <v>3</v>
      </c>
      <c r="C112" s="5" t="s">
        <v>177</v>
      </c>
      <c r="D112" s="4" t="s">
        <v>3</v>
      </c>
      <c r="E112" s="55"/>
      <c r="F112" s="55"/>
      <c r="G112" s="55"/>
      <c r="H112" s="55"/>
      <c r="I112" s="223"/>
      <c r="J112" s="55"/>
      <c r="K112" s="55"/>
      <c r="L112" s="266"/>
      <c r="M112" s="55"/>
      <c r="N112" s="55"/>
      <c r="O112" s="98"/>
      <c r="P112" s="98"/>
      <c r="Q112" s="98"/>
      <c r="R112" s="98"/>
      <c r="S112" s="98"/>
      <c r="T112" s="98"/>
      <c r="U112" s="98"/>
      <c r="V112" s="98"/>
      <c r="W112" s="98"/>
      <c r="X112" s="98"/>
      <c r="Y112" s="430"/>
      <c r="Z112" s="460"/>
      <c r="AA112" s="460"/>
      <c r="AB112" s="425">
        <v>0</v>
      </c>
      <c r="AC112" s="321"/>
      <c r="AD112" s="321"/>
      <c r="AE112" s="528"/>
      <c r="AF112" s="655">
        <f>8.197</f>
        <v>8.1969999999999992</v>
      </c>
      <c r="AG112" s="655">
        <v>6.8310000000000004</v>
      </c>
      <c r="AH112" s="677">
        <v>7.3</v>
      </c>
      <c r="AI112" s="677">
        <f>2.5-0.25</f>
        <v>2.25</v>
      </c>
      <c r="AJ112" s="713">
        <f>13.784-AJ99-2.984</f>
        <v>10.8</v>
      </c>
      <c r="AK112" s="765">
        <v>1.58</v>
      </c>
      <c r="AL112" s="321"/>
      <c r="AM112" s="321"/>
      <c r="AN112" s="425"/>
      <c r="AO112" s="425"/>
      <c r="AP112" s="425"/>
      <c r="AQ112" s="425"/>
      <c r="AR112" s="425"/>
      <c r="AS112" s="425"/>
      <c r="AT112" s="425"/>
      <c r="AU112" s="425"/>
      <c r="AV112" s="715"/>
      <c r="AW112" s="38"/>
      <c r="AX112" s="434">
        <f t="shared" si="233"/>
        <v>35.378</v>
      </c>
      <c r="AY112" s="31"/>
      <c r="AZ112" s="727">
        <f t="shared" si="234"/>
        <v>1.58</v>
      </c>
      <c r="BA112" s="31"/>
      <c r="BB112" s="680"/>
      <c r="BC112" s="682"/>
    </row>
    <row r="113" spans="1:61">
      <c r="A113" s="327"/>
      <c r="B113" s="332" t="s">
        <v>3</v>
      </c>
      <c r="C113" s="5" t="s">
        <v>120</v>
      </c>
      <c r="D113" s="4" t="s">
        <v>3</v>
      </c>
      <c r="E113" s="55">
        <v>22.7</v>
      </c>
      <c r="F113" s="55">
        <v>32</v>
      </c>
      <c r="G113" s="124">
        <f>15+1</f>
        <v>16</v>
      </c>
      <c r="H113" s="124">
        <f>13+1</f>
        <v>14</v>
      </c>
      <c r="I113" s="223">
        <f>6+2</f>
        <v>8</v>
      </c>
      <c r="J113" s="223">
        <v>6</v>
      </c>
      <c r="K113" s="223">
        <v>6</v>
      </c>
      <c r="L113" s="223">
        <v>13</v>
      </c>
      <c r="M113" s="223">
        <v>12</v>
      </c>
      <c r="N113" s="223">
        <v>12</v>
      </c>
      <c r="O113" s="223">
        <f>12+25</f>
        <v>37</v>
      </c>
      <c r="P113" s="223">
        <f>12+9+5+6</f>
        <v>32</v>
      </c>
      <c r="Q113" s="343">
        <v>0</v>
      </c>
      <c r="R113" s="98"/>
      <c r="S113" s="223"/>
      <c r="T113" s="223"/>
      <c r="U113" s="223"/>
      <c r="V113" s="450"/>
      <c r="W113" s="223"/>
      <c r="X113" s="222"/>
      <c r="Y113" s="431"/>
      <c r="Z113" s="223">
        <f>15+2.5</f>
        <v>17.5</v>
      </c>
      <c r="AA113" s="223">
        <v>3.24</v>
      </c>
      <c r="AB113" s="98">
        <f>23+4.5+0.6</f>
        <v>28.1</v>
      </c>
      <c r="AC113" s="349">
        <v>30.8</v>
      </c>
      <c r="AD113" s="223">
        <f>17+2</f>
        <v>19</v>
      </c>
      <c r="AE113" s="354">
        <v>6</v>
      </c>
      <c r="AF113" s="625">
        <f>3+2+4.6</f>
        <v>9.6</v>
      </c>
      <c r="AG113" s="625">
        <f>3+6.7+4.3+4.2</f>
        <v>18.2</v>
      </c>
      <c r="AH113" s="625">
        <f>14+6+2</f>
        <v>22</v>
      </c>
      <c r="AI113" s="354">
        <f>16.7-0.9</f>
        <v>15.799999999999999</v>
      </c>
      <c r="AJ113" s="354">
        <v>11.7</v>
      </c>
      <c r="AK113" s="760">
        <v>20</v>
      </c>
      <c r="AL113" s="638">
        <v>19</v>
      </c>
      <c r="AM113" s="636">
        <v>20</v>
      </c>
      <c r="AN113" s="636"/>
      <c r="AO113" s="638">
        <f>54-AO110</f>
        <v>5.0559999999999974</v>
      </c>
      <c r="AP113" s="638">
        <v>26</v>
      </c>
      <c r="AQ113" s="638">
        <v>26</v>
      </c>
      <c r="AR113" s="638">
        <v>27</v>
      </c>
      <c r="AS113" s="638">
        <v>29</v>
      </c>
      <c r="AT113" s="638">
        <v>22</v>
      </c>
      <c r="AU113" s="638">
        <v>22</v>
      </c>
      <c r="AV113" s="716">
        <v>29</v>
      </c>
      <c r="AW113" s="38"/>
      <c r="AX113" s="434">
        <f t="shared" si="233"/>
        <v>181.94</v>
      </c>
      <c r="AY113" s="31"/>
      <c r="AZ113" s="727">
        <f t="shared" si="234"/>
        <v>245.05599999999998</v>
      </c>
      <c r="BA113" s="31"/>
      <c r="BB113" s="680"/>
      <c r="BC113" s="682"/>
    </row>
    <row r="114" spans="1:61">
      <c r="A114" s="327"/>
      <c r="B114" s="332" t="s">
        <v>3</v>
      </c>
      <c r="C114" s="5" t="s">
        <v>12</v>
      </c>
      <c r="D114" s="4" t="s">
        <v>3</v>
      </c>
      <c r="E114" s="55">
        <v>25.201000000000001</v>
      </c>
      <c r="F114" s="55">
        <v>1.85</v>
      </c>
      <c r="G114" s="55">
        <v>24.5</v>
      </c>
      <c r="H114" s="223">
        <v>25</v>
      </c>
      <c r="I114" s="222">
        <v>26.736999999999998</v>
      </c>
      <c r="J114" s="222">
        <v>33.479999999999997</v>
      </c>
      <c r="K114" s="222">
        <v>31.632000000000001</v>
      </c>
      <c r="L114" s="266">
        <v>25</v>
      </c>
      <c r="M114" s="55">
        <v>32.86</v>
      </c>
      <c r="N114" s="321">
        <v>25.4</v>
      </c>
      <c r="O114" s="321">
        <v>16.645</v>
      </c>
      <c r="P114" s="98">
        <v>24</v>
      </c>
      <c r="Q114" s="350">
        <v>21.957999999999998</v>
      </c>
      <c r="R114" s="98">
        <v>23.643999999999998</v>
      </c>
      <c r="S114" s="349">
        <v>25.8</v>
      </c>
      <c r="T114" s="223">
        <v>31.132362637362636</v>
      </c>
      <c r="U114" s="349">
        <v>30.3</v>
      </c>
      <c r="V114" s="223">
        <f>1060*31/1000</f>
        <v>32.86</v>
      </c>
      <c r="W114" s="223">
        <f>1040*30/1000</f>
        <v>31.2</v>
      </c>
      <c r="X114" s="98">
        <v>25.673999999999999</v>
      </c>
      <c r="Y114" s="455">
        <f>1040*Y1/1000</f>
        <v>32.24</v>
      </c>
      <c r="Z114" s="321">
        <v>28.1</v>
      </c>
      <c r="AA114" s="460">
        <f>1040*AA1/1000</f>
        <v>32.24</v>
      </c>
      <c r="AB114" s="321">
        <v>24.491</v>
      </c>
      <c r="AC114" s="321">
        <v>26.954999999999998</v>
      </c>
      <c r="AD114" s="460">
        <v>30.1</v>
      </c>
      <c r="AE114" s="321">
        <f>30.38+0.2-0.2</f>
        <v>30.38</v>
      </c>
      <c r="AF114" s="655">
        <f>32.55-3.698+1.67-1.577+0.46</f>
        <v>29.405000000000001</v>
      </c>
      <c r="AG114" s="655">
        <v>23.1</v>
      </c>
      <c r="AH114" s="677">
        <f>0+3-1.55-0.43</f>
        <v>1.02</v>
      </c>
      <c r="AI114" s="755">
        <v>21.297000000000001</v>
      </c>
      <c r="AJ114" s="755">
        <v>26.97</v>
      </c>
      <c r="AK114" s="762">
        <v>26.97</v>
      </c>
      <c r="AL114" s="677">
        <v>29.4</v>
      </c>
      <c r="AM114" s="689">
        <v>32.549999999999997</v>
      </c>
      <c r="AN114" s="689">
        <v>31.5</v>
      </c>
      <c r="AO114" s="724">
        <v>30.33400575990245</v>
      </c>
      <c r="AP114" s="689">
        <v>31.5</v>
      </c>
      <c r="AQ114" s="689">
        <v>32.549999999999997</v>
      </c>
      <c r="AR114" s="729">
        <v>13.65</v>
      </c>
      <c r="AS114" s="689">
        <v>31.5</v>
      </c>
      <c r="AT114" s="689">
        <v>32.549999999999997</v>
      </c>
      <c r="AU114" s="689">
        <v>31.5</v>
      </c>
      <c r="AV114" s="690">
        <v>32.549999999999997</v>
      </c>
      <c r="AW114" s="38"/>
      <c r="AX114" s="434">
        <f>SUM(Y114:AJ114)</f>
        <v>306.298</v>
      </c>
      <c r="AY114" s="31"/>
      <c r="AZ114" s="727">
        <f>SUM(AK114:AV114)</f>
        <v>356.55400575990245</v>
      </c>
      <c r="BA114" s="31"/>
      <c r="BB114" s="680">
        <v>400000</v>
      </c>
      <c r="BC114" s="682">
        <f>BB114/(BB116)</f>
        <v>0.39603960396039606</v>
      </c>
    </row>
    <row r="115" spans="1:61" ht="15" thickBot="1">
      <c r="A115" s="327"/>
      <c r="B115" s="332" t="s">
        <v>3</v>
      </c>
      <c r="C115" s="5" t="s">
        <v>13</v>
      </c>
      <c r="D115" s="4" t="s">
        <v>3</v>
      </c>
      <c r="E115" s="55">
        <v>8.1080000000000005</v>
      </c>
      <c r="F115" s="98">
        <v>11.057</v>
      </c>
      <c r="G115" s="55">
        <f>30.837+1</f>
        <v>31.837</v>
      </c>
      <c r="H115" s="55">
        <v>31.837</v>
      </c>
      <c r="I115" s="55">
        <v>30.81</v>
      </c>
      <c r="J115" s="55">
        <v>31.837</v>
      </c>
      <c r="K115" s="55">
        <v>30.81</v>
      </c>
      <c r="L115" s="266">
        <v>23.632999999999999</v>
      </c>
      <c r="M115" s="266">
        <v>17.95</v>
      </c>
      <c r="N115" s="55">
        <f>26.179-0.873</f>
        <v>25.305999999999997</v>
      </c>
      <c r="O115" s="98">
        <f>28.022-0.417-0.922</f>
        <v>26.682999999999996</v>
      </c>
      <c r="P115" s="266">
        <v>20.55</v>
      </c>
      <c r="Q115" s="345">
        <v>8</v>
      </c>
      <c r="R115" s="55">
        <v>20</v>
      </c>
      <c r="S115" s="349">
        <v>22</v>
      </c>
      <c r="T115" s="429">
        <v>21.2</v>
      </c>
      <c r="U115" s="243">
        <v>21.2</v>
      </c>
      <c r="V115" s="243">
        <v>21.2</v>
      </c>
      <c r="W115" s="456">
        <v>21.2</v>
      </c>
      <c r="X115" s="493">
        <f>21.2+7.5</f>
        <v>28.7</v>
      </c>
      <c r="Y115" s="506">
        <f>21.672+1.635+2.9</f>
        <v>26.207000000000001</v>
      </c>
      <c r="Z115" s="223">
        <f>21.276</f>
        <v>21.276</v>
      </c>
      <c r="AA115" s="223">
        <v>23.556000000000001</v>
      </c>
      <c r="AB115" s="98">
        <f>18.7-22.796+22.796+1</f>
        <v>19.7</v>
      </c>
      <c r="AC115" s="603">
        <v>20.771999999999998</v>
      </c>
      <c r="AD115" s="223">
        <v>22.036000000000001</v>
      </c>
      <c r="AE115" s="223">
        <v>0</v>
      </c>
      <c r="AF115" s="667">
        <f>19.128-9.5+1.469</f>
        <v>11.097</v>
      </c>
      <c r="AG115" s="625">
        <v>21.884</v>
      </c>
      <c r="AH115" s="625">
        <f>31.844-11.586</f>
        <v>20.258000000000003</v>
      </c>
      <c r="AI115" s="638">
        <f>21.659+2</f>
        <v>23.658999999999999</v>
      </c>
      <c r="AJ115" s="782">
        <v>18.224</v>
      </c>
      <c r="AK115" s="759">
        <f>(220/365)*AK1</f>
        <v>18.684931506849313</v>
      </c>
      <c r="AL115" s="625">
        <f>(220/365)*AL1-AL104</f>
        <v>16.876712328767123</v>
      </c>
      <c r="AM115" s="638">
        <f>(220/365)*AM1-AM104</f>
        <v>18.684931506849313</v>
      </c>
      <c r="AN115" s="638">
        <f>(220/365)*AN1-AN104</f>
        <v>18.082191780821915</v>
      </c>
      <c r="AO115" s="723">
        <v>17.452999999999999</v>
      </c>
      <c r="AP115" s="638">
        <f>(220/365)*AP1-AP104+(AP105*BC115)</f>
        <v>18.082191780821915</v>
      </c>
      <c r="AQ115" s="728">
        <f>(220/365)*AQ1-AQ104+(AQ105*BC115)</f>
        <v>18.684931506849313</v>
      </c>
      <c r="AR115" s="728">
        <f>(220/365)*AR1-AR104+(AR105*BC115)</f>
        <v>18.684931506849313</v>
      </c>
      <c r="AS115" s="728">
        <f>(220/365)*AS1-AS104+(AS105*BC114)</f>
        <v>18.082191780821915</v>
      </c>
      <c r="AT115" s="638">
        <f>(220/365)*AT1-AT104+(AT105*BD114)</f>
        <v>18.684931506849313</v>
      </c>
      <c r="AU115" s="638">
        <f>(220/365)*AU1-AU104+(AU105*BE114)</f>
        <v>18.082191780821915</v>
      </c>
      <c r="AV115" s="716">
        <f>(220/365)*AV1-AV104+(AV105*BF114)</f>
        <v>18.684931506849313</v>
      </c>
      <c r="AW115" s="38"/>
      <c r="AX115" s="434">
        <f t="shared" si="233"/>
        <v>228.66900000000001</v>
      </c>
      <c r="AY115" s="31"/>
      <c r="AZ115" s="727">
        <f t="shared" si="234"/>
        <v>218.76806849315068</v>
      </c>
      <c r="BA115" s="31"/>
      <c r="BB115" s="680">
        <v>350000</v>
      </c>
      <c r="BC115" s="682">
        <f>BB115/(BB116)</f>
        <v>0.34653465346534651</v>
      </c>
    </row>
    <row r="116" spans="1:61" ht="15" thickBot="1">
      <c r="A116" s="330"/>
      <c r="B116" s="332" t="s">
        <v>3</v>
      </c>
      <c r="C116" s="5" t="s">
        <v>181</v>
      </c>
      <c r="D116" s="4" t="s">
        <v>3</v>
      </c>
      <c r="E116" s="55"/>
      <c r="F116" s="98"/>
      <c r="G116" s="55"/>
      <c r="H116" s="55"/>
      <c r="I116" s="55"/>
      <c r="J116" s="55"/>
      <c r="K116" s="55"/>
      <c r="L116" s="266"/>
      <c r="M116" s="266"/>
      <c r="N116" s="55"/>
      <c r="O116" s="98"/>
      <c r="P116" s="266"/>
      <c r="Q116" s="345"/>
      <c r="R116" s="55"/>
      <c r="S116" s="349"/>
      <c r="T116" s="429"/>
      <c r="U116" s="243"/>
      <c r="V116" s="243"/>
      <c r="W116" s="456"/>
      <c r="X116" s="493"/>
      <c r="Y116" s="529"/>
      <c r="Z116" s="98">
        <v>4.5</v>
      </c>
      <c r="AA116" s="98">
        <f>4+2.5+1</f>
        <v>7.5</v>
      </c>
      <c r="AB116" s="98">
        <f>7.2-7.2</f>
        <v>0</v>
      </c>
      <c r="AC116" s="604">
        <v>2</v>
      </c>
      <c r="AD116" s="223">
        <v>7.3249999999999993</v>
      </c>
      <c r="AE116" s="223"/>
      <c r="AF116" s="625"/>
      <c r="AG116" s="625">
        <f>5+3.4</f>
        <v>8.4</v>
      </c>
      <c r="AH116" s="636">
        <f>4+5.208</f>
        <v>9.2080000000000002</v>
      </c>
      <c r="AI116" s="784">
        <f>4.384+0.2-3.2</f>
        <v>1.3840000000000003</v>
      </c>
      <c r="AJ116" s="783">
        <v>0</v>
      </c>
      <c r="AK116" s="769">
        <f>29.76-AK115</f>
        <v>11.075068493150688</v>
      </c>
      <c r="AL116" s="769">
        <f>22.77-AL115</f>
        <v>5.8932876712328763</v>
      </c>
      <c r="AM116" s="712">
        <f>25.86-AM115-2</f>
        <v>5.1750684931506861</v>
      </c>
      <c r="AN116" s="712">
        <f>25.18-AN115-1</f>
        <v>6.0978082191780842</v>
      </c>
      <c r="AO116" s="712"/>
      <c r="AP116" s="725">
        <v>2.5</v>
      </c>
      <c r="AQ116" s="725">
        <v>2.5</v>
      </c>
      <c r="AR116" s="725">
        <f>25.724-AR115</f>
        <v>7.0390684931506868</v>
      </c>
      <c r="AS116" s="725">
        <v>6</v>
      </c>
      <c r="AT116" s="725">
        <v>6</v>
      </c>
      <c r="AU116" s="725">
        <v>5.5</v>
      </c>
      <c r="AV116" s="726">
        <v>6</v>
      </c>
      <c r="AW116" s="38"/>
      <c r="AX116" s="434">
        <f t="shared" si="233"/>
        <v>40.317</v>
      </c>
      <c r="AY116" s="31"/>
      <c r="AZ116" s="727">
        <f t="shared" si="234"/>
        <v>63.780301369863018</v>
      </c>
      <c r="BA116" s="31"/>
      <c r="BB116" s="683">
        <f>SUM(BB109:BB115)</f>
        <v>1010000</v>
      </c>
      <c r="BC116" s="684"/>
    </row>
    <row r="117" spans="1:61">
      <c r="A117" s="329" t="s">
        <v>9</v>
      </c>
      <c r="B117" s="333" t="s">
        <v>3</v>
      </c>
      <c r="C117" s="110" t="s">
        <v>50</v>
      </c>
      <c r="D117" s="111" t="s">
        <v>257</v>
      </c>
      <c r="E117" s="100"/>
      <c r="F117" s="100">
        <v>0.3</v>
      </c>
      <c r="G117" s="100">
        <v>0.6</v>
      </c>
      <c r="H117" s="100">
        <v>0.65355300000000005</v>
      </c>
      <c r="I117" s="100">
        <v>0.8</v>
      </c>
      <c r="J117" s="100">
        <v>0.64030200000000004</v>
      </c>
      <c r="K117" s="100">
        <v>0.60816493999999999</v>
      </c>
      <c r="L117" s="100">
        <v>0.60244565000000005</v>
      </c>
      <c r="M117" s="100">
        <v>0.8</v>
      </c>
      <c r="N117" s="100">
        <v>0.94</v>
      </c>
      <c r="O117" s="100">
        <v>0.65</v>
      </c>
      <c r="P117" s="246">
        <v>0.7</v>
      </c>
      <c r="Q117" s="100">
        <v>0.60859381000000001</v>
      </c>
      <c r="R117" s="100">
        <v>0.37617381999999999</v>
      </c>
      <c r="S117" s="246">
        <v>0.5</v>
      </c>
      <c r="T117" s="100">
        <v>0.27</v>
      </c>
      <c r="U117" s="246">
        <v>0.7</v>
      </c>
      <c r="V117" s="246">
        <v>0.65</v>
      </c>
      <c r="W117" s="100">
        <v>0.6</v>
      </c>
      <c r="X117" s="100">
        <v>0.6</v>
      </c>
      <c r="Y117" s="499">
        <v>0.6</v>
      </c>
      <c r="Z117" s="500">
        <v>0.6</v>
      </c>
      <c r="AA117" s="500">
        <v>0.6</v>
      </c>
      <c r="AB117" s="500">
        <v>0.6</v>
      </c>
      <c r="AC117" s="500">
        <v>0.6</v>
      </c>
      <c r="AD117" s="500">
        <v>0.85</v>
      </c>
      <c r="AE117" s="500">
        <v>0.5</v>
      </c>
      <c r="AF117" s="500">
        <f>0.6+0.08</f>
        <v>0.67999999999999994</v>
      </c>
      <c r="AG117" s="500">
        <f>0.55+0.18</f>
        <v>0.73</v>
      </c>
      <c r="AH117" s="500">
        <v>0.6</v>
      </c>
      <c r="AI117" s="500">
        <v>0.6</v>
      </c>
      <c r="AJ117" s="500">
        <v>0.65</v>
      </c>
      <c r="AK117" s="530">
        <v>0.5</v>
      </c>
      <c r="AL117" s="53">
        <v>0.5</v>
      </c>
      <c r="AM117" s="53">
        <v>0.5</v>
      </c>
      <c r="AN117" s="53">
        <v>0.5</v>
      </c>
      <c r="AO117" s="53">
        <v>0.5</v>
      </c>
      <c r="AP117" s="53">
        <v>0.5</v>
      </c>
      <c r="AQ117" s="53">
        <v>0.5</v>
      </c>
      <c r="AR117" s="53">
        <v>0.5</v>
      </c>
      <c r="AS117" s="53">
        <v>0.5</v>
      </c>
      <c r="AT117" s="53">
        <v>0.5</v>
      </c>
      <c r="AU117" s="53">
        <v>0.5</v>
      </c>
      <c r="AV117" s="53">
        <v>0.5</v>
      </c>
      <c r="AW117" s="38"/>
      <c r="AX117" s="434">
        <f>SUM(Y117:AJ117)</f>
        <v>7.6099999999999994</v>
      </c>
      <c r="AY117" s="31"/>
      <c r="AZ117" s="31"/>
      <c r="BA117" s="31"/>
    </row>
    <row r="118" spans="1:61">
      <c r="A118" s="330"/>
      <c r="B118" s="333" t="s">
        <v>3</v>
      </c>
      <c r="C118" s="261" t="s">
        <v>85</v>
      </c>
      <c r="D118" s="111" t="s">
        <v>257</v>
      </c>
      <c r="E118" s="100"/>
      <c r="F118" s="100"/>
      <c r="G118" s="100"/>
      <c r="H118" s="100"/>
      <c r="I118" s="100"/>
      <c r="J118" s="100"/>
      <c r="K118" s="100"/>
      <c r="L118" s="100">
        <v>0.5</v>
      </c>
      <c r="M118" s="100">
        <v>0.5</v>
      </c>
      <c r="N118" s="100">
        <v>0.62</v>
      </c>
      <c r="O118" s="100">
        <v>0.65</v>
      </c>
      <c r="P118" s="339">
        <v>0.75</v>
      </c>
      <c r="Q118" s="100">
        <v>0.75</v>
      </c>
      <c r="R118" s="100">
        <v>0.75</v>
      </c>
      <c r="S118" s="246">
        <v>0.9</v>
      </c>
      <c r="T118" s="100">
        <v>0.75</v>
      </c>
      <c r="U118" s="246">
        <v>0.75</v>
      </c>
      <c r="V118" s="100">
        <v>0.8</v>
      </c>
      <c r="W118" s="100">
        <v>0.8</v>
      </c>
      <c r="X118" s="100">
        <v>0.6</v>
      </c>
      <c r="Y118" s="436">
        <v>0.8</v>
      </c>
      <c r="Z118" s="100">
        <v>0.7</v>
      </c>
      <c r="AA118" s="100">
        <v>0.75</v>
      </c>
      <c r="AB118" s="100">
        <v>0.6</v>
      </c>
      <c r="AC118" s="246">
        <v>0.85</v>
      </c>
      <c r="AD118" s="100">
        <v>0.62</v>
      </c>
      <c r="AE118" s="246">
        <f>0.6+0.16</f>
        <v>0.76</v>
      </c>
      <c r="AF118" s="100">
        <v>0.65</v>
      </c>
      <c r="AG118" s="100">
        <v>0.5</v>
      </c>
      <c r="AH118" s="100">
        <v>0.45</v>
      </c>
      <c r="AI118" s="100">
        <v>0.9</v>
      </c>
      <c r="AJ118" s="100">
        <v>0.9</v>
      </c>
      <c r="AK118" s="436">
        <v>0.91</v>
      </c>
      <c r="AL118" s="100">
        <v>0.88</v>
      </c>
      <c r="AM118" s="100">
        <v>0.4</v>
      </c>
      <c r="AN118" s="100">
        <v>0.45</v>
      </c>
      <c r="AO118" s="100">
        <v>0.45</v>
      </c>
      <c r="AP118" s="100">
        <v>0.4</v>
      </c>
      <c r="AQ118" s="100">
        <v>0.6</v>
      </c>
      <c r="AR118" s="100">
        <v>0.6</v>
      </c>
      <c r="AS118" s="100">
        <v>0.6</v>
      </c>
      <c r="AT118" s="100">
        <v>0.6</v>
      </c>
      <c r="AU118" s="100">
        <v>0.6</v>
      </c>
      <c r="AV118" s="100">
        <v>0.6</v>
      </c>
      <c r="AW118" s="38"/>
      <c r="AX118" s="31"/>
      <c r="AY118" s="74"/>
      <c r="AZ118" s="668"/>
      <c r="BA118" s="31"/>
    </row>
    <row r="119" spans="1:61">
      <c r="A119" s="327"/>
      <c r="B119" s="332" t="s">
        <v>3</v>
      </c>
      <c r="C119" s="7" t="s">
        <v>20</v>
      </c>
      <c r="D119" s="26" t="s">
        <v>152</v>
      </c>
      <c r="E119" s="112">
        <v>64.069999999999993</v>
      </c>
      <c r="F119" s="120">
        <f>66.43791165-3</f>
        <v>63.437911650000004</v>
      </c>
      <c r="G119" s="215">
        <f>67.84931687-2</f>
        <v>65.849316869999996</v>
      </c>
      <c r="H119" s="112">
        <v>62.71</v>
      </c>
      <c r="I119" s="112">
        <v>69.459999999999994</v>
      </c>
      <c r="J119" s="112">
        <v>74.149546740000005</v>
      </c>
      <c r="K119" s="255">
        <v>64.84</v>
      </c>
      <c r="L119" s="255">
        <v>73.87</v>
      </c>
      <c r="M119" s="255">
        <v>70.308482029999993</v>
      </c>
      <c r="N119" s="255">
        <f>66.30012878+1.27-2</f>
        <v>65.57012877999999</v>
      </c>
      <c r="O119" s="120">
        <v>67.39</v>
      </c>
      <c r="P119" s="351">
        <v>52.08</v>
      </c>
      <c r="Q119" s="120">
        <v>47.18</v>
      </c>
      <c r="R119" s="120">
        <v>52.57</v>
      </c>
      <c r="S119" s="120">
        <v>56.54</v>
      </c>
      <c r="T119" s="120">
        <v>59.6</v>
      </c>
      <c r="U119" s="120">
        <v>57.42</v>
      </c>
      <c r="V119" s="120">
        <f>62.54</f>
        <v>62.54</v>
      </c>
      <c r="W119" s="255">
        <v>59.382407709999995</v>
      </c>
      <c r="X119" s="120">
        <v>56.1</v>
      </c>
      <c r="Y119" s="464">
        <f>51.21+3</f>
        <v>54.21</v>
      </c>
      <c r="Z119" s="98">
        <f>52.25</f>
        <v>52.25</v>
      </c>
      <c r="AA119" s="98">
        <v>56.88</v>
      </c>
      <c r="AB119" s="98">
        <v>48.78</v>
      </c>
      <c r="AC119" s="98">
        <v>51.8</v>
      </c>
      <c r="AD119" s="223">
        <f>49.86+0.76+0.62</f>
        <v>51.239999999999995</v>
      </c>
      <c r="AE119" s="98">
        <f>53.06+1.4-1.08-2.5+3.43</f>
        <v>54.31</v>
      </c>
      <c r="AF119" s="223">
        <f>51.73-1.56</f>
        <v>50.169999999999995</v>
      </c>
      <c r="AG119" s="223">
        <f>53.74-2.92</f>
        <v>50.82</v>
      </c>
      <c r="AH119" s="98">
        <f>50.45+2.33-0.12</f>
        <v>52.660000000000004</v>
      </c>
      <c r="AI119" s="98">
        <v>53.8</v>
      </c>
      <c r="AJ119" s="223">
        <v>56.197444320000002</v>
      </c>
      <c r="AK119" s="531">
        <v>63.850714359999998</v>
      </c>
      <c r="AL119" s="241">
        <v>61.617314239999999</v>
      </c>
      <c r="AM119" s="241">
        <v>60.290979539999995</v>
      </c>
      <c r="AN119" s="241">
        <v>57.802225450000009</v>
      </c>
      <c r="AO119" s="241">
        <v>59.217310670000003</v>
      </c>
      <c r="AP119" s="241">
        <v>60.470735329999997</v>
      </c>
      <c r="AQ119" s="241">
        <v>60.911559339999997</v>
      </c>
      <c r="AR119" s="241">
        <v>60.989999999999995</v>
      </c>
      <c r="AS119" s="241">
        <v>63.319999999999993</v>
      </c>
      <c r="AT119" s="241">
        <v>64.187326659999997</v>
      </c>
      <c r="AU119" s="241">
        <v>61.184418080000007</v>
      </c>
      <c r="AV119" s="241">
        <v>61.18</v>
      </c>
      <c r="AW119" s="38"/>
      <c r="AX119" s="622">
        <f>AF116*1000</f>
        <v>0</v>
      </c>
      <c r="AY119" s="31"/>
      <c r="AZ119" s="727">
        <f t="shared" ref="AZ119" si="235">SUM(AK119:AV119)</f>
        <v>735.0225836699999</v>
      </c>
      <c r="BA119" s="31"/>
      <c r="BB119" s="31"/>
      <c r="BC119" s="31"/>
      <c r="BD119" s="31"/>
      <c r="BE119" s="31"/>
      <c r="BF119" s="31"/>
      <c r="BG119" s="31"/>
      <c r="BH119" s="31"/>
      <c r="BI119" s="31"/>
    </row>
    <row r="120" spans="1:61">
      <c r="A120" s="327"/>
      <c r="B120" s="332" t="s">
        <v>3</v>
      </c>
      <c r="C120" s="7" t="s">
        <v>20</v>
      </c>
      <c r="D120" s="22" t="s">
        <v>21</v>
      </c>
      <c r="E120" s="50">
        <v>70.61</v>
      </c>
      <c r="F120" s="50">
        <v>67.131</v>
      </c>
      <c r="G120" s="50">
        <v>68.07940004999999</v>
      </c>
      <c r="H120" s="50">
        <f>67.46768497-1.17</f>
        <v>66.297684969999992</v>
      </c>
      <c r="I120" s="50">
        <v>68.81</v>
      </c>
      <c r="J120" s="50">
        <v>68.09418556</v>
      </c>
      <c r="K120" s="50">
        <v>70.55</v>
      </c>
      <c r="L120" s="50">
        <v>67.655677449999999</v>
      </c>
      <c r="M120" s="50">
        <v>67.334808789999997</v>
      </c>
      <c r="N120" s="50">
        <v>64.025330750000009</v>
      </c>
      <c r="O120" s="120">
        <v>61.08</v>
      </c>
      <c r="P120" s="120">
        <v>50.41</v>
      </c>
      <c r="Q120" s="120">
        <v>54.68</v>
      </c>
      <c r="R120" s="120">
        <v>53.87</v>
      </c>
      <c r="S120" s="120">
        <v>60.69</v>
      </c>
      <c r="T120" s="120">
        <v>61.18</v>
      </c>
      <c r="U120" s="120">
        <v>60.42</v>
      </c>
      <c r="V120" s="50">
        <v>61.37</v>
      </c>
      <c r="W120" s="120">
        <v>60.32</v>
      </c>
      <c r="X120" s="120">
        <v>64.62</v>
      </c>
      <c r="Y120" s="464">
        <v>61.92</v>
      </c>
      <c r="Z120" s="55">
        <v>56.777439450000003</v>
      </c>
      <c r="AA120" s="98">
        <v>62.23</v>
      </c>
      <c r="AB120" s="98">
        <v>53.05</v>
      </c>
      <c r="AC120" s="98">
        <v>53.03</v>
      </c>
      <c r="AD120" s="223">
        <f>53.29-0.05+1.46-0.62</f>
        <v>54.080000000000005</v>
      </c>
      <c r="AE120" s="98">
        <f>52.94-0.95-0.18+1.15+1</f>
        <v>53.959999999999994</v>
      </c>
      <c r="AF120" s="223">
        <f>53.53-1.47</f>
        <v>52.06</v>
      </c>
      <c r="AG120" s="55">
        <f>52.31-0.18</f>
        <v>52.13</v>
      </c>
      <c r="AH120" s="98">
        <f>51.24-0.8+0.279+4.11+0.27</f>
        <v>55.099000000000011</v>
      </c>
      <c r="AI120" s="98">
        <v>53.53</v>
      </c>
      <c r="AJ120" s="55">
        <v>54.742669990000003</v>
      </c>
      <c r="AK120" s="54">
        <v>57.149695229999999</v>
      </c>
      <c r="AL120" s="55">
        <v>52.046293659999996</v>
      </c>
      <c r="AM120" s="55">
        <v>53.668959759999993</v>
      </c>
      <c r="AN120" s="55">
        <v>52.264837319999998</v>
      </c>
      <c r="AO120" s="55">
        <v>53.813492189999991</v>
      </c>
      <c r="AP120" s="55">
        <v>52.008330149999992</v>
      </c>
      <c r="AQ120" s="55">
        <v>53.470047659999992</v>
      </c>
      <c r="AR120" s="55">
        <v>54.12</v>
      </c>
      <c r="AS120" s="55">
        <v>53.319999999999993</v>
      </c>
      <c r="AT120" s="55">
        <v>54.723862669999995</v>
      </c>
      <c r="AU120" s="55">
        <v>53.862929569999999</v>
      </c>
      <c r="AV120" s="55">
        <v>53.86</v>
      </c>
      <c r="AW120" s="38"/>
      <c r="AX120" s="74"/>
      <c r="AY120" s="31"/>
      <c r="AZ120" s="31"/>
      <c r="BA120" s="31"/>
      <c r="BB120" s="31"/>
      <c r="BC120" s="31"/>
      <c r="BD120" s="31"/>
      <c r="BE120" s="31"/>
      <c r="BF120" s="31"/>
      <c r="BG120" s="31"/>
      <c r="BH120" s="31"/>
      <c r="BI120" s="31"/>
    </row>
    <row r="121" spans="1:61">
      <c r="A121" s="327"/>
      <c r="B121" s="334" t="s">
        <v>3</v>
      </c>
      <c r="C121" s="8" t="s">
        <v>20</v>
      </c>
      <c r="D121" s="23" t="s">
        <v>19</v>
      </c>
      <c r="E121" s="50"/>
      <c r="F121" s="120"/>
      <c r="G121" s="50"/>
      <c r="H121" s="50">
        <v>2</v>
      </c>
      <c r="I121" s="50"/>
      <c r="J121" s="50"/>
      <c r="K121" s="242">
        <v>13.6</v>
      </c>
      <c r="L121" s="50"/>
      <c r="M121" s="50">
        <v>0.41</v>
      </c>
      <c r="N121" s="50">
        <v>1.27</v>
      </c>
      <c r="O121" s="50">
        <v>3.8000000000000003</v>
      </c>
      <c r="P121" s="50">
        <v>1.2</v>
      </c>
      <c r="Q121" s="50">
        <v>1.55</v>
      </c>
      <c r="R121" s="120">
        <v>4.0999999999999996</v>
      </c>
      <c r="S121" s="120">
        <v>7.4</v>
      </c>
      <c r="T121" s="120">
        <v>14.3</v>
      </c>
      <c r="U121" s="120">
        <v>12</v>
      </c>
      <c r="V121" s="120">
        <f>10.3-0.7</f>
        <v>9.6000000000000014</v>
      </c>
      <c r="W121" s="120">
        <v>13</v>
      </c>
      <c r="X121" s="120">
        <v>11.47</v>
      </c>
      <c r="Y121" s="464">
        <v>4.5</v>
      </c>
      <c r="Z121" s="98">
        <v>6.4</v>
      </c>
      <c r="AA121" s="98">
        <v>19.46</v>
      </c>
      <c r="AB121" s="98">
        <v>15.950000000000001</v>
      </c>
      <c r="AC121" s="55">
        <v>17</v>
      </c>
      <c r="AD121" s="223">
        <f>16+2+1.5</f>
        <v>19.5</v>
      </c>
      <c r="AE121" s="55">
        <v>21.6</v>
      </c>
      <c r="AF121" s="223">
        <f>18+1.6</f>
        <v>19.600000000000001</v>
      </c>
      <c r="AG121" s="55">
        <f>20.6-1.5-0.1</f>
        <v>19</v>
      </c>
      <c r="AH121" s="98">
        <f>18-1.95-1-0.27</f>
        <v>14.780000000000001</v>
      </c>
      <c r="AI121" s="98">
        <f>18.5-2.5-1.5-0.2</f>
        <v>14.3</v>
      </c>
      <c r="AJ121" s="55">
        <v>20</v>
      </c>
      <c r="AK121" s="54">
        <v>15</v>
      </c>
      <c r="AL121" s="55">
        <v>15</v>
      </c>
      <c r="AM121" s="55">
        <v>15</v>
      </c>
      <c r="AN121" s="55">
        <v>20.7</v>
      </c>
      <c r="AO121" s="55">
        <v>15</v>
      </c>
      <c r="AP121" s="55">
        <v>15</v>
      </c>
      <c r="AQ121" s="55">
        <v>25.06</v>
      </c>
      <c r="AR121" s="55">
        <v>23.8</v>
      </c>
      <c r="AS121" s="55">
        <v>25.7</v>
      </c>
      <c r="AT121" s="55">
        <v>26.67</v>
      </c>
      <c r="AU121" s="55">
        <v>26.68</v>
      </c>
      <c r="AV121" s="55">
        <v>26.68</v>
      </c>
      <c r="AW121" s="38"/>
      <c r="AX121" s="74"/>
      <c r="AY121" s="31"/>
      <c r="AZ121" s="727">
        <f t="shared" ref="AZ121" si="236">SUM(AK121:AV121)</f>
        <v>250.29000000000002</v>
      </c>
      <c r="BA121" s="31"/>
      <c r="BB121" s="31"/>
      <c r="BC121" s="31"/>
      <c r="BD121" s="31"/>
      <c r="BE121" s="31"/>
      <c r="BF121" s="31"/>
      <c r="BG121" s="31"/>
      <c r="BH121" s="31"/>
      <c r="BI121" s="31"/>
    </row>
    <row r="122" spans="1:61">
      <c r="A122" s="327"/>
      <c r="B122" s="334" t="s">
        <v>3</v>
      </c>
      <c r="C122" s="8" t="s">
        <v>20</v>
      </c>
      <c r="D122" s="23" t="s">
        <v>22</v>
      </c>
      <c r="E122" s="50"/>
      <c r="F122" s="120"/>
      <c r="G122" s="50"/>
      <c r="H122" s="50"/>
      <c r="I122" s="50"/>
      <c r="J122" s="50"/>
      <c r="K122" s="242"/>
      <c r="L122" s="50"/>
      <c r="M122" s="50"/>
      <c r="N122" s="50"/>
      <c r="O122" s="50"/>
      <c r="P122" s="50"/>
      <c r="Q122" s="50"/>
      <c r="R122" s="120"/>
      <c r="S122" s="120"/>
      <c r="T122" s="120"/>
      <c r="U122" s="50">
        <v>0.3</v>
      </c>
      <c r="V122" s="120">
        <v>0.6</v>
      </c>
      <c r="W122" s="50">
        <v>0.6</v>
      </c>
      <c r="X122" s="50">
        <v>0.6</v>
      </c>
      <c r="Y122" s="464">
        <v>0.25</v>
      </c>
      <c r="Z122" s="98">
        <v>0.4</v>
      </c>
      <c r="AA122" s="98">
        <v>0.5</v>
      </c>
      <c r="AB122" s="98">
        <v>0.5</v>
      </c>
      <c r="AC122" s="98">
        <v>0.4</v>
      </c>
      <c r="AD122" s="55">
        <f>0.4+0.15</f>
        <v>0.55000000000000004</v>
      </c>
      <c r="AE122" s="98">
        <f>0.5-0.05</f>
        <v>0.45</v>
      </c>
      <c r="AF122" s="223">
        <v>0.5</v>
      </c>
      <c r="AG122" s="55">
        <f>0.5+0.1+0.05</f>
        <v>0.65</v>
      </c>
      <c r="AH122" s="55">
        <v>0.5</v>
      </c>
      <c r="AI122" s="98">
        <v>0.85</v>
      </c>
      <c r="AJ122" s="55">
        <v>0.8</v>
      </c>
      <c r="AK122" s="435">
        <v>0.8</v>
      </c>
      <c r="AL122" s="72">
        <v>0.75</v>
      </c>
      <c r="AM122" s="72">
        <v>0.7</v>
      </c>
      <c r="AN122" s="72">
        <v>0.7</v>
      </c>
      <c r="AO122" s="72">
        <v>0.7</v>
      </c>
      <c r="AP122" s="72">
        <v>0.7</v>
      </c>
      <c r="AQ122" s="72">
        <v>0.7</v>
      </c>
      <c r="AR122" s="72">
        <v>0.7</v>
      </c>
      <c r="AS122" s="72">
        <v>0.7</v>
      </c>
      <c r="AT122" s="72">
        <v>0.7</v>
      </c>
      <c r="AU122" s="72">
        <v>0.7</v>
      </c>
      <c r="AV122" s="72">
        <v>0.7</v>
      </c>
      <c r="AW122" s="38"/>
      <c r="AX122" s="31"/>
      <c r="AY122" s="31"/>
      <c r="AZ122" s="31"/>
      <c r="BA122" s="31"/>
      <c r="BB122" s="31"/>
      <c r="BC122" s="31"/>
      <c r="BD122" s="31"/>
      <c r="BE122" s="31"/>
      <c r="BF122" s="31"/>
      <c r="BG122" s="31"/>
      <c r="BH122" s="31"/>
      <c r="BI122" s="31"/>
    </row>
    <row r="123" spans="1:61">
      <c r="A123" s="327"/>
      <c r="B123" s="335" t="s">
        <v>3</v>
      </c>
      <c r="C123" s="9" t="s">
        <v>15</v>
      </c>
      <c r="D123" s="24" t="s">
        <v>14</v>
      </c>
      <c r="E123" s="71">
        <v>22</v>
      </c>
      <c r="F123" s="71">
        <v>22</v>
      </c>
      <c r="G123" s="71">
        <v>32</v>
      </c>
      <c r="H123" s="71">
        <v>32</v>
      </c>
      <c r="I123" s="232">
        <v>33.28</v>
      </c>
      <c r="J123" s="241">
        <v>33.6</v>
      </c>
      <c r="K123" s="241">
        <v>33.6</v>
      </c>
      <c r="L123" s="241">
        <v>33.6</v>
      </c>
      <c r="M123" s="241">
        <v>32</v>
      </c>
      <c r="N123" s="241">
        <v>32</v>
      </c>
      <c r="O123" s="320">
        <v>22</v>
      </c>
      <c r="P123" s="320">
        <v>20</v>
      </c>
      <c r="Q123" s="241">
        <v>20</v>
      </c>
      <c r="R123" s="320">
        <v>23</v>
      </c>
      <c r="S123" s="320">
        <v>27</v>
      </c>
      <c r="T123" s="320">
        <v>26</v>
      </c>
      <c r="U123" s="241">
        <v>26</v>
      </c>
      <c r="V123" s="241">
        <v>26</v>
      </c>
      <c r="W123" s="320">
        <v>25</v>
      </c>
      <c r="X123" s="320">
        <v>26</v>
      </c>
      <c r="Y123" s="440">
        <v>25</v>
      </c>
      <c r="Z123" s="320">
        <f>25-0.6</f>
        <v>24.4</v>
      </c>
      <c r="AA123" s="241">
        <v>26</v>
      </c>
      <c r="AB123" s="320">
        <v>23.5</v>
      </c>
      <c r="AC123" s="320">
        <v>22</v>
      </c>
      <c r="AD123" s="320">
        <f>13+0.5</f>
        <v>13.5</v>
      </c>
      <c r="AE123" s="241">
        <v>13</v>
      </c>
      <c r="AF123" s="241">
        <v>12</v>
      </c>
      <c r="AG123" s="241">
        <v>12</v>
      </c>
      <c r="AH123" s="241">
        <f>13</f>
        <v>13</v>
      </c>
      <c r="AI123" s="320">
        <v>13</v>
      </c>
      <c r="AJ123" s="241">
        <v>14</v>
      </c>
      <c r="AK123" s="437">
        <v>14</v>
      </c>
      <c r="AL123" s="223">
        <v>11.5</v>
      </c>
      <c r="AM123" s="223">
        <v>14</v>
      </c>
      <c r="AN123" s="223">
        <v>14</v>
      </c>
      <c r="AO123" s="223">
        <v>14</v>
      </c>
      <c r="AP123" s="223">
        <v>14</v>
      </c>
      <c r="AQ123" s="223">
        <v>14</v>
      </c>
      <c r="AR123" s="223">
        <v>14</v>
      </c>
      <c r="AS123" s="223">
        <v>14</v>
      </c>
      <c r="AT123" s="223">
        <v>14</v>
      </c>
      <c r="AU123" s="223">
        <v>14</v>
      </c>
      <c r="AV123" s="223">
        <v>14</v>
      </c>
      <c r="AW123" s="38"/>
      <c r="AX123" s="434">
        <f>SUM(Y123:AJ123)</f>
        <v>211.4</v>
      </c>
      <c r="AY123" s="31"/>
      <c r="AZ123" s="727">
        <f t="shared" ref="AZ123:AZ124" si="237">SUM(AK123:AV123)</f>
        <v>165.5</v>
      </c>
      <c r="BA123" s="31"/>
      <c r="BB123" s="31"/>
      <c r="BC123" s="31"/>
      <c r="BD123" s="31"/>
      <c r="BE123" s="31"/>
      <c r="BF123" s="31"/>
      <c r="BG123" s="31"/>
      <c r="BH123" s="31"/>
      <c r="BI123" s="31"/>
    </row>
    <row r="124" spans="1:61">
      <c r="A124" s="327"/>
      <c r="B124" s="334" t="s">
        <v>3</v>
      </c>
      <c r="C124" s="10" t="s">
        <v>16</v>
      </c>
      <c r="D124" s="25" t="s">
        <v>14</v>
      </c>
      <c r="E124" s="72">
        <v>0</v>
      </c>
      <c r="F124" s="72">
        <v>14</v>
      </c>
      <c r="G124" s="72">
        <v>20</v>
      </c>
      <c r="H124" s="72">
        <v>14</v>
      </c>
      <c r="I124" s="233">
        <v>12.48</v>
      </c>
      <c r="J124" s="123">
        <v>12.6</v>
      </c>
      <c r="K124" s="123">
        <v>12.6</v>
      </c>
      <c r="L124" s="123">
        <v>12.6</v>
      </c>
      <c r="M124" s="123">
        <v>12</v>
      </c>
      <c r="N124" s="123">
        <v>12</v>
      </c>
      <c r="O124" s="118">
        <v>11</v>
      </c>
      <c r="P124" s="118">
        <v>10</v>
      </c>
      <c r="Q124" s="123">
        <v>11</v>
      </c>
      <c r="R124" s="118">
        <v>12</v>
      </c>
      <c r="S124" s="118">
        <v>12</v>
      </c>
      <c r="T124" s="118">
        <v>14</v>
      </c>
      <c r="U124" s="118">
        <v>15</v>
      </c>
      <c r="V124" s="123">
        <v>17</v>
      </c>
      <c r="W124" s="118">
        <v>16</v>
      </c>
      <c r="X124" s="118">
        <v>16</v>
      </c>
      <c r="Y124" s="118">
        <v>15</v>
      </c>
      <c r="Z124" s="118">
        <v>15</v>
      </c>
      <c r="AA124" s="123">
        <v>17</v>
      </c>
      <c r="AB124" s="118">
        <v>12.5</v>
      </c>
      <c r="AC124" s="118">
        <v>14</v>
      </c>
      <c r="AD124" s="118">
        <f>23-0.5</f>
        <v>22.5</v>
      </c>
      <c r="AE124" s="123">
        <v>24</v>
      </c>
      <c r="AF124" s="123">
        <v>24</v>
      </c>
      <c r="AG124" s="123">
        <v>24</v>
      </c>
      <c r="AH124" s="123">
        <v>24</v>
      </c>
      <c r="AI124" s="118">
        <v>26</v>
      </c>
      <c r="AJ124" s="123">
        <v>29</v>
      </c>
      <c r="AK124" s="437">
        <v>30</v>
      </c>
      <c r="AL124" s="223">
        <v>25.5</v>
      </c>
      <c r="AM124" s="223">
        <v>30</v>
      </c>
      <c r="AN124" s="223">
        <v>30</v>
      </c>
      <c r="AO124" s="223">
        <v>30</v>
      </c>
      <c r="AP124" s="223">
        <v>30</v>
      </c>
      <c r="AQ124" s="223">
        <v>30</v>
      </c>
      <c r="AR124" s="223">
        <v>30</v>
      </c>
      <c r="AS124" s="223">
        <v>30</v>
      </c>
      <c r="AT124" s="223">
        <v>30</v>
      </c>
      <c r="AU124" s="223">
        <v>30</v>
      </c>
      <c r="AV124" s="223">
        <v>30</v>
      </c>
      <c r="AW124" s="38"/>
      <c r="AX124" s="434">
        <f>SUM(Y124:AJ124)</f>
        <v>247</v>
      </c>
      <c r="AY124" s="31"/>
      <c r="AZ124" s="727">
        <f t="shared" si="237"/>
        <v>355.5</v>
      </c>
      <c r="BA124" s="31"/>
      <c r="BB124" s="31"/>
      <c r="BC124" s="31"/>
      <c r="BD124" s="31"/>
      <c r="BE124" s="31"/>
      <c r="BF124" s="31"/>
      <c r="BG124" s="31"/>
      <c r="BH124" s="31"/>
      <c r="BI124" s="31"/>
    </row>
    <row r="125" spans="1:61">
      <c r="A125" s="327"/>
      <c r="B125" s="335" t="s">
        <v>3</v>
      </c>
      <c r="C125" s="11" t="s">
        <v>17</v>
      </c>
      <c r="D125" s="24" t="s">
        <v>14</v>
      </c>
      <c r="E125" s="71"/>
      <c r="F125" s="71"/>
      <c r="G125" s="71"/>
      <c r="H125" s="71"/>
      <c r="I125" s="71"/>
      <c r="J125" s="71"/>
      <c r="K125" s="71"/>
      <c r="L125" s="71"/>
      <c r="M125" s="71"/>
      <c r="N125" s="71"/>
      <c r="O125" s="71"/>
      <c r="P125" s="71"/>
      <c r="Q125" s="71"/>
      <c r="R125" s="71"/>
      <c r="S125" s="241"/>
      <c r="T125" s="71"/>
      <c r="U125" s="71"/>
      <c r="V125" s="71"/>
      <c r="W125" s="71"/>
      <c r="X125" s="467"/>
      <c r="Y125" s="439"/>
      <c r="Z125" s="71"/>
      <c r="AA125" s="71"/>
      <c r="AB125" s="71"/>
      <c r="AC125" s="71"/>
      <c r="AD125" s="71"/>
      <c r="AE125" s="71"/>
      <c r="AF125" s="71"/>
      <c r="AG125" s="71"/>
      <c r="AH125" s="71"/>
      <c r="AI125" s="71"/>
      <c r="AJ125" s="71"/>
      <c r="AK125" s="439"/>
      <c r="AL125" s="71"/>
      <c r="AM125" s="71"/>
      <c r="AN125" s="71"/>
      <c r="AO125" s="71"/>
      <c r="AP125" s="71"/>
      <c r="AQ125" s="71"/>
      <c r="AR125" s="71"/>
      <c r="AS125" s="71"/>
      <c r="AT125" s="71"/>
      <c r="AU125" s="71"/>
      <c r="AV125" s="743"/>
      <c r="AW125" s="38"/>
      <c r="AX125" s="31"/>
      <c r="AY125" s="31"/>
      <c r="AZ125" s="31"/>
      <c r="BA125" s="31"/>
      <c r="BB125" s="31"/>
      <c r="BC125" s="31"/>
      <c r="BD125" s="31"/>
      <c r="BE125" s="31"/>
      <c r="BF125" s="31"/>
      <c r="BG125" s="31"/>
      <c r="BH125" s="31"/>
      <c r="BI125" s="31"/>
    </row>
    <row r="126" spans="1:61">
      <c r="A126" s="327"/>
      <c r="B126" s="334" t="s">
        <v>3</v>
      </c>
      <c r="C126" s="12" t="s">
        <v>17</v>
      </c>
      <c r="D126" s="23" t="s">
        <v>19</v>
      </c>
      <c r="E126" s="72"/>
      <c r="F126" s="72"/>
      <c r="G126" s="118"/>
      <c r="H126" s="72"/>
      <c r="I126" s="72"/>
      <c r="J126" s="72"/>
      <c r="K126" s="72"/>
      <c r="L126" s="72"/>
      <c r="M126" s="72"/>
      <c r="N126" s="72"/>
      <c r="O126" s="72"/>
      <c r="P126" s="72"/>
      <c r="Q126" s="72"/>
      <c r="R126" s="72"/>
      <c r="S126" s="72"/>
      <c r="T126" s="72"/>
      <c r="U126" s="72"/>
      <c r="V126" s="72"/>
      <c r="W126" s="72"/>
      <c r="X126" s="72">
        <v>0</v>
      </c>
      <c r="Y126" s="435">
        <v>0</v>
      </c>
      <c r="Z126" s="72"/>
      <c r="AA126" s="72"/>
      <c r="AB126" s="72">
        <v>0</v>
      </c>
      <c r="AC126" s="72">
        <v>0</v>
      </c>
      <c r="AD126" s="72">
        <v>0</v>
      </c>
      <c r="AE126" s="72">
        <v>0</v>
      </c>
      <c r="AF126" s="72">
        <v>0</v>
      </c>
      <c r="AG126" s="72"/>
      <c r="AH126" s="72">
        <v>0</v>
      </c>
      <c r="AI126" s="72">
        <v>0</v>
      </c>
      <c r="AJ126" s="72"/>
      <c r="AK126" s="435"/>
      <c r="AL126" s="72"/>
      <c r="AM126" s="72"/>
      <c r="AN126" s="72"/>
      <c r="AO126" s="72"/>
      <c r="AP126" s="72"/>
      <c r="AQ126" s="72"/>
      <c r="AR126" s="72"/>
      <c r="AS126" s="72"/>
      <c r="AT126" s="72"/>
      <c r="AU126" s="72"/>
      <c r="AV126" s="744">
        <v>0</v>
      </c>
      <c r="AW126" s="38"/>
      <c r="AX126" s="624"/>
      <c r="AY126" s="31"/>
      <c r="AZ126" s="31"/>
      <c r="BA126" s="31"/>
      <c r="BB126" s="31"/>
      <c r="BC126" s="31"/>
      <c r="BD126" s="31"/>
      <c r="BE126" s="31"/>
      <c r="BF126" s="31"/>
      <c r="BG126" s="31"/>
      <c r="BH126" s="31"/>
      <c r="BI126" s="31"/>
    </row>
    <row r="127" spans="1:61">
      <c r="A127" s="327"/>
      <c r="B127" s="335" t="s">
        <v>3</v>
      </c>
      <c r="C127" s="13" t="s">
        <v>18</v>
      </c>
      <c r="D127" s="24" t="s">
        <v>14</v>
      </c>
      <c r="E127" s="50"/>
      <c r="F127" s="50"/>
      <c r="G127" s="50"/>
      <c r="H127" s="50"/>
      <c r="I127" s="50"/>
      <c r="J127" s="50"/>
      <c r="K127" s="50"/>
      <c r="L127" s="50"/>
      <c r="M127" s="50"/>
      <c r="N127" s="50"/>
      <c r="O127" s="50"/>
      <c r="P127" s="50"/>
      <c r="Q127" s="50"/>
      <c r="R127" s="50"/>
      <c r="S127" s="50"/>
      <c r="T127" s="50"/>
      <c r="U127" s="50"/>
      <c r="V127" s="50"/>
      <c r="W127" s="50"/>
      <c r="X127" s="50"/>
      <c r="Y127" s="54"/>
      <c r="Z127" s="55"/>
      <c r="AA127" s="55"/>
      <c r="AB127" s="55"/>
      <c r="AC127" s="55"/>
      <c r="AD127" s="55"/>
      <c r="AE127" s="55"/>
      <c r="AF127" s="55"/>
      <c r="AG127" s="55"/>
      <c r="AH127" s="55"/>
      <c r="AI127" s="55"/>
      <c r="AJ127" s="55"/>
      <c r="AK127" s="439"/>
      <c r="AL127" s="71"/>
      <c r="AM127" s="71"/>
      <c r="AN127" s="71"/>
      <c r="AO127" s="71"/>
      <c r="AP127" s="71"/>
      <c r="AQ127" s="71"/>
      <c r="AR127" s="71"/>
      <c r="AS127" s="71"/>
      <c r="AT127" s="71"/>
      <c r="AU127" s="71"/>
      <c r="AV127" s="743"/>
      <c r="AW127" s="38"/>
      <c r="AX127" s="31"/>
      <c r="AY127" s="31"/>
      <c r="AZ127" s="31"/>
      <c r="BA127" s="31"/>
      <c r="BB127" s="31"/>
      <c r="BC127" s="31"/>
      <c r="BD127" s="31"/>
      <c r="BE127" s="31"/>
      <c r="BF127" s="31"/>
      <c r="BG127" s="31"/>
      <c r="BH127" s="31"/>
      <c r="BI127" s="31"/>
    </row>
    <row r="128" spans="1:61">
      <c r="A128" s="327"/>
      <c r="B128" s="332" t="s">
        <v>3</v>
      </c>
      <c r="C128" s="443" t="s">
        <v>18</v>
      </c>
      <c r="D128" s="27" t="s">
        <v>19</v>
      </c>
      <c r="E128" s="50"/>
      <c r="F128" s="50"/>
      <c r="G128" s="50"/>
      <c r="H128" s="50"/>
      <c r="I128" s="50"/>
      <c r="J128" s="50"/>
      <c r="K128" s="50"/>
      <c r="L128" s="50"/>
      <c r="M128" s="50"/>
      <c r="N128" s="50"/>
      <c r="O128" s="50"/>
      <c r="P128" s="50"/>
      <c r="Q128" s="50"/>
      <c r="R128" s="50"/>
      <c r="S128" s="50"/>
      <c r="T128" s="50"/>
      <c r="U128" s="50"/>
      <c r="V128" s="50"/>
      <c r="W128" s="50"/>
      <c r="X128" s="50"/>
      <c r="Y128" s="54"/>
      <c r="Z128" s="55"/>
      <c r="AA128" s="55"/>
      <c r="AB128" s="55"/>
      <c r="AC128" s="55"/>
      <c r="AD128" s="55"/>
      <c r="AE128" s="55"/>
      <c r="AF128" s="55"/>
      <c r="AG128" s="55"/>
      <c r="AH128" s="55"/>
      <c r="AI128" s="55"/>
      <c r="AJ128" s="55"/>
      <c r="AK128" s="435"/>
      <c r="AL128" s="72"/>
      <c r="AM128" s="72"/>
      <c r="AN128" s="72"/>
      <c r="AO128" s="72"/>
      <c r="AP128" s="72"/>
      <c r="AQ128" s="72"/>
      <c r="AR128" s="72"/>
      <c r="AS128" s="72"/>
      <c r="AT128" s="72"/>
      <c r="AU128" s="72"/>
      <c r="AV128" s="744"/>
      <c r="AW128" s="38"/>
      <c r="AX128" s="31"/>
      <c r="AY128" s="31"/>
      <c r="AZ128" s="31"/>
      <c r="BA128" s="31"/>
      <c r="BB128" s="31"/>
      <c r="BC128" s="31"/>
      <c r="BD128" s="31"/>
      <c r="BE128" s="31"/>
      <c r="BF128" s="31"/>
      <c r="BG128" s="31"/>
      <c r="BH128" s="31"/>
      <c r="BI128" s="31"/>
    </row>
    <row r="129" spans="1:61">
      <c r="A129" s="327"/>
      <c r="B129" s="335" t="s">
        <v>3</v>
      </c>
      <c r="C129" s="14" t="s">
        <v>23</v>
      </c>
      <c r="D129" s="24" t="s">
        <v>14</v>
      </c>
      <c r="E129" s="71"/>
      <c r="F129" s="71"/>
      <c r="G129" s="71"/>
      <c r="H129" s="71"/>
      <c r="I129" s="71"/>
      <c r="J129" s="71"/>
      <c r="K129" s="71"/>
      <c r="L129" s="71"/>
      <c r="M129" s="71"/>
      <c r="N129" s="71"/>
      <c r="O129" s="71"/>
      <c r="P129" s="71"/>
      <c r="Q129" s="71"/>
      <c r="R129" s="71"/>
      <c r="S129" s="71"/>
      <c r="T129" s="71"/>
      <c r="U129" s="71"/>
      <c r="V129" s="71"/>
      <c r="W129" s="71"/>
      <c r="X129" s="71"/>
      <c r="Y129" s="439"/>
      <c r="Z129" s="71"/>
      <c r="AA129" s="71"/>
      <c r="AB129" s="71"/>
      <c r="AC129" s="71"/>
      <c r="AD129" s="71"/>
      <c r="AE129" s="71"/>
      <c r="AF129" s="71"/>
      <c r="AG129" s="71"/>
      <c r="AH129" s="71"/>
      <c r="AI129" s="71"/>
      <c r="AJ129" s="71"/>
      <c r="AK129" s="54"/>
      <c r="AL129" s="55"/>
      <c r="AM129" s="55"/>
      <c r="AN129" s="55"/>
      <c r="AO129" s="55"/>
      <c r="AP129" s="55"/>
      <c r="AQ129" s="55"/>
      <c r="AR129" s="55"/>
      <c r="AS129" s="55"/>
      <c r="AT129" s="55"/>
      <c r="AU129" s="55"/>
      <c r="AV129" s="745"/>
      <c r="AW129" s="38"/>
      <c r="AX129" s="31"/>
      <c r="AY129" s="31"/>
      <c r="AZ129" s="31"/>
      <c r="BA129" s="31"/>
      <c r="BB129" s="31"/>
      <c r="BC129" s="31"/>
      <c r="BD129" s="31"/>
      <c r="BE129" s="31"/>
      <c r="BF129" s="31"/>
      <c r="BG129" s="31"/>
      <c r="BH129" s="31"/>
      <c r="BI129" s="31"/>
    </row>
    <row r="130" spans="1:61">
      <c r="A130" s="327"/>
      <c r="B130" s="332" t="s">
        <v>3</v>
      </c>
      <c r="C130" s="328" t="s">
        <v>23</v>
      </c>
      <c r="D130" s="27" t="s">
        <v>19</v>
      </c>
      <c r="E130" s="72"/>
      <c r="F130" s="72"/>
      <c r="G130" s="72"/>
      <c r="H130" s="72"/>
      <c r="I130" s="72"/>
      <c r="J130" s="72"/>
      <c r="K130" s="72"/>
      <c r="L130" s="72"/>
      <c r="M130" s="72"/>
      <c r="N130" s="72"/>
      <c r="O130" s="72"/>
      <c r="P130" s="72"/>
      <c r="Q130" s="72"/>
      <c r="R130" s="72">
        <v>1.8</v>
      </c>
      <c r="S130" s="72">
        <v>0.40000000000000013</v>
      </c>
      <c r="T130" s="72">
        <v>1.8</v>
      </c>
      <c r="U130" s="118">
        <v>2.4</v>
      </c>
      <c r="V130" s="72">
        <v>2.6</v>
      </c>
      <c r="W130" s="72">
        <v>3.6</v>
      </c>
      <c r="X130" s="72">
        <v>3.6</v>
      </c>
      <c r="Y130" s="435"/>
      <c r="Z130" s="72">
        <v>4.2</v>
      </c>
      <c r="AA130" s="118">
        <v>3</v>
      </c>
      <c r="AB130" s="72">
        <v>3</v>
      </c>
      <c r="AC130" s="118">
        <v>2.4</v>
      </c>
      <c r="AD130" s="72">
        <v>3</v>
      </c>
      <c r="AE130" s="72">
        <v>3</v>
      </c>
      <c r="AF130" s="72">
        <v>3</v>
      </c>
      <c r="AG130" s="72">
        <v>3.6</v>
      </c>
      <c r="AH130" s="72">
        <v>3</v>
      </c>
      <c r="AI130" s="72">
        <v>3</v>
      </c>
      <c r="AJ130" s="72">
        <v>2.4</v>
      </c>
      <c r="AK130" s="54">
        <v>3</v>
      </c>
      <c r="AL130" s="55">
        <v>3</v>
      </c>
      <c r="AM130" s="55">
        <v>3</v>
      </c>
      <c r="AN130" s="55">
        <v>3</v>
      </c>
      <c r="AO130" s="55">
        <v>3</v>
      </c>
      <c r="AP130" s="55">
        <v>3</v>
      </c>
      <c r="AQ130" s="55">
        <v>3</v>
      </c>
      <c r="AR130" s="55">
        <v>3</v>
      </c>
      <c r="AS130" s="55">
        <v>3</v>
      </c>
      <c r="AT130" s="55">
        <v>3</v>
      </c>
      <c r="AU130" s="55">
        <v>3</v>
      </c>
      <c r="AV130" s="745">
        <v>3</v>
      </c>
      <c r="AW130" s="38"/>
      <c r="AX130" s="31"/>
      <c r="AY130" s="31"/>
      <c r="AZ130" s="31"/>
      <c r="BA130" s="31"/>
      <c r="BB130" s="31"/>
      <c r="BC130" s="31"/>
      <c r="BD130" s="31"/>
      <c r="BE130" s="31"/>
      <c r="BF130" s="31"/>
      <c r="BG130" s="31"/>
      <c r="BH130" s="31"/>
      <c r="BI130" s="31"/>
    </row>
    <row r="131" spans="1:61">
      <c r="A131" s="327"/>
      <c r="B131" s="334" t="s">
        <v>3</v>
      </c>
      <c r="C131" s="15" t="s">
        <v>23</v>
      </c>
      <c r="D131" s="23" t="s">
        <v>22</v>
      </c>
      <c r="E131" s="55"/>
      <c r="F131" s="55"/>
      <c r="G131" s="55"/>
      <c r="H131" s="55"/>
      <c r="I131" s="55"/>
      <c r="J131" s="55"/>
      <c r="K131" s="55"/>
      <c r="L131" s="55"/>
      <c r="M131" s="55"/>
      <c r="N131" s="55"/>
      <c r="O131" s="55"/>
      <c r="P131" s="55"/>
      <c r="Q131" s="55"/>
      <c r="R131" s="55"/>
      <c r="S131" s="55"/>
      <c r="T131" s="55"/>
      <c r="U131" s="98"/>
      <c r="V131" s="55"/>
      <c r="W131" s="55">
        <v>0.6</v>
      </c>
      <c r="X131" s="55">
        <v>0.6</v>
      </c>
      <c r="Y131" s="54"/>
      <c r="Z131" s="55">
        <v>0.8</v>
      </c>
      <c r="AA131" s="98">
        <v>1.2</v>
      </c>
      <c r="AB131" s="55">
        <v>1.2</v>
      </c>
      <c r="AC131" s="98">
        <v>1.2</v>
      </c>
      <c r="AD131" s="55">
        <v>1.2</v>
      </c>
      <c r="AE131" s="55">
        <v>1.2</v>
      </c>
      <c r="AF131" s="55">
        <v>1.2</v>
      </c>
      <c r="AG131" s="55">
        <v>1.2</v>
      </c>
      <c r="AH131" s="55">
        <v>1.2</v>
      </c>
      <c r="AI131" s="55">
        <v>1.2</v>
      </c>
      <c r="AJ131" s="55">
        <v>1.8</v>
      </c>
      <c r="AK131" s="439">
        <v>1.2</v>
      </c>
      <c r="AL131" s="71">
        <v>1.2</v>
      </c>
      <c r="AM131" s="71">
        <v>1.2</v>
      </c>
      <c r="AN131" s="71">
        <v>1.2</v>
      </c>
      <c r="AO131" s="71">
        <v>1.2</v>
      </c>
      <c r="AP131" s="71">
        <v>1.2</v>
      </c>
      <c r="AQ131" s="71">
        <v>1.2</v>
      </c>
      <c r="AR131" s="71">
        <v>1.2</v>
      </c>
      <c r="AS131" s="71">
        <v>1.2</v>
      </c>
      <c r="AT131" s="71">
        <v>1.2</v>
      </c>
      <c r="AU131" s="71">
        <v>1.2</v>
      </c>
      <c r="AV131" s="743">
        <v>1.2</v>
      </c>
      <c r="AW131" s="38"/>
      <c r="AX131" s="31"/>
      <c r="AY131" s="31"/>
      <c r="AZ131" s="31"/>
      <c r="BA131" s="31"/>
      <c r="BB131" s="31"/>
      <c r="BC131" s="31"/>
      <c r="BD131" s="31"/>
      <c r="BE131" s="31"/>
      <c r="BF131" s="31"/>
      <c r="BG131" s="31"/>
      <c r="BH131" s="31"/>
      <c r="BI131" s="31"/>
    </row>
    <row r="132" spans="1:61">
      <c r="A132" s="327"/>
      <c r="B132" s="332" t="s">
        <v>3</v>
      </c>
      <c r="C132" s="16" t="s">
        <v>24</v>
      </c>
      <c r="D132" s="26" t="s">
        <v>14</v>
      </c>
      <c r="E132" s="50"/>
      <c r="F132" s="50"/>
      <c r="G132" s="50"/>
      <c r="H132" s="50"/>
      <c r="I132" s="50"/>
      <c r="J132" s="50"/>
      <c r="K132" s="50"/>
      <c r="L132" s="50"/>
      <c r="M132" s="50"/>
      <c r="N132" s="50"/>
      <c r="O132" s="50"/>
      <c r="P132" s="50"/>
      <c r="Q132" s="50"/>
      <c r="R132" s="50"/>
      <c r="S132" s="50"/>
      <c r="T132" s="50"/>
      <c r="U132" s="50"/>
      <c r="V132" s="50"/>
      <c r="W132" s="50"/>
      <c r="X132" s="50"/>
      <c r="Y132" s="54"/>
      <c r="Z132" s="55"/>
      <c r="AA132" s="55"/>
      <c r="AB132" s="55"/>
      <c r="AC132" s="55"/>
      <c r="AD132" s="55"/>
      <c r="AE132" s="55"/>
      <c r="AF132" s="55"/>
      <c r="AG132" s="55"/>
      <c r="AH132" s="55"/>
      <c r="AI132" s="55"/>
      <c r="AJ132" s="55"/>
      <c r="AK132" s="54"/>
      <c r="AL132" s="55"/>
      <c r="AM132" s="55"/>
      <c r="AN132" s="55"/>
      <c r="AO132" s="55"/>
      <c r="AP132" s="55"/>
      <c r="AQ132" s="55"/>
      <c r="AR132" s="55"/>
      <c r="AS132" s="55"/>
      <c r="AT132" s="55"/>
      <c r="AU132" s="55"/>
      <c r="AV132" s="745"/>
      <c r="AW132" s="38"/>
      <c r="AX132" s="31"/>
      <c r="AY132" s="31"/>
      <c r="AZ132" s="31"/>
      <c r="BA132" s="31"/>
      <c r="BB132" s="31"/>
      <c r="BC132" s="31"/>
      <c r="BD132" s="31"/>
      <c r="BE132" s="31"/>
      <c r="BF132" s="31"/>
      <c r="BG132" s="31"/>
      <c r="BH132" s="31"/>
      <c r="BI132" s="31"/>
    </row>
    <row r="133" spans="1:61">
      <c r="A133" s="327"/>
      <c r="B133" s="332" t="s">
        <v>3</v>
      </c>
      <c r="C133" s="16" t="s">
        <v>24</v>
      </c>
      <c r="D133" s="27" t="s">
        <v>19</v>
      </c>
      <c r="E133" s="50"/>
      <c r="F133" s="50"/>
      <c r="G133" s="50"/>
      <c r="H133" s="50"/>
      <c r="I133" s="50"/>
      <c r="J133" s="50"/>
      <c r="K133" s="50"/>
      <c r="L133" s="50"/>
      <c r="M133" s="50">
        <f>0.22+0.83</f>
        <v>1.05</v>
      </c>
      <c r="N133" s="50">
        <v>0.82000000000000206</v>
      </c>
      <c r="O133" s="120">
        <v>6.43</v>
      </c>
      <c r="P133" s="120">
        <v>7.3999999999999995</v>
      </c>
      <c r="Q133" s="50">
        <v>5.15</v>
      </c>
      <c r="R133" s="120">
        <v>11.98</v>
      </c>
      <c r="S133" s="120">
        <v>11.4</v>
      </c>
      <c r="T133" s="120">
        <v>13.8</v>
      </c>
      <c r="U133" s="50">
        <v>13.8</v>
      </c>
      <c r="V133" s="120">
        <v>17.5</v>
      </c>
      <c r="W133" s="120">
        <f>3.4-2</f>
        <v>1.4</v>
      </c>
      <c r="X133" s="120">
        <f>0.4+3-1.2+0.6+0.7-0.6</f>
        <v>2.9</v>
      </c>
      <c r="Y133" s="464">
        <v>2.8</v>
      </c>
      <c r="Z133" s="98">
        <f>4.52+0.6+0.6</f>
        <v>5.7199999999999989</v>
      </c>
      <c r="AA133" s="98">
        <f>9.17+1.5</f>
        <v>10.67</v>
      </c>
      <c r="AB133" s="98">
        <v>6.42</v>
      </c>
      <c r="AC133" s="98">
        <v>7.52</v>
      </c>
      <c r="AD133" s="223">
        <f>6.42+1.2+1.5+1.5+0.81+0.11+0.5</f>
        <v>12.040000000000001</v>
      </c>
      <c r="AE133" s="98">
        <f>10.88+0.72</f>
        <v>11.600000000000001</v>
      </c>
      <c r="AF133" s="98">
        <f>10.28-3-1</f>
        <v>6.2799999999999994</v>
      </c>
      <c r="AG133" s="55">
        <f>9.4+0.6-1</f>
        <v>9</v>
      </c>
      <c r="AH133" s="98">
        <f>7.8+0.4+0.8</f>
        <v>9</v>
      </c>
      <c r="AI133" s="98">
        <f>8.4+1.7</f>
        <v>10.1</v>
      </c>
      <c r="AJ133" s="98">
        <f>9.68-0.6</f>
        <v>9.08</v>
      </c>
      <c r="AK133" s="54">
        <v>9.84</v>
      </c>
      <c r="AL133" s="55">
        <v>9.84</v>
      </c>
      <c r="AM133" s="55">
        <v>9.84</v>
      </c>
      <c r="AN133" s="55">
        <v>9.84</v>
      </c>
      <c r="AO133" s="55">
        <v>9.84</v>
      </c>
      <c r="AP133" s="55">
        <v>10.38</v>
      </c>
      <c r="AQ133" s="55">
        <v>10.38</v>
      </c>
      <c r="AR133" s="55">
        <v>10.38</v>
      </c>
      <c r="AS133" s="55">
        <v>10.38</v>
      </c>
      <c r="AT133" s="55">
        <v>10.38</v>
      </c>
      <c r="AU133" s="55">
        <v>10.38</v>
      </c>
      <c r="AV133" s="745">
        <v>10.38</v>
      </c>
      <c r="AW133" s="38"/>
      <c r="AX133" s="31"/>
      <c r="AY133" s="31"/>
      <c r="AZ133" s="31"/>
      <c r="BA133" s="31"/>
      <c r="BB133" s="31"/>
      <c r="BC133" s="31"/>
      <c r="BD133" s="31"/>
      <c r="BE133" s="31"/>
      <c r="BF133" s="31"/>
      <c r="BG133" s="31"/>
      <c r="BH133" s="31"/>
      <c r="BI133" s="31"/>
    </row>
    <row r="134" spans="1:61">
      <c r="A134" s="327"/>
      <c r="B134" s="333" t="s">
        <v>3</v>
      </c>
      <c r="C134" s="448" t="s">
        <v>156</v>
      </c>
      <c r="D134" s="122" t="s">
        <v>19</v>
      </c>
      <c r="E134" s="50"/>
      <c r="F134" s="50"/>
      <c r="G134" s="50"/>
      <c r="H134" s="50"/>
      <c r="I134" s="50"/>
      <c r="J134" s="50"/>
      <c r="K134" s="50"/>
      <c r="L134" s="50"/>
      <c r="M134" s="50"/>
      <c r="N134" s="50"/>
      <c r="O134" s="120"/>
      <c r="P134" s="120"/>
      <c r="Q134" s="50"/>
      <c r="R134" s="120"/>
      <c r="S134" s="120"/>
      <c r="T134" s="120"/>
      <c r="U134" s="50"/>
      <c r="V134" s="50"/>
      <c r="W134" s="50"/>
      <c r="X134" s="50"/>
      <c r="Y134" s="54"/>
      <c r="Z134" s="55"/>
      <c r="AA134" s="55"/>
      <c r="AB134" s="55"/>
      <c r="AC134" s="55"/>
      <c r="AD134" s="55"/>
      <c r="AE134" s="55"/>
      <c r="AF134" s="55"/>
      <c r="AG134" s="55"/>
      <c r="AH134" s="55"/>
      <c r="AI134" s="55"/>
      <c r="AJ134" s="55"/>
      <c r="AK134" s="435"/>
      <c r="AL134" s="72"/>
      <c r="AM134" s="72"/>
      <c r="AN134" s="72"/>
      <c r="AO134" s="72"/>
      <c r="AP134" s="72"/>
      <c r="AQ134" s="72"/>
      <c r="AR134" s="72"/>
      <c r="AS134" s="72"/>
      <c r="AT134" s="72"/>
      <c r="AU134" s="72"/>
      <c r="AV134" s="744"/>
      <c r="AW134" s="38"/>
      <c r="AX134" s="31"/>
      <c r="AY134" s="31"/>
      <c r="AZ134" s="31"/>
      <c r="BA134" s="31"/>
      <c r="BB134" s="31"/>
      <c r="BC134" s="31"/>
      <c r="BD134" s="31"/>
      <c r="BE134" s="31"/>
      <c r="BF134" s="31"/>
      <c r="BG134" s="31"/>
      <c r="BH134" s="31"/>
      <c r="BI134" s="31"/>
    </row>
    <row r="135" spans="1:61">
      <c r="A135" s="327"/>
      <c r="B135" s="335" t="s">
        <v>3</v>
      </c>
      <c r="C135" s="17" t="s">
        <v>28</v>
      </c>
      <c r="D135" s="24" t="s">
        <v>14</v>
      </c>
      <c r="E135" s="71"/>
      <c r="F135" s="71"/>
      <c r="G135" s="71"/>
      <c r="H135" s="71"/>
      <c r="I135" s="71"/>
      <c r="J135" s="71"/>
      <c r="K135" s="71"/>
      <c r="L135" s="71"/>
      <c r="M135" s="71"/>
      <c r="N135" s="71"/>
      <c r="O135" s="71"/>
      <c r="P135" s="71"/>
      <c r="Q135" s="71"/>
      <c r="R135" s="71"/>
      <c r="S135" s="71"/>
      <c r="T135" s="71"/>
      <c r="U135" s="71"/>
      <c r="V135" s="71"/>
      <c r="W135" s="71"/>
      <c r="X135" s="71"/>
      <c r="Y135" s="439"/>
      <c r="Z135" s="71"/>
      <c r="AA135" s="71"/>
      <c r="AB135" s="71"/>
      <c r="AC135" s="71"/>
      <c r="AD135" s="71"/>
      <c r="AE135" s="71"/>
      <c r="AF135" s="71"/>
      <c r="AG135" s="71"/>
      <c r="AH135" s="71"/>
      <c r="AI135" s="71"/>
      <c r="AJ135" s="71"/>
      <c r="AK135" s="54"/>
      <c r="AL135" s="55"/>
      <c r="AM135" s="55"/>
      <c r="AN135" s="55"/>
      <c r="AO135" s="55"/>
      <c r="AP135" s="55"/>
      <c r="AQ135" s="55"/>
      <c r="AR135" s="55"/>
      <c r="AS135" s="55"/>
      <c r="AT135" s="55"/>
      <c r="AU135" s="55"/>
      <c r="AV135" s="745"/>
      <c r="AW135" s="38"/>
      <c r="AX135" s="31"/>
      <c r="AY135" s="31"/>
      <c r="AZ135" s="31"/>
      <c r="BA135" s="31"/>
      <c r="BB135" s="31"/>
      <c r="BC135" s="31"/>
      <c r="BD135" s="31"/>
      <c r="BE135" s="31"/>
      <c r="BF135" s="31"/>
      <c r="BG135" s="31"/>
      <c r="BH135" s="31"/>
      <c r="BI135" s="31"/>
    </row>
    <row r="136" spans="1:61">
      <c r="A136" s="327"/>
      <c r="B136" s="334" t="s">
        <v>3</v>
      </c>
      <c r="C136" s="18" t="s">
        <v>28</v>
      </c>
      <c r="D136" s="23" t="s">
        <v>19</v>
      </c>
      <c r="E136" s="72"/>
      <c r="F136" s="72"/>
      <c r="G136" s="72"/>
      <c r="H136" s="72"/>
      <c r="I136" s="72"/>
      <c r="J136" s="231">
        <v>1.2</v>
      </c>
      <c r="K136" s="123">
        <v>3.4</v>
      </c>
      <c r="L136" s="123">
        <v>3.1</v>
      </c>
      <c r="M136" s="123">
        <v>1.2</v>
      </c>
      <c r="N136" s="72"/>
      <c r="O136" s="72"/>
      <c r="P136" s="72"/>
      <c r="Q136" s="72"/>
      <c r="R136" s="72"/>
      <c r="S136" s="72"/>
      <c r="T136" s="72"/>
      <c r="U136" s="72"/>
      <c r="V136" s="118">
        <v>1.2</v>
      </c>
      <c r="W136" s="72"/>
      <c r="X136" s="72"/>
      <c r="Y136" s="435"/>
      <c r="Z136" s="72"/>
      <c r="AA136" s="72"/>
      <c r="AB136" s="72"/>
      <c r="AC136" s="72"/>
      <c r="AD136" s="72"/>
      <c r="AE136" s="672">
        <v>0.6</v>
      </c>
      <c r="AF136" s="672">
        <f>1.2+0.65</f>
        <v>1.85</v>
      </c>
      <c r="AG136" s="72">
        <v>0</v>
      </c>
      <c r="AH136" s="72">
        <v>0</v>
      </c>
      <c r="AI136" s="72">
        <v>0</v>
      </c>
      <c r="AJ136" s="72"/>
      <c r="AK136" s="54"/>
      <c r="AL136" s="55"/>
      <c r="AM136" s="55"/>
      <c r="AN136" s="55"/>
      <c r="AO136" s="55"/>
      <c r="AP136" s="55"/>
      <c r="AQ136" s="55"/>
      <c r="AR136" s="55"/>
      <c r="AS136" s="55"/>
      <c r="AT136" s="55"/>
      <c r="AU136" s="55"/>
      <c r="AV136" s="745">
        <v>0</v>
      </c>
      <c r="AW136" s="38"/>
      <c r="AX136" s="31"/>
      <c r="AY136" s="31"/>
      <c r="AZ136" s="31"/>
      <c r="BA136" s="31"/>
      <c r="BB136" s="31"/>
      <c r="BC136" s="31"/>
      <c r="BD136" s="31"/>
      <c r="BE136" s="31"/>
      <c r="BF136" s="31"/>
      <c r="BG136" s="31"/>
      <c r="BH136" s="31"/>
      <c r="BI136" s="31"/>
    </row>
    <row r="137" spans="1:61">
      <c r="A137" s="327"/>
      <c r="B137" s="335" t="s">
        <v>3</v>
      </c>
      <c r="C137" s="17" t="s">
        <v>159</v>
      </c>
      <c r="D137" s="24" t="s">
        <v>14</v>
      </c>
      <c r="E137" s="50"/>
      <c r="F137" s="50"/>
      <c r="G137" s="50"/>
      <c r="H137" s="50"/>
      <c r="I137" s="50"/>
      <c r="J137" s="50"/>
      <c r="K137" s="50"/>
      <c r="L137" s="50"/>
      <c r="M137" s="50"/>
      <c r="N137" s="50"/>
      <c r="O137" s="50"/>
      <c r="P137" s="50"/>
      <c r="Q137" s="50"/>
      <c r="R137" s="50"/>
      <c r="S137" s="50"/>
      <c r="T137" s="50"/>
      <c r="U137" s="50"/>
      <c r="V137" s="50"/>
      <c r="W137" s="50"/>
      <c r="X137" s="50"/>
      <c r="Y137" s="54"/>
      <c r="Z137" s="55"/>
      <c r="AA137" s="55"/>
      <c r="AB137" s="55"/>
      <c r="AC137" s="55"/>
      <c r="AD137" s="55"/>
      <c r="AE137" s="55"/>
      <c r="AF137" s="55"/>
      <c r="AG137" s="55"/>
      <c r="AH137" s="55"/>
      <c r="AI137" s="55"/>
      <c r="AJ137" s="55"/>
      <c r="AK137" s="439"/>
      <c r="AL137" s="71"/>
      <c r="AM137" s="71"/>
      <c r="AN137" s="71"/>
      <c r="AO137" s="71"/>
      <c r="AP137" s="71"/>
      <c r="AQ137" s="71"/>
      <c r="AR137" s="71"/>
      <c r="AS137" s="71"/>
      <c r="AT137" s="71"/>
      <c r="AU137" s="71"/>
      <c r="AV137" s="743"/>
      <c r="AW137" s="38"/>
      <c r="AX137" s="31"/>
      <c r="AY137" s="31"/>
      <c r="AZ137" s="31"/>
      <c r="BA137" s="31"/>
      <c r="BB137" s="31"/>
      <c r="BC137" s="31"/>
      <c r="BD137" s="31"/>
      <c r="BE137" s="31"/>
      <c r="BF137" s="31"/>
      <c r="BG137" s="31"/>
      <c r="BH137" s="31"/>
      <c r="BI137" s="31"/>
    </row>
    <row r="138" spans="1:61">
      <c r="A138" s="327"/>
      <c r="B138" s="334" t="s">
        <v>3</v>
      </c>
      <c r="C138" s="18" t="s">
        <v>159</v>
      </c>
      <c r="D138" s="23" t="s">
        <v>19</v>
      </c>
      <c r="E138" s="50"/>
      <c r="F138" s="50"/>
      <c r="G138" s="50"/>
      <c r="H138" s="50"/>
      <c r="I138" s="50"/>
      <c r="J138" s="50"/>
      <c r="K138" s="50"/>
      <c r="L138" s="50"/>
      <c r="M138" s="50"/>
      <c r="N138" s="50"/>
      <c r="O138" s="50"/>
      <c r="P138" s="50">
        <v>0.65</v>
      </c>
      <c r="Q138" s="50"/>
      <c r="R138" s="50"/>
      <c r="S138" s="50"/>
      <c r="T138" s="50"/>
      <c r="U138" s="50"/>
      <c r="V138" s="50"/>
      <c r="W138" s="50"/>
      <c r="X138" s="50"/>
      <c r="Y138" s="54">
        <v>0</v>
      </c>
      <c r="Z138" s="55">
        <v>0</v>
      </c>
      <c r="AA138" s="55"/>
      <c r="AB138" s="55"/>
      <c r="AC138" s="55"/>
      <c r="AD138" s="55"/>
      <c r="AE138" s="55"/>
      <c r="AF138" s="55"/>
      <c r="AG138" s="55"/>
      <c r="AH138" s="55"/>
      <c r="AI138" s="55"/>
      <c r="AJ138" s="55">
        <v>0</v>
      </c>
      <c r="AK138" s="435"/>
      <c r="AL138" s="72">
        <v>7.9</v>
      </c>
      <c r="AM138" s="72">
        <v>8.75</v>
      </c>
      <c r="AN138" s="72">
        <v>8.4700000000000006</v>
      </c>
      <c r="AO138" s="72">
        <v>8.75</v>
      </c>
      <c r="AP138" s="72">
        <v>8.4700000000000006</v>
      </c>
      <c r="AQ138" s="72">
        <v>8.75</v>
      </c>
      <c r="AR138" s="72">
        <v>8.75</v>
      </c>
      <c r="AS138" s="72">
        <v>8.4700000000000006</v>
      </c>
      <c r="AT138" s="72">
        <v>8.75</v>
      </c>
      <c r="AU138" s="72">
        <v>8.4700000000000006</v>
      </c>
      <c r="AV138" s="72">
        <v>8.4700000000000006</v>
      </c>
      <c r="AW138" s="38"/>
      <c r="AX138" s="31"/>
      <c r="AY138" s="31"/>
      <c r="AZ138" s="31"/>
      <c r="BA138" s="31"/>
      <c r="BB138" s="31"/>
      <c r="BC138" s="31"/>
      <c r="BD138" s="31"/>
      <c r="BE138" s="31"/>
      <c r="BF138" s="31"/>
      <c r="BG138" s="31"/>
      <c r="BH138" s="31"/>
      <c r="BI138" s="31"/>
    </row>
    <row r="139" spans="1:61">
      <c r="A139" s="327"/>
      <c r="B139" s="332" t="s">
        <v>3</v>
      </c>
      <c r="C139" s="19" t="s">
        <v>29</v>
      </c>
      <c r="D139" s="26" t="s">
        <v>14</v>
      </c>
      <c r="E139" s="71"/>
      <c r="F139" s="71"/>
      <c r="G139" s="71"/>
      <c r="H139" s="71"/>
      <c r="I139" s="71"/>
      <c r="J139" s="71"/>
      <c r="K139" s="71"/>
      <c r="L139" s="71"/>
      <c r="M139" s="71"/>
      <c r="N139" s="71"/>
      <c r="O139" s="71"/>
      <c r="P139" s="71"/>
      <c r="Q139" s="71"/>
      <c r="R139" s="71"/>
      <c r="S139" s="71"/>
      <c r="T139" s="71"/>
      <c r="U139" s="71"/>
      <c r="V139" s="71"/>
      <c r="W139" s="71"/>
      <c r="X139" s="71"/>
      <c r="Y139" s="439"/>
      <c r="Z139" s="71"/>
      <c r="AA139" s="71"/>
      <c r="AB139" s="71"/>
      <c r="AC139" s="71"/>
      <c r="AD139" s="71"/>
      <c r="AE139" s="71"/>
      <c r="AF139" s="71"/>
      <c r="AG139" s="71"/>
      <c r="AH139" s="71"/>
      <c r="AI139" s="71"/>
      <c r="AJ139" s="71"/>
      <c r="AK139" s="54"/>
      <c r="AL139" s="55"/>
      <c r="AM139" s="55"/>
      <c r="AN139" s="55"/>
      <c r="AO139" s="55"/>
      <c r="AP139" s="55"/>
      <c r="AQ139" s="55"/>
      <c r="AR139" s="55"/>
      <c r="AS139" s="55"/>
      <c r="AT139" s="55"/>
      <c r="AU139" s="55"/>
      <c r="AV139" s="745"/>
      <c r="AW139" s="38"/>
      <c r="AX139" s="31"/>
      <c r="AY139" s="31"/>
      <c r="AZ139" s="31"/>
      <c r="BA139" s="31"/>
      <c r="BB139" s="31"/>
      <c r="BC139" s="31"/>
      <c r="BD139" s="31"/>
      <c r="BE139" s="31"/>
      <c r="BF139" s="31"/>
      <c r="BG139" s="31"/>
      <c r="BH139" s="31"/>
      <c r="BI139" s="31"/>
    </row>
    <row r="140" spans="1:61">
      <c r="A140" s="327"/>
      <c r="B140" s="332" t="s">
        <v>3</v>
      </c>
      <c r="C140" s="19" t="s">
        <v>29</v>
      </c>
      <c r="D140" s="22" t="s">
        <v>21</v>
      </c>
      <c r="E140" s="55"/>
      <c r="F140" s="55"/>
      <c r="G140" s="55"/>
      <c r="H140" s="98"/>
      <c r="I140" s="98"/>
      <c r="J140" s="98"/>
      <c r="K140" s="98"/>
      <c r="L140" s="55"/>
      <c r="M140" s="55"/>
      <c r="N140" s="55"/>
      <c r="O140" s="55"/>
      <c r="P140" s="55"/>
      <c r="Q140" s="55"/>
      <c r="R140" s="55"/>
      <c r="S140" s="55"/>
      <c r="T140" s="55"/>
      <c r="U140" s="55"/>
      <c r="V140" s="55"/>
      <c r="W140" s="55"/>
      <c r="X140" s="55"/>
      <c r="Y140" s="54"/>
      <c r="Z140" s="55"/>
      <c r="AA140" s="55"/>
      <c r="AB140" s="55"/>
      <c r="AC140" s="55"/>
      <c r="AD140" s="55"/>
      <c r="AE140" s="55"/>
      <c r="AF140" s="55"/>
      <c r="AG140" s="55"/>
      <c r="AH140" s="55"/>
      <c r="AI140" s="55"/>
      <c r="AJ140" s="55"/>
      <c r="AK140" s="54"/>
      <c r="AL140" s="55"/>
      <c r="AM140" s="55"/>
      <c r="AN140" s="55"/>
      <c r="AO140" s="55"/>
      <c r="AP140" s="55"/>
      <c r="AQ140" s="55"/>
      <c r="AR140" s="55"/>
      <c r="AS140" s="55"/>
      <c r="AT140" s="55"/>
      <c r="AU140" s="55"/>
      <c r="AV140" s="745"/>
      <c r="AW140" s="38"/>
      <c r="AX140" s="31"/>
      <c r="AY140" s="31"/>
      <c r="AZ140" s="31"/>
      <c r="BA140" s="31"/>
      <c r="BB140" s="31"/>
      <c r="BC140" s="31"/>
      <c r="BD140" s="31"/>
      <c r="BE140" s="31"/>
      <c r="BF140" s="31"/>
      <c r="BG140" s="31"/>
      <c r="BH140" s="31"/>
      <c r="BI140" s="31"/>
    </row>
    <row r="141" spans="1:61">
      <c r="A141" s="327"/>
      <c r="B141" s="334" t="s">
        <v>3</v>
      </c>
      <c r="C141" s="19" t="s">
        <v>29</v>
      </c>
      <c r="D141" s="27" t="s">
        <v>19</v>
      </c>
      <c r="E141" s="72"/>
      <c r="F141" s="72"/>
      <c r="G141" s="72"/>
      <c r="H141" s="72"/>
      <c r="I141" s="118">
        <v>3.9</v>
      </c>
      <c r="J141" s="233">
        <v>4.2</v>
      </c>
      <c r="K141" s="72"/>
      <c r="L141" s="72"/>
      <c r="M141" s="72"/>
      <c r="N141" s="72"/>
      <c r="O141" s="72"/>
      <c r="P141" s="72"/>
      <c r="Q141" s="72"/>
      <c r="R141" s="72"/>
      <c r="S141" s="72"/>
      <c r="T141" s="72"/>
      <c r="U141" s="72"/>
      <c r="V141" s="72"/>
      <c r="W141" s="72"/>
      <c r="X141" s="72"/>
      <c r="Y141" s="435"/>
      <c r="Z141" s="72"/>
      <c r="AA141" s="72"/>
      <c r="AB141" s="72"/>
      <c r="AC141" s="72"/>
      <c r="AD141" s="72"/>
      <c r="AE141" s="72"/>
      <c r="AF141" s="72"/>
      <c r="AG141" s="72"/>
      <c r="AH141" s="72"/>
      <c r="AI141" s="72"/>
      <c r="AJ141" s="72"/>
      <c r="AK141" s="54"/>
      <c r="AL141" s="55"/>
      <c r="AM141" s="55"/>
      <c r="AN141" s="55"/>
      <c r="AO141" s="55"/>
      <c r="AP141" s="55"/>
      <c r="AQ141" s="55"/>
      <c r="AR141" s="55"/>
      <c r="AS141" s="55"/>
      <c r="AT141" s="55"/>
      <c r="AU141" s="55"/>
      <c r="AV141" s="745"/>
      <c r="AW141" s="38"/>
      <c r="AX141" s="31"/>
      <c r="AY141" s="31"/>
      <c r="AZ141" s="31"/>
      <c r="BA141" s="31"/>
      <c r="BB141" s="31"/>
      <c r="BC141" s="31"/>
      <c r="BD141" s="31"/>
      <c r="BE141" s="31"/>
      <c r="BF141" s="31"/>
      <c r="BG141" s="31"/>
      <c r="BH141" s="31"/>
      <c r="BI141" s="31"/>
    </row>
    <row r="142" spans="1:61">
      <c r="A142" s="327"/>
      <c r="B142" s="334" t="s">
        <v>3</v>
      </c>
      <c r="C142" s="121" t="s">
        <v>52</v>
      </c>
      <c r="D142" s="122" t="s">
        <v>19</v>
      </c>
      <c r="E142" s="55"/>
      <c r="F142" s="55"/>
      <c r="G142" s="55"/>
      <c r="H142" s="55"/>
      <c r="I142" s="55"/>
      <c r="J142" s="55"/>
      <c r="K142" s="55"/>
      <c r="L142" s="55"/>
      <c r="M142" s="55"/>
      <c r="N142" s="55"/>
      <c r="O142" s="55"/>
      <c r="P142" s="55"/>
      <c r="Q142" s="55"/>
      <c r="R142" s="55"/>
      <c r="S142" s="55"/>
      <c r="T142" s="55"/>
      <c r="U142" s="55"/>
      <c r="V142" s="55"/>
      <c r="W142" s="55"/>
      <c r="X142" s="55"/>
      <c r="Y142" s="54"/>
      <c r="Z142" s="55"/>
      <c r="AA142" s="55"/>
      <c r="AB142" s="55"/>
      <c r="AC142" s="55"/>
      <c r="AD142" s="55"/>
      <c r="AE142" s="55"/>
      <c r="AF142" s="55"/>
      <c r="AG142" s="55"/>
      <c r="AH142" s="55"/>
      <c r="AI142" s="55"/>
      <c r="AJ142" s="55"/>
      <c r="AK142" s="436"/>
      <c r="AL142" s="100"/>
      <c r="AM142" s="100"/>
      <c r="AN142" s="100"/>
      <c r="AO142" s="100"/>
      <c r="AP142" s="100"/>
      <c r="AQ142" s="100"/>
      <c r="AR142" s="100"/>
      <c r="AS142" s="100"/>
      <c r="AT142" s="100"/>
      <c r="AU142" s="100"/>
      <c r="AV142" s="746"/>
      <c r="AW142" s="38"/>
      <c r="AX142" s="31"/>
      <c r="AY142" s="31"/>
      <c r="AZ142" s="31"/>
      <c r="BA142" s="31"/>
      <c r="BB142" s="31"/>
      <c r="BC142" s="31"/>
      <c r="BD142" s="31"/>
      <c r="BE142" s="31"/>
      <c r="BF142" s="31"/>
      <c r="BG142" s="31"/>
      <c r="BH142" s="31"/>
      <c r="BI142" s="31"/>
    </row>
    <row r="143" spans="1:61" ht="15" thickBot="1">
      <c r="A143" s="327"/>
      <c r="B143" s="332" t="s">
        <v>3</v>
      </c>
      <c r="C143" s="17" t="s">
        <v>80</v>
      </c>
      <c r="D143" s="515" t="s">
        <v>19</v>
      </c>
      <c r="E143" s="55"/>
      <c r="F143" s="55"/>
      <c r="G143" s="55"/>
      <c r="H143" s="55"/>
      <c r="I143" s="55"/>
      <c r="J143" s="55"/>
      <c r="K143" s="100"/>
      <c r="L143" s="100"/>
      <c r="M143" s="246"/>
      <c r="N143" s="246"/>
      <c r="O143" s="246"/>
      <c r="P143" s="246"/>
      <c r="Q143" s="320"/>
      <c r="R143" s="320"/>
      <c r="S143" s="320"/>
      <c r="T143" s="320"/>
      <c r="U143" s="320"/>
      <c r="V143" s="320"/>
      <c r="W143" s="320"/>
      <c r="X143" s="320"/>
      <c r="Y143" s="440"/>
      <c r="Z143" s="320"/>
      <c r="AA143" s="320"/>
      <c r="AB143" s="320"/>
      <c r="AC143" s="320"/>
      <c r="AD143" s="320"/>
      <c r="AE143" s="320"/>
      <c r="AF143" s="320"/>
      <c r="AG143" s="320"/>
      <c r="AH143" s="320"/>
      <c r="AI143" s="320"/>
      <c r="AJ143" s="320"/>
      <c r="AK143" s="440"/>
      <c r="AL143" s="320"/>
      <c r="AM143" s="320"/>
      <c r="AN143" s="320"/>
      <c r="AO143" s="320"/>
      <c r="AP143" s="320"/>
      <c r="AQ143" s="320"/>
      <c r="AR143" s="320"/>
      <c r="AS143" s="320"/>
      <c r="AT143" s="320"/>
      <c r="AU143" s="320"/>
      <c r="AV143" s="747"/>
      <c r="AW143" s="38"/>
      <c r="AX143" s="31"/>
      <c r="AY143" s="31"/>
      <c r="AZ143" s="31"/>
      <c r="BA143" s="31"/>
    </row>
    <row r="144" spans="1:61">
      <c r="A144" s="327"/>
      <c r="B144" s="49" t="s">
        <v>28</v>
      </c>
      <c r="C144" s="516" t="s">
        <v>20</v>
      </c>
      <c r="D144" s="511" t="s">
        <v>28</v>
      </c>
      <c r="E144" s="55"/>
      <c r="F144" s="55"/>
      <c r="G144" s="55"/>
      <c r="H144" s="55"/>
      <c r="I144" s="55"/>
      <c r="J144" s="55"/>
      <c r="K144" s="71"/>
      <c r="L144" s="71"/>
      <c r="M144" s="320"/>
      <c r="N144" s="320"/>
      <c r="O144" s="237">
        <f>O60</f>
        <v>0.68</v>
      </c>
      <c r="P144" s="241">
        <v>0.7</v>
      </c>
      <c r="Q144" s="241">
        <v>0</v>
      </c>
      <c r="R144" s="241"/>
      <c r="S144" s="241">
        <v>0</v>
      </c>
      <c r="T144" s="241"/>
      <c r="U144" s="241"/>
      <c r="V144" s="320">
        <v>0</v>
      </c>
      <c r="W144" s="241"/>
      <c r="X144" s="320">
        <v>0.68</v>
      </c>
      <c r="Y144" s="519"/>
      <c r="Z144" s="520"/>
      <c r="AA144" s="520"/>
      <c r="AB144" s="520"/>
      <c r="AC144" s="520"/>
      <c r="AD144" s="520"/>
      <c r="AE144" s="520"/>
      <c r="AF144" s="520"/>
      <c r="AG144" s="520"/>
      <c r="AH144" s="520"/>
      <c r="AI144" s="520"/>
      <c r="AJ144" s="53"/>
      <c r="AK144" s="530"/>
      <c r="AL144" s="53"/>
      <c r="AM144" s="53"/>
      <c r="AN144" s="53"/>
      <c r="AO144" s="53"/>
      <c r="AP144" s="53">
        <v>0</v>
      </c>
      <c r="AQ144" s="53">
        <v>0</v>
      </c>
      <c r="AR144" s="53">
        <v>0</v>
      </c>
      <c r="AS144" s="53">
        <v>0</v>
      </c>
      <c r="AT144" s="53">
        <v>0</v>
      </c>
      <c r="AU144" s="53">
        <v>0</v>
      </c>
      <c r="AV144" s="748">
        <v>0</v>
      </c>
      <c r="AW144" s="38"/>
      <c r="AX144" s="38"/>
      <c r="AY144" s="31"/>
      <c r="AZ144" s="31"/>
      <c r="BA144" s="31"/>
    </row>
    <row r="145" spans="1:53">
      <c r="A145" s="327"/>
      <c r="B145" s="36" t="s">
        <v>28</v>
      </c>
      <c r="C145" s="16" t="s">
        <v>24</v>
      </c>
      <c r="D145" s="512" t="s">
        <v>28</v>
      </c>
      <c r="E145" s="55"/>
      <c r="F145" s="55"/>
      <c r="G145" s="55"/>
      <c r="H145" s="55"/>
      <c r="I145" s="55"/>
      <c r="J145" s="55"/>
      <c r="K145" s="71"/>
      <c r="L145" s="71"/>
      <c r="M145" s="320"/>
      <c r="N145" s="320"/>
      <c r="O145" s="237"/>
      <c r="P145" s="123"/>
      <c r="Q145" s="123">
        <v>0.6</v>
      </c>
      <c r="R145" s="123">
        <v>0</v>
      </c>
      <c r="S145" s="123">
        <v>0.6</v>
      </c>
      <c r="T145" s="123">
        <v>0.6</v>
      </c>
      <c r="U145" s="118">
        <v>1.2</v>
      </c>
      <c r="V145" s="123"/>
      <c r="W145" s="123">
        <v>0.6</v>
      </c>
      <c r="X145" s="118">
        <f>0.6+0.6</f>
        <v>1.2</v>
      </c>
      <c r="Y145" s="437">
        <v>0</v>
      </c>
      <c r="Z145" s="98">
        <f>1.2+1.2</f>
        <v>2.4</v>
      </c>
      <c r="AA145" s="223">
        <v>1.2</v>
      </c>
      <c r="AB145" s="223">
        <v>1.2</v>
      </c>
      <c r="AC145" s="223">
        <v>1.2</v>
      </c>
      <c r="AD145" s="223"/>
      <c r="AE145" s="223">
        <v>0</v>
      </c>
      <c r="AF145" s="223">
        <v>0.6</v>
      </c>
      <c r="AG145" s="223">
        <f>1.2-0.6</f>
        <v>0.6</v>
      </c>
      <c r="AH145" s="223">
        <v>1.8</v>
      </c>
      <c r="AI145" s="223">
        <v>1.2</v>
      </c>
      <c r="AJ145" s="98">
        <f>1.2+0.6</f>
        <v>1.7999999999999998</v>
      </c>
      <c r="AK145" s="437">
        <v>0</v>
      </c>
      <c r="AL145" s="223">
        <v>0</v>
      </c>
      <c r="AM145" s="223">
        <v>0</v>
      </c>
      <c r="AN145" s="223">
        <v>0</v>
      </c>
      <c r="AO145" s="223">
        <v>0</v>
      </c>
      <c r="AP145" s="223">
        <v>0</v>
      </c>
      <c r="AQ145" s="223">
        <v>0</v>
      </c>
      <c r="AR145" s="223">
        <v>0</v>
      </c>
      <c r="AS145" s="223">
        <v>0</v>
      </c>
      <c r="AT145" s="223">
        <v>0</v>
      </c>
      <c r="AU145" s="223">
        <v>0</v>
      </c>
      <c r="AV145" s="749">
        <v>0</v>
      </c>
      <c r="AW145" s="31"/>
      <c r="AX145" s="31"/>
      <c r="AY145" s="31"/>
      <c r="AZ145" s="31"/>
      <c r="BA145" s="31"/>
    </row>
    <row r="146" spans="1:53" ht="15" thickBot="1">
      <c r="B146" s="517" t="s">
        <v>28</v>
      </c>
      <c r="C146" s="518" t="s">
        <v>159</v>
      </c>
      <c r="D146" s="510" t="s">
        <v>28</v>
      </c>
      <c r="Y146" s="521">
        <f>Y60-Y144-Y145</f>
        <v>0</v>
      </c>
      <c r="Z146" s="522">
        <f>Z60-Z144-Z145</f>
        <v>0</v>
      </c>
      <c r="AA146" s="522">
        <f>AA60-AA144-AA145</f>
        <v>0</v>
      </c>
      <c r="AB146" s="522"/>
      <c r="AC146" s="522"/>
      <c r="AD146" s="522"/>
      <c r="AE146" s="522"/>
      <c r="AF146" s="522"/>
      <c r="AG146" s="522"/>
      <c r="AH146" s="522"/>
      <c r="AI146" s="522"/>
      <c r="AJ146" s="522"/>
      <c r="AK146" s="521"/>
      <c r="AL146" s="522"/>
      <c r="AM146" s="522"/>
      <c r="AN146" s="522"/>
      <c r="AO146" s="522"/>
      <c r="AP146" s="522"/>
      <c r="AQ146" s="522"/>
      <c r="AR146" s="522"/>
      <c r="AS146" s="522"/>
      <c r="AT146" s="522"/>
      <c r="AU146" s="522"/>
      <c r="AV146" s="750"/>
      <c r="AW146" s="31"/>
      <c r="AX146" s="31"/>
      <c r="AY146" s="31"/>
    </row>
    <row r="147" spans="1:53">
      <c r="A147" s="327"/>
      <c r="B147" s="36" t="s">
        <v>0</v>
      </c>
      <c r="C147" s="7" t="s">
        <v>20</v>
      </c>
      <c r="D147" s="26" t="s">
        <v>14</v>
      </c>
      <c r="E147" s="71">
        <v>2.7899999999999983</v>
      </c>
      <c r="F147" s="71">
        <v>0.69</v>
      </c>
      <c r="G147" s="216">
        <f t="shared" ref="G147:X147" si="238">G61-G148-G149-G150-G151-G152-G153-G155-G156-G157-G158-G159-G160-G161-G162</f>
        <v>1.9996938300000009</v>
      </c>
      <c r="H147" s="119">
        <f t="shared" si="238"/>
        <v>4.1000000000000005</v>
      </c>
      <c r="I147" s="119">
        <f t="shared" si="238"/>
        <v>5.8</v>
      </c>
      <c r="J147" s="119">
        <f t="shared" si="238"/>
        <v>1.7999999999999989</v>
      </c>
      <c r="K147" s="119">
        <f t="shared" si="238"/>
        <v>1.6500000000000021</v>
      </c>
      <c r="L147" s="119">
        <f t="shared" si="238"/>
        <v>2.7800000000000002</v>
      </c>
      <c r="M147" s="119">
        <f t="shared" si="238"/>
        <v>0</v>
      </c>
      <c r="N147" s="119">
        <f t="shared" si="238"/>
        <v>2.0000000000000036</v>
      </c>
      <c r="O147" s="119">
        <f t="shared" si="238"/>
        <v>0</v>
      </c>
      <c r="P147" s="119">
        <f t="shared" si="238"/>
        <v>-2.2204460492503131E-16</v>
      </c>
      <c r="Q147" s="119">
        <f t="shared" si="238"/>
        <v>0.59999999999999898</v>
      </c>
      <c r="R147" s="119">
        <f t="shared" si="238"/>
        <v>0</v>
      </c>
      <c r="S147" s="119">
        <f t="shared" si="238"/>
        <v>4.4408920985006262E-16</v>
      </c>
      <c r="T147" s="119">
        <f t="shared" si="238"/>
        <v>-5.5511151231257827E-17</v>
      </c>
      <c r="U147" s="119">
        <f t="shared" si="238"/>
        <v>0</v>
      </c>
      <c r="V147" s="119">
        <f t="shared" si="238"/>
        <v>0</v>
      </c>
      <c r="W147" s="119">
        <f t="shared" si="238"/>
        <v>0</v>
      </c>
      <c r="X147" s="119">
        <f t="shared" si="238"/>
        <v>0</v>
      </c>
      <c r="Y147" s="431">
        <f t="shared" ref="Y147:AV147" si="239">Y61-Y148-Y149-Y150-Y151-Y152-Y153-Y155-Y156-Y157-Y158-Y159-Y160-Y161-Y162-Y154</f>
        <v>0</v>
      </c>
      <c r="Z147" s="426">
        <f t="shared" si="239"/>
        <v>0</v>
      </c>
      <c r="AA147" s="426">
        <f t="shared" si="239"/>
        <v>0</v>
      </c>
      <c r="AB147" s="426">
        <f t="shared" si="239"/>
        <v>0</v>
      </c>
      <c r="AC147" s="426">
        <f t="shared" si="239"/>
        <v>0</v>
      </c>
      <c r="AD147" s="426">
        <f t="shared" si="239"/>
        <v>0</v>
      </c>
      <c r="AE147" s="426">
        <f t="shared" si="239"/>
        <v>0</v>
      </c>
      <c r="AF147" s="426">
        <f t="shared" si="239"/>
        <v>0</v>
      </c>
      <c r="AG147" s="426">
        <f t="shared" si="239"/>
        <v>0</v>
      </c>
      <c r="AH147" s="426">
        <f t="shared" si="239"/>
        <v>0</v>
      </c>
      <c r="AI147" s="426">
        <f t="shared" si="239"/>
        <v>0</v>
      </c>
      <c r="AJ147" s="426">
        <f t="shared" si="239"/>
        <v>0</v>
      </c>
      <c r="AK147" s="431">
        <f t="shared" si="239"/>
        <v>0</v>
      </c>
      <c r="AL147" s="426">
        <f t="shared" si="239"/>
        <v>0</v>
      </c>
      <c r="AM147" s="426">
        <f t="shared" si="239"/>
        <v>0</v>
      </c>
      <c r="AN147" s="426">
        <f t="shared" si="239"/>
        <v>0</v>
      </c>
      <c r="AO147" s="426">
        <f t="shared" si="239"/>
        <v>0</v>
      </c>
      <c r="AP147" s="426">
        <f t="shared" si="239"/>
        <v>0</v>
      </c>
      <c r="AQ147" s="426">
        <f t="shared" si="239"/>
        <v>0</v>
      </c>
      <c r="AR147" s="426">
        <f t="shared" si="239"/>
        <v>0</v>
      </c>
      <c r="AS147" s="426">
        <f t="shared" si="239"/>
        <v>0</v>
      </c>
      <c r="AT147" s="426">
        <f t="shared" si="239"/>
        <v>0</v>
      </c>
      <c r="AU147" s="426">
        <f t="shared" si="239"/>
        <v>0</v>
      </c>
      <c r="AV147" s="751">
        <f t="shared" si="239"/>
        <v>0</v>
      </c>
      <c r="AW147" s="31"/>
      <c r="AX147" s="31"/>
      <c r="AY147" s="31"/>
      <c r="AZ147" s="31"/>
      <c r="BA147" s="31"/>
    </row>
    <row r="148" spans="1:53">
      <c r="A148" s="327"/>
      <c r="B148" s="36" t="s">
        <v>0</v>
      </c>
      <c r="C148" s="7" t="s">
        <v>20</v>
      </c>
      <c r="D148" s="27" t="s">
        <v>19</v>
      </c>
      <c r="E148" s="55">
        <v>7.9961773800000016</v>
      </c>
      <c r="F148" s="55">
        <v>11.397207600000003</v>
      </c>
      <c r="G148" s="55">
        <v>12.68643397</v>
      </c>
      <c r="H148" s="98">
        <v>12</v>
      </c>
      <c r="I148" s="98">
        <v>12.8</v>
      </c>
      <c r="J148" s="98">
        <v>12</v>
      </c>
      <c r="K148" s="243">
        <v>12.499999999999998</v>
      </c>
      <c r="L148" s="243">
        <v>13</v>
      </c>
      <c r="M148" s="223">
        <v>5.59</v>
      </c>
      <c r="N148" s="223">
        <v>1.7200000000000002</v>
      </c>
      <c r="O148" s="223"/>
      <c r="P148" s="223">
        <v>0</v>
      </c>
      <c r="Q148" s="223">
        <v>2.35</v>
      </c>
      <c r="R148" s="223"/>
      <c r="S148" s="98">
        <f>6.6-4</f>
        <v>2.5999999999999996</v>
      </c>
      <c r="T148" s="223">
        <v>0.9</v>
      </c>
      <c r="U148" s="223"/>
      <c r="V148" s="223"/>
      <c r="W148" s="223"/>
      <c r="X148" s="223">
        <v>0.6</v>
      </c>
      <c r="Y148" s="464">
        <v>10.93</v>
      </c>
      <c r="Z148" s="98">
        <v>15</v>
      </c>
      <c r="AA148" s="223"/>
      <c r="AB148" s="223">
        <v>2</v>
      </c>
      <c r="AC148" s="223"/>
      <c r="AD148" s="223"/>
      <c r="AE148" s="223"/>
      <c r="AF148" s="223"/>
      <c r="AG148" s="223"/>
      <c r="AH148" s="223">
        <v>1</v>
      </c>
      <c r="AI148" s="98">
        <v>4</v>
      </c>
      <c r="AJ148" s="223"/>
      <c r="AK148" s="437"/>
      <c r="AL148" s="223"/>
      <c r="AM148" s="223"/>
      <c r="AN148" s="223"/>
      <c r="AO148" s="223"/>
      <c r="AP148" s="223"/>
      <c r="AQ148" s="223"/>
      <c r="AR148" s="223"/>
      <c r="AS148" s="223"/>
      <c r="AT148" s="223"/>
      <c r="AU148" s="223"/>
      <c r="AV148" s="749"/>
      <c r="AW148" s="38"/>
      <c r="AX148" s="31"/>
      <c r="AY148" s="31"/>
      <c r="AZ148" s="31"/>
      <c r="BA148" s="31"/>
    </row>
    <row r="149" spans="1:53">
      <c r="A149" s="327"/>
      <c r="B149" s="102" t="s">
        <v>0</v>
      </c>
      <c r="C149" s="8" t="s">
        <v>20</v>
      </c>
      <c r="D149" s="23" t="s">
        <v>22</v>
      </c>
      <c r="E149" s="72">
        <v>1.3822620000000001E-2</v>
      </c>
      <c r="F149" s="72">
        <v>1.388581E-2</v>
      </c>
      <c r="G149" s="72">
        <v>1.3872200000000001E-2</v>
      </c>
      <c r="H149" s="72">
        <v>0.2</v>
      </c>
      <c r="I149" s="72">
        <v>0.2</v>
      </c>
      <c r="J149" s="72">
        <v>0</v>
      </c>
      <c r="K149" s="123">
        <v>0.85</v>
      </c>
      <c r="L149" s="123">
        <v>0.42</v>
      </c>
      <c r="M149" s="123">
        <v>0</v>
      </c>
      <c r="N149" s="123">
        <v>0</v>
      </c>
      <c r="O149" s="123">
        <v>0</v>
      </c>
      <c r="P149" s="123">
        <v>0</v>
      </c>
      <c r="Q149" s="123"/>
      <c r="R149" s="123"/>
      <c r="S149" s="123"/>
      <c r="T149" s="123">
        <v>0.3</v>
      </c>
      <c r="U149" s="123"/>
      <c r="V149" s="123"/>
      <c r="W149" s="72"/>
      <c r="X149" s="72"/>
      <c r="Y149" s="435"/>
      <c r="Z149" s="72"/>
      <c r="AA149" s="72"/>
      <c r="AB149" s="72"/>
      <c r="AC149" s="72"/>
      <c r="AD149" s="72"/>
      <c r="AE149" s="72"/>
      <c r="AF149" s="72"/>
      <c r="AG149" s="72"/>
      <c r="AH149" s="72"/>
      <c r="AI149" s="72"/>
      <c r="AJ149" s="72"/>
      <c r="AK149" s="435"/>
      <c r="AL149" s="72"/>
      <c r="AM149" s="72"/>
      <c r="AN149" s="72"/>
      <c r="AO149" s="72"/>
      <c r="AP149" s="72"/>
      <c r="AQ149" s="72"/>
      <c r="AR149" s="72"/>
      <c r="AS149" s="72"/>
      <c r="AT149" s="72"/>
      <c r="AU149" s="72"/>
      <c r="AV149" s="744"/>
      <c r="AW149" s="38"/>
      <c r="AX149" s="31"/>
      <c r="AY149" s="31"/>
      <c r="AZ149" s="31"/>
      <c r="BA149" s="31"/>
    </row>
    <row r="150" spans="1:53">
      <c r="A150" s="327"/>
      <c r="B150" s="36" t="s">
        <v>0</v>
      </c>
      <c r="C150" s="20" t="s">
        <v>17</v>
      </c>
      <c r="D150" s="26" t="s">
        <v>14</v>
      </c>
      <c r="E150" s="50"/>
      <c r="F150" s="50"/>
      <c r="G150" s="50"/>
      <c r="H150" s="50"/>
      <c r="I150" s="50"/>
      <c r="J150" s="50"/>
      <c r="K150" s="50"/>
      <c r="L150" s="50"/>
      <c r="M150" s="50"/>
      <c r="N150" s="50"/>
      <c r="O150" s="50"/>
      <c r="P150" s="50"/>
      <c r="Q150" s="50"/>
      <c r="R150" s="50"/>
      <c r="S150" s="50"/>
      <c r="T150" s="50"/>
      <c r="U150" s="50"/>
      <c r="V150" s="50"/>
      <c r="W150" s="50"/>
      <c r="X150" s="50"/>
      <c r="Y150" s="54"/>
      <c r="Z150" s="55"/>
      <c r="AA150" s="55"/>
      <c r="AB150" s="55"/>
      <c r="AC150" s="55"/>
      <c r="AD150" s="55"/>
      <c r="AE150" s="55"/>
      <c r="AF150" s="55"/>
      <c r="AG150" s="55"/>
      <c r="AH150" s="55"/>
      <c r="AI150" s="55"/>
      <c r="AJ150" s="55"/>
      <c r="AK150" s="439"/>
      <c r="AL150" s="71"/>
      <c r="AM150" s="71"/>
      <c r="AN150" s="71"/>
      <c r="AO150" s="71"/>
      <c r="AP150" s="71"/>
      <c r="AQ150" s="71"/>
      <c r="AR150" s="71"/>
      <c r="AS150" s="71"/>
      <c r="AT150" s="71"/>
      <c r="AU150" s="71"/>
      <c r="AV150" s="743"/>
      <c r="AW150" s="38"/>
      <c r="AX150" s="31"/>
      <c r="AY150" s="31"/>
      <c r="AZ150" s="31"/>
      <c r="BA150" s="31"/>
    </row>
    <row r="151" spans="1:53">
      <c r="A151" s="327"/>
      <c r="B151" s="36" t="s">
        <v>0</v>
      </c>
      <c r="C151" s="20" t="s">
        <v>17</v>
      </c>
      <c r="D151" s="27" t="s">
        <v>19</v>
      </c>
      <c r="E151" s="50"/>
      <c r="F151" s="50"/>
      <c r="G151" s="50"/>
      <c r="H151" s="50"/>
      <c r="I151" s="50"/>
      <c r="J151" s="50"/>
      <c r="K151" s="50"/>
      <c r="L151" s="50"/>
      <c r="M151" s="50"/>
      <c r="N151" s="50"/>
      <c r="O151" s="50"/>
      <c r="P151" s="50"/>
      <c r="Q151" s="50"/>
      <c r="R151" s="50"/>
      <c r="S151" s="50"/>
      <c r="T151" s="50"/>
      <c r="U151" s="50"/>
      <c r="V151" s="50"/>
      <c r="W151" s="50"/>
      <c r="X151" s="50"/>
      <c r="Y151" s="54"/>
      <c r="Z151" s="55"/>
      <c r="AA151" s="55"/>
      <c r="AB151" s="55"/>
      <c r="AC151" s="55"/>
      <c r="AD151" s="55"/>
      <c r="AE151" s="55"/>
      <c r="AF151" s="55"/>
      <c r="AG151" s="55"/>
      <c r="AH151" s="55"/>
      <c r="AI151" s="55"/>
      <c r="AJ151" s="55"/>
      <c r="AK151" s="435"/>
      <c r="AL151" s="72"/>
      <c r="AM151" s="72"/>
      <c r="AN151" s="72"/>
      <c r="AO151" s="72"/>
      <c r="AP151" s="72"/>
      <c r="AQ151" s="72"/>
      <c r="AR151" s="72"/>
      <c r="AS151" s="72"/>
      <c r="AT151" s="72"/>
      <c r="AU151" s="72"/>
      <c r="AV151" s="744"/>
      <c r="AW151" s="38"/>
      <c r="AX151" s="31"/>
      <c r="AY151" s="31"/>
      <c r="AZ151" s="31"/>
      <c r="BA151" s="31"/>
    </row>
    <row r="152" spans="1:53">
      <c r="A152" s="327"/>
      <c r="B152" s="101" t="s">
        <v>0</v>
      </c>
      <c r="C152" s="14" t="s">
        <v>23</v>
      </c>
      <c r="D152" s="24" t="s">
        <v>14</v>
      </c>
      <c r="E152" s="71"/>
      <c r="F152" s="71"/>
      <c r="G152" s="71"/>
      <c r="H152" s="71"/>
      <c r="I152" s="71"/>
      <c r="J152" s="71"/>
      <c r="K152" s="71"/>
      <c r="L152" s="71"/>
      <c r="M152" s="71"/>
      <c r="N152" s="71"/>
      <c r="O152" s="71"/>
      <c r="P152" s="71"/>
      <c r="Q152" s="71"/>
      <c r="R152" s="71"/>
      <c r="S152" s="71"/>
      <c r="T152" s="71"/>
      <c r="U152" s="71"/>
      <c r="V152" s="71"/>
      <c r="W152" s="71"/>
      <c r="X152" s="496"/>
      <c r="Y152" s="439"/>
      <c r="Z152" s="71"/>
      <c r="AA152" s="71"/>
      <c r="AB152" s="71"/>
      <c r="AC152" s="71"/>
      <c r="AD152" s="71"/>
      <c r="AE152" s="71"/>
      <c r="AF152" s="71"/>
      <c r="AG152" s="71"/>
      <c r="AH152" s="71"/>
      <c r="AI152" s="71"/>
      <c r="AJ152" s="71"/>
      <c r="AK152" s="439"/>
      <c r="AL152" s="71"/>
      <c r="AM152" s="71"/>
      <c r="AN152" s="71"/>
      <c r="AO152" s="71"/>
      <c r="AP152" s="71"/>
      <c r="AQ152" s="71"/>
      <c r="AR152" s="71"/>
      <c r="AS152" s="71"/>
      <c r="AT152" s="71"/>
      <c r="AU152" s="71"/>
      <c r="AV152" s="743"/>
      <c r="AW152" s="38"/>
      <c r="AX152" s="31"/>
      <c r="AY152" s="31"/>
      <c r="AZ152" s="31"/>
      <c r="BA152" s="31"/>
    </row>
    <row r="153" spans="1:53">
      <c r="A153" s="327"/>
      <c r="B153" s="36" t="s">
        <v>0</v>
      </c>
      <c r="C153" s="328" t="s">
        <v>23</v>
      </c>
      <c r="D153" s="27" t="s">
        <v>19</v>
      </c>
      <c r="E153" s="72">
        <v>1.2</v>
      </c>
      <c r="F153" s="72">
        <v>1.2</v>
      </c>
      <c r="G153" s="123">
        <v>0.6</v>
      </c>
      <c r="H153" s="123">
        <v>1.8</v>
      </c>
      <c r="I153" s="227">
        <v>2.4</v>
      </c>
      <c r="J153" s="123">
        <v>1.8</v>
      </c>
      <c r="K153" s="123">
        <v>2.4</v>
      </c>
      <c r="L153" s="123">
        <v>2.4</v>
      </c>
      <c r="M153" s="123">
        <v>4.33</v>
      </c>
      <c r="N153" s="123">
        <v>4.2</v>
      </c>
      <c r="O153" s="118">
        <v>3</v>
      </c>
      <c r="P153" s="118">
        <v>1.8</v>
      </c>
      <c r="Q153" s="123">
        <v>1.8</v>
      </c>
      <c r="R153" s="123"/>
      <c r="S153" s="123">
        <v>1.4</v>
      </c>
      <c r="T153" s="123"/>
      <c r="U153" s="123"/>
      <c r="V153" s="123"/>
      <c r="W153" s="123"/>
      <c r="X153" s="497"/>
      <c r="Y153" s="437">
        <v>3.6</v>
      </c>
      <c r="Z153" s="223"/>
      <c r="AA153" s="223"/>
      <c r="AB153" s="223"/>
      <c r="AC153" s="223"/>
      <c r="AD153" s="223"/>
      <c r="AE153" s="223"/>
      <c r="AF153" s="223"/>
      <c r="AG153" s="223"/>
      <c r="AH153" s="223"/>
      <c r="AI153" s="223"/>
      <c r="AJ153" s="223"/>
      <c r="AK153" s="437"/>
      <c r="AL153" s="223"/>
      <c r="AM153" s="223"/>
      <c r="AN153" s="223"/>
      <c r="AO153" s="223"/>
      <c r="AP153" s="223"/>
      <c r="AQ153" s="223"/>
      <c r="AR153" s="223"/>
      <c r="AS153" s="223"/>
      <c r="AT153" s="223"/>
      <c r="AU153" s="223"/>
      <c r="AV153" s="749"/>
      <c r="AW153" s="38"/>
      <c r="AX153" s="31"/>
      <c r="AY153" s="31"/>
      <c r="AZ153" s="31"/>
      <c r="BA153" s="31"/>
    </row>
    <row r="154" spans="1:53">
      <c r="A154" s="327"/>
      <c r="B154" s="102" t="s">
        <v>0</v>
      </c>
      <c r="C154" s="15" t="s">
        <v>23</v>
      </c>
      <c r="D154" s="23" t="s">
        <v>22</v>
      </c>
      <c r="E154" s="55"/>
      <c r="F154" s="55"/>
      <c r="G154" s="223"/>
      <c r="H154" s="223"/>
      <c r="I154" s="243"/>
      <c r="J154" s="223"/>
      <c r="K154" s="223"/>
      <c r="L154" s="223"/>
      <c r="M154" s="223"/>
      <c r="N154" s="223"/>
      <c r="O154" s="98"/>
      <c r="P154" s="98"/>
      <c r="Q154" s="223"/>
      <c r="R154" s="223"/>
      <c r="S154" s="223"/>
      <c r="T154" s="223"/>
      <c r="U154" s="223"/>
      <c r="V154" s="223"/>
      <c r="W154" s="223"/>
      <c r="X154" s="498"/>
      <c r="Y154" s="438">
        <v>0.8</v>
      </c>
      <c r="Z154" s="123"/>
      <c r="AA154" s="123"/>
      <c r="AB154" s="123"/>
      <c r="AC154" s="123"/>
      <c r="AD154" s="123"/>
      <c r="AE154" s="123"/>
      <c r="AF154" s="123"/>
      <c r="AG154" s="123"/>
      <c r="AH154" s="123"/>
      <c r="AI154" s="123"/>
      <c r="AJ154" s="123"/>
      <c r="AK154" s="438"/>
      <c r="AL154" s="123"/>
      <c r="AM154" s="123"/>
      <c r="AN154" s="123"/>
      <c r="AO154" s="123"/>
      <c r="AP154" s="123"/>
      <c r="AQ154" s="123"/>
      <c r="AR154" s="123"/>
      <c r="AS154" s="123"/>
      <c r="AT154" s="123"/>
      <c r="AU154" s="123"/>
      <c r="AV154" s="752"/>
      <c r="AW154" s="38"/>
      <c r="AX154" s="31"/>
      <c r="AY154" s="31"/>
      <c r="AZ154" s="31"/>
      <c r="BA154" s="31"/>
    </row>
    <row r="155" spans="1:53">
      <c r="A155" s="327"/>
      <c r="B155" s="36" t="s">
        <v>0</v>
      </c>
      <c r="C155" s="16" t="s">
        <v>24</v>
      </c>
      <c r="D155" s="26" t="s">
        <v>14</v>
      </c>
      <c r="E155" s="50">
        <v>0</v>
      </c>
      <c r="F155" s="50">
        <v>0.7</v>
      </c>
      <c r="G155" s="50">
        <v>0.7</v>
      </c>
      <c r="H155" s="50">
        <v>0.7</v>
      </c>
      <c r="I155" s="50">
        <v>0</v>
      </c>
      <c r="J155" s="50">
        <v>0</v>
      </c>
      <c r="K155" s="50">
        <v>0</v>
      </c>
      <c r="L155" s="50">
        <v>0.7</v>
      </c>
      <c r="M155" s="50">
        <v>0</v>
      </c>
      <c r="N155" s="50">
        <v>0</v>
      </c>
      <c r="O155" s="120">
        <v>0</v>
      </c>
      <c r="P155" s="50">
        <v>0</v>
      </c>
      <c r="Q155" s="50">
        <v>0</v>
      </c>
      <c r="R155" s="50">
        <v>0</v>
      </c>
      <c r="S155" s="50"/>
      <c r="T155" s="50"/>
      <c r="U155" s="50"/>
      <c r="V155" s="50"/>
      <c r="W155" s="50"/>
      <c r="X155" s="50">
        <v>0</v>
      </c>
      <c r="Y155" s="54"/>
      <c r="Z155" s="55"/>
      <c r="AA155" s="55"/>
      <c r="AB155" s="55"/>
      <c r="AC155" s="55"/>
      <c r="AD155" s="55"/>
      <c r="AE155" s="55"/>
      <c r="AF155" s="55"/>
      <c r="AG155" s="55"/>
      <c r="AH155" s="55"/>
      <c r="AI155" s="55"/>
      <c r="AJ155" s="55"/>
      <c r="AK155" s="439"/>
      <c r="AL155" s="71"/>
      <c r="AM155" s="71"/>
      <c r="AN155" s="71"/>
      <c r="AO155" s="71"/>
      <c r="AP155" s="71"/>
      <c r="AQ155" s="71"/>
      <c r="AR155" s="71"/>
      <c r="AS155" s="71"/>
      <c r="AT155" s="71"/>
      <c r="AU155" s="71"/>
      <c r="AV155" s="743"/>
      <c r="AW155" s="38"/>
      <c r="AX155" s="31"/>
      <c r="AY155" s="31"/>
      <c r="AZ155" s="31"/>
      <c r="BA155" s="31"/>
    </row>
    <row r="156" spans="1:53">
      <c r="A156" s="327"/>
      <c r="B156" s="36" t="s">
        <v>0</v>
      </c>
      <c r="C156" s="16" t="s">
        <v>24</v>
      </c>
      <c r="D156" s="27" t="s">
        <v>19</v>
      </c>
      <c r="E156" s="50">
        <v>5</v>
      </c>
      <c r="F156" s="50">
        <v>5</v>
      </c>
      <c r="G156" s="50">
        <v>5</v>
      </c>
      <c r="H156" s="50">
        <v>6.2</v>
      </c>
      <c r="I156" s="50">
        <v>3.8</v>
      </c>
      <c r="J156" s="240">
        <v>6.4</v>
      </c>
      <c r="K156" s="240">
        <v>5.6</v>
      </c>
      <c r="L156" s="240">
        <v>5.7</v>
      </c>
      <c r="M156" s="50">
        <v>10.08</v>
      </c>
      <c r="N156" s="50">
        <v>10.079999999999998</v>
      </c>
      <c r="O156" s="120">
        <v>4</v>
      </c>
      <c r="P156" s="50">
        <v>0.20000000000000018</v>
      </c>
      <c r="Q156" s="50">
        <v>1.2500000000000009</v>
      </c>
      <c r="R156" s="50"/>
      <c r="S156" s="50"/>
      <c r="T156" s="50"/>
      <c r="U156" s="50"/>
      <c r="V156" s="50"/>
      <c r="W156" s="120">
        <v>13</v>
      </c>
      <c r="X156" s="120">
        <f>11+3-3</f>
        <v>11</v>
      </c>
      <c r="Y156" s="464">
        <v>3.67</v>
      </c>
      <c r="Z156" s="55"/>
      <c r="AA156" s="55"/>
      <c r="AB156" s="55"/>
      <c r="AC156" s="55"/>
      <c r="AD156" s="55"/>
      <c r="AE156" s="55"/>
      <c r="AF156" s="55"/>
      <c r="AG156" s="55"/>
      <c r="AH156" s="55"/>
      <c r="AI156" s="55"/>
      <c r="AJ156" s="55"/>
      <c r="AK156" s="435"/>
      <c r="AL156" s="72"/>
      <c r="AM156" s="72"/>
      <c r="AN156" s="72"/>
      <c r="AO156" s="72"/>
      <c r="AP156" s="72"/>
      <c r="AQ156" s="72"/>
      <c r="AR156" s="72"/>
      <c r="AS156" s="72"/>
      <c r="AT156" s="72"/>
      <c r="AU156" s="72"/>
      <c r="AV156" s="744"/>
      <c r="AW156" s="38"/>
      <c r="AX156" s="31"/>
      <c r="AY156" s="31"/>
      <c r="AZ156" s="31"/>
      <c r="BA156" s="31"/>
    </row>
    <row r="157" spans="1:53">
      <c r="A157" s="327"/>
      <c r="B157" s="101" t="s">
        <v>0</v>
      </c>
      <c r="C157" s="17" t="s">
        <v>28</v>
      </c>
      <c r="D157" s="24" t="s">
        <v>14</v>
      </c>
      <c r="E157" s="71"/>
      <c r="F157" s="71"/>
      <c r="G157" s="71"/>
      <c r="H157" s="71"/>
      <c r="I157" s="71"/>
      <c r="J157" s="71"/>
      <c r="K157" s="71"/>
      <c r="L157" s="71"/>
      <c r="M157" s="71"/>
      <c r="N157" s="71"/>
      <c r="O157" s="71"/>
      <c r="P157" s="71"/>
      <c r="Q157" s="71"/>
      <c r="R157" s="71"/>
      <c r="S157" s="71"/>
      <c r="T157" s="71"/>
      <c r="U157" s="71"/>
      <c r="V157" s="71"/>
      <c r="W157" s="71"/>
      <c r="X157" s="71"/>
      <c r="Y157" s="439"/>
      <c r="Z157" s="71"/>
      <c r="AA157" s="71"/>
      <c r="AB157" s="71"/>
      <c r="AC157" s="71"/>
      <c r="AD157" s="71"/>
      <c r="AE157" s="71"/>
      <c r="AF157" s="71"/>
      <c r="AG157" s="71"/>
      <c r="AH157" s="71"/>
      <c r="AI157" s="71"/>
      <c r="AJ157" s="71"/>
      <c r="AK157" s="439"/>
      <c r="AL157" s="71"/>
      <c r="AM157" s="71"/>
      <c r="AN157" s="71"/>
      <c r="AO157" s="71"/>
      <c r="AP157" s="71"/>
      <c r="AQ157" s="71"/>
      <c r="AR157" s="71"/>
      <c r="AS157" s="71"/>
      <c r="AT157" s="71"/>
      <c r="AU157" s="71"/>
      <c r="AV157" s="743"/>
      <c r="AW157" s="38"/>
      <c r="AX157" s="31"/>
      <c r="AY157" s="31"/>
      <c r="AZ157" s="31"/>
      <c r="BA157" s="31"/>
    </row>
    <row r="158" spans="1:53">
      <c r="A158" s="327"/>
      <c r="B158" s="102" t="s">
        <v>0</v>
      </c>
      <c r="C158" s="18" t="s">
        <v>28</v>
      </c>
      <c r="D158" s="23" t="s">
        <v>19</v>
      </c>
      <c r="E158" s="72"/>
      <c r="F158" s="72"/>
      <c r="G158" s="72"/>
      <c r="H158" s="72"/>
      <c r="I158" s="72"/>
      <c r="J158" s="72"/>
      <c r="K158" s="72"/>
      <c r="L158" s="72"/>
      <c r="M158" s="72"/>
      <c r="N158" s="72"/>
      <c r="O158" s="72"/>
      <c r="P158" s="72"/>
      <c r="Q158" s="72"/>
      <c r="R158" s="72"/>
      <c r="S158" s="72"/>
      <c r="T158" s="72"/>
      <c r="U158" s="72"/>
      <c r="V158" s="72"/>
      <c r="W158" s="72"/>
      <c r="X158" s="72"/>
      <c r="Y158" s="435"/>
      <c r="Z158" s="72"/>
      <c r="AA158" s="72"/>
      <c r="AB158" s="72"/>
      <c r="AC158" s="72"/>
      <c r="AD158" s="72"/>
      <c r="AE158" s="72"/>
      <c r="AF158" s="72"/>
      <c r="AG158" s="72"/>
      <c r="AH158" s="72"/>
      <c r="AI158" s="72"/>
      <c r="AJ158" s="72"/>
      <c r="AK158" s="435"/>
      <c r="AL158" s="72"/>
      <c r="AM158" s="72"/>
      <c r="AN158" s="72"/>
      <c r="AO158" s="72"/>
      <c r="AP158" s="72"/>
      <c r="AQ158" s="72"/>
      <c r="AR158" s="72"/>
      <c r="AS158" s="72"/>
      <c r="AT158" s="72"/>
      <c r="AU158" s="72"/>
      <c r="AV158" s="744"/>
      <c r="AW158" s="38"/>
      <c r="AX158" s="31"/>
      <c r="AY158" s="31"/>
      <c r="AZ158" s="31"/>
      <c r="BA158" s="31"/>
    </row>
    <row r="159" spans="1:53">
      <c r="A159" s="327"/>
      <c r="B159" s="101" t="s">
        <v>0</v>
      </c>
      <c r="C159" s="17" t="s">
        <v>159</v>
      </c>
      <c r="D159" s="24" t="s">
        <v>14</v>
      </c>
      <c r="E159" s="50"/>
      <c r="F159" s="50"/>
      <c r="G159" s="50"/>
      <c r="H159" s="50"/>
      <c r="I159" s="50"/>
      <c r="J159" s="50"/>
      <c r="K159" s="50"/>
      <c r="L159" s="50"/>
      <c r="M159" s="50"/>
      <c r="N159" s="50"/>
      <c r="O159" s="50"/>
      <c r="P159" s="50"/>
      <c r="Q159" s="50"/>
      <c r="R159" s="50"/>
      <c r="S159" s="50"/>
      <c r="T159" s="50"/>
      <c r="U159" s="50"/>
      <c r="V159" s="50"/>
      <c r="W159" s="50"/>
      <c r="X159" s="50"/>
      <c r="Y159" s="54"/>
      <c r="Z159" s="55"/>
      <c r="AA159" s="55"/>
      <c r="AB159" s="55"/>
      <c r="AC159" s="55"/>
      <c r="AD159" s="55"/>
      <c r="AE159" s="55"/>
      <c r="AF159" s="55"/>
      <c r="AG159" s="55"/>
      <c r="AH159" s="55"/>
      <c r="AI159" s="55"/>
      <c r="AJ159" s="55"/>
      <c r="AK159" s="439"/>
      <c r="AL159" s="71"/>
      <c r="AM159" s="71"/>
      <c r="AN159" s="71"/>
      <c r="AO159" s="71"/>
      <c r="AP159" s="71"/>
      <c r="AQ159" s="71"/>
      <c r="AR159" s="71"/>
      <c r="AS159" s="71"/>
      <c r="AT159" s="71"/>
      <c r="AU159" s="71"/>
      <c r="AV159" s="743"/>
      <c r="AW159" s="38"/>
      <c r="AX159" s="31"/>
      <c r="AY159" s="31"/>
      <c r="AZ159" s="31"/>
      <c r="BA159" s="31"/>
    </row>
    <row r="160" spans="1:53">
      <c r="A160" s="327"/>
      <c r="B160" s="102" t="s">
        <v>0</v>
      </c>
      <c r="C160" s="18" t="s">
        <v>159</v>
      </c>
      <c r="D160" s="23" t="s">
        <v>19</v>
      </c>
      <c r="E160" s="50"/>
      <c r="F160" s="50"/>
      <c r="G160" s="50"/>
      <c r="H160" s="50"/>
      <c r="I160" s="50"/>
      <c r="J160" s="50"/>
      <c r="K160" s="50"/>
      <c r="L160" s="50"/>
      <c r="M160" s="50"/>
      <c r="N160" s="50"/>
      <c r="O160" s="50"/>
      <c r="P160" s="50"/>
      <c r="Q160" s="50"/>
      <c r="R160" s="50"/>
      <c r="S160" s="50"/>
      <c r="T160" s="50"/>
      <c r="U160" s="50"/>
      <c r="V160" s="50"/>
      <c r="W160" s="50"/>
      <c r="X160" s="50"/>
      <c r="Y160" s="54"/>
      <c r="Z160" s="55"/>
      <c r="AA160" s="55"/>
      <c r="AB160" s="55"/>
      <c r="AC160" s="55"/>
      <c r="AD160" s="55"/>
      <c r="AE160" s="55"/>
      <c r="AF160" s="55"/>
      <c r="AG160" s="55"/>
      <c r="AH160" s="55"/>
      <c r="AI160" s="55"/>
      <c r="AJ160" s="55"/>
      <c r="AK160" s="435"/>
      <c r="AL160" s="72"/>
      <c r="AM160" s="72"/>
      <c r="AN160" s="72"/>
      <c r="AO160" s="72"/>
      <c r="AP160" s="72"/>
      <c r="AQ160" s="72"/>
      <c r="AR160" s="72"/>
      <c r="AS160" s="72"/>
      <c r="AT160" s="72"/>
      <c r="AU160" s="72"/>
      <c r="AV160" s="744"/>
      <c r="AW160" s="38"/>
      <c r="AX160" s="31"/>
      <c r="AY160" s="31"/>
      <c r="AZ160" s="31"/>
      <c r="BA160" s="31"/>
    </row>
    <row r="161" spans="1:53">
      <c r="A161" s="327"/>
      <c r="B161" s="101" t="s">
        <v>0</v>
      </c>
      <c r="C161" s="19" t="s">
        <v>29</v>
      </c>
      <c r="D161" s="24" t="s">
        <v>14</v>
      </c>
      <c r="E161" s="71"/>
      <c r="F161" s="71"/>
      <c r="G161" s="71"/>
      <c r="H161" s="71"/>
      <c r="I161" s="71"/>
      <c r="J161" s="71"/>
      <c r="K161" s="71"/>
      <c r="L161" s="71"/>
      <c r="M161" s="71"/>
      <c r="N161" s="71"/>
      <c r="O161" s="71"/>
      <c r="P161" s="71"/>
      <c r="Q161" s="71"/>
      <c r="R161" s="71"/>
      <c r="S161" s="71"/>
      <c r="T161" s="71"/>
      <c r="U161" s="71"/>
      <c r="V161" s="71"/>
      <c r="W161" s="71"/>
      <c r="X161" s="71"/>
      <c r="Y161" s="439"/>
      <c r="Z161" s="71"/>
      <c r="AA161" s="71"/>
      <c r="AB161" s="71"/>
      <c r="AC161" s="71"/>
      <c r="AD161" s="71"/>
      <c r="AE161" s="71"/>
      <c r="AF161" s="71"/>
      <c r="AG161" s="71"/>
      <c r="AH161" s="71"/>
      <c r="AI161" s="71"/>
      <c r="AJ161" s="71"/>
      <c r="AK161" s="439"/>
      <c r="AL161" s="71"/>
      <c r="AM161" s="71"/>
      <c r="AN161" s="71"/>
      <c r="AO161" s="71"/>
      <c r="AP161" s="71"/>
      <c r="AQ161" s="71"/>
      <c r="AR161" s="71"/>
      <c r="AS161" s="71"/>
      <c r="AT161" s="71"/>
      <c r="AU161" s="71"/>
      <c r="AV161" s="743"/>
      <c r="AW161" s="38"/>
      <c r="AX161" s="31"/>
      <c r="AY161" s="31"/>
      <c r="AZ161" s="31"/>
      <c r="BA161" s="31"/>
    </row>
    <row r="162" spans="1:53">
      <c r="A162" s="327"/>
      <c r="B162" s="102" t="s">
        <v>0</v>
      </c>
      <c r="C162" s="19" t="s">
        <v>29</v>
      </c>
      <c r="D162" s="23" t="s">
        <v>19</v>
      </c>
      <c r="E162" s="72"/>
      <c r="F162" s="72"/>
      <c r="G162" s="72"/>
      <c r="H162" s="72"/>
      <c r="I162" s="72"/>
      <c r="J162" s="72"/>
      <c r="K162" s="72"/>
      <c r="L162" s="72"/>
      <c r="M162" s="72"/>
      <c r="N162" s="72"/>
      <c r="O162" s="72"/>
      <c r="P162" s="72"/>
      <c r="Q162" s="72"/>
      <c r="R162" s="72"/>
      <c r="S162" s="72"/>
      <c r="T162" s="72"/>
      <c r="U162" s="72"/>
      <c r="V162" s="72"/>
      <c r="W162" s="72"/>
      <c r="X162" s="72"/>
      <c r="Y162" s="435"/>
      <c r="Z162" s="72"/>
      <c r="AA162" s="72"/>
      <c r="AB162" s="72"/>
      <c r="AC162" s="72"/>
      <c r="AD162" s="72"/>
      <c r="AE162" s="72"/>
      <c r="AF162" s="72"/>
      <c r="AG162" s="72"/>
      <c r="AH162" s="72"/>
      <c r="AI162" s="72"/>
      <c r="AJ162" s="72"/>
      <c r="AK162" s="435"/>
      <c r="AL162" s="72"/>
      <c r="AM162" s="72"/>
      <c r="AN162" s="72"/>
      <c r="AO162" s="72"/>
      <c r="AP162" s="72"/>
      <c r="AQ162" s="72"/>
      <c r="AR162" s="72"/>
      <c r="AS162" s="72"/>
      <c r="AT162" s="72"/>
      <c r="AU162" s="72"/>
      <c r="AV162" s="744"/>
      <c r="AW162" s="38"/>
      <c r="AX162" s="31"/>
      <c r="AY162" s="31"/>
      <c r="AZ162" s="31"/>
      <c r="BA162" s="31"/>
    </row>
    <row r="163" spans="1:53">
      <c r="A163" s="327"/>
      <c r="B163" s="336" t="s">
        <v>0</v>
      </c>
      <c r="C163" s="121" t="s">
        <v>80</v>
      </c>
      <c r="D163" s="122" t="s">
        <v>19</v>
      </c>
      <c r="E163" s="55"/>
      <c r="F163" s="55"/>
      <c r="G163" s="55"/>
      <c r="H163" s="55"/>
      <c r="I163" s="55"/>
      <c r="J163" s="55"/>
      <c r="K163" s="100"/>
      <c r="L163" s="100"/>
      <c r="M163" s="100"/>
      <c r="N163" s="100"/>
      <c r="O163" s="100"/>
      <c r="P163" s="100"/>
      <c r="Q163" s="100"/>
      <c r="R163" s="100"/>
      <c r="S163" s="100"/>
      <c r="T163" s="100"/>
      <c r="U163" s="100"/>
      <c r="V163" s="100"/>
      <c r="W163" s="100"/>
      <c r="X163" s="100"/>
      <c r="Y163" s="436"/>
      <c r="Z163" s="100"/>
      <c r="AA163" s="100"/>
      <c r="AB163" s="100"/>
      <c r="AC163" s="100"/>
      <c r="AD163" s="100"/>
      <c r="AE163" s="100"/>
      <c r="AF163" s="100"/>
      <c r="AG163" s="100"/>
      <c r="AH163" s="100"/>
      <c r="AI163" s="100"/>
      <c r="AJ163" s="100"/>
      <c r="AK163" s="436"/>
      <c r="AL163" s="100"/>
      <c r="AM163" s="100"/>
      <c r="AN163" s="100"/>
      <c r="AO163" s="100"/>
      <c r="AP163" s="100"/>
      <c r="AQ163" s="100"/>
      <c r="AR163" s="100"/>
      <c r="AS163" s="100"/>
      <c r="AT163" s="100"/>
      <c r="AU163" s="100"/>
      <c r="AV163" s="746"/>
      <c r="AW163" s="38"/>
      <c r="AX163" s="31"/>
      <c r="AY163" s="31"/>
      <c r="AZ163" s="31"/>
      <c r="BA163" s="31"/>
    </row>
    <row r="164" spans="1:53">
      <c r="A164" s="327"/>
      <c r="B164" s="36" t="s">
        <v>1</v>
      </c>
      <c r="C164" s="7" t="s">
        <v>15</v>
      </c>
      <c r="D164" s="26" t="s">
        <v>14</v>
      </c>
      <c r="E164" s="55"/>
      <c r="F164" s="55"/>
      <c r="G164" s="55"/>
      <c r="H164" s="55"/>
      <c r="I164" s="55"/>
      <c r="J164" s="55"/>
      <c r="K164" s="55"/>
      <c r="L164" s="55"/>
      <c r="M164" s="55"/>
      <c r="N164" s="55"/>
      <c r="O164" s="55"/>
      <c r="P164" s="55"/>
      <c r="Q164" s="55"/>
      <c r="R164" s="55"/>
      <c r="S164" s="55"/>
      <c r="T164" s="55"/>
      <c r="U164" s="55"/>
      <c r="V164" s="55"/>
      <c r="W164" s="55"/>
      <c r="X164" s="55"/>
      <c r="Y164" s="54"/>
      <c r="Z164" s="55">
        <v>0.6</v>
      </c>
      <c r="AA164" s="55"/>
      <c r="AB164" s="55"/>
      <c r="AC164" s="55"/>
      <c r="AD164" s="55"/>
      <c r="AE164" s="55"/>
      <c r="AF164" s="55"/>
      <c r="AG164" s="55"/>
      <c r="AH164" s="55"/>
      <c r="AI164" s="55"/>
      <c r="AJ164" s="55"/>
      <c r="AK164" s="439"/>
      <c r="AL164" s="71"/>
      <c r="AM164" s="71"/>
      <c r="AN164" s="71"/>
      <c r="AO164" s="71"/>
      <c r="AP164" s="71"/>
      <c r="AQ164" s="71"/>
      <c r="AR164" s="71"/>
      <c r="AS164" s="71"/>
      <c r="AT164" s="71"/>
      <c r="AU164" s="71"/>
      <c r="AV164" s="743"/>
      <c r="AW164" s="38"/>
      <c r="AX164" s="31"/>
      <c r="AY164" s="31"/>
      <c r="AZ164" s="31"/>
      <c r="BA164" s="31"/>
    </row>
    <row r="165" spans="1:53">
      <c r="A165" s="327"/>
      <c r="B165" s="36" t="s">
        <v>1</v>
      </c>
      <c r="C165" s="7" t="s">
        <v>20</v>
      </c>
      <c r="D165" s="326" t="s">
        <v>25</v>
      </c>
      <c r="E165" s="50">
        <f t="shared" ref="E165:K165" si="240">E62</f>
        <v>8.4</v>
      </c>
      <c r="F165" s="50">
        <f t="shared" si="240"/>
        <v>6.2</v>
      </c>
      <c r="G165" s="50">
        <f t="shared" si="240"/>
        <v>7.2</v>
      </c>
      <c r="H165" s="50">
        <f t="shared" si="240"/>
        <v>7.2</v>
      </c>
      <c r="I165" s="50">
        <f t="shared" si="240"/>
        <v>7.4</v>
      </c>
      <c r="J165" s="112">
        <f t="shared" si="240"/>
        <v>6.7</v>
      </c>
      <c r="K165" s="112">
        <f t="shared" si="240"/>
        <v>0</v>
      </c>
      <c r="L165" s="112">
        <f>L62-L167</f>
        <v>3.96</v>
      </c>
      <c r="M165" s="112">
        <v>2.5</v>
      </c>
      <c r="N165" s="112">
        <v>2</v>
      </c>
      <c r="O165" s="112">
        <v>2</v>
      </c>
      <c r="P165" s="112">
        <f>P62-P166-P167</f>
        <v>1.4</v>
      </c>
      <c r="Q165" s="112">
        <f>Q62-Q166-Q167</f>
        <v>0</v>
      </c>
      <c r="R165" s="112">
        <f>R62-R166-R167</f>
        <v>0</v>
      </c>
      <c r="S165" s="413">
        <v>0</v>
      </c>
      <c r="T165" s="112">
        <f>T62-T166-T167</f>
        <v>3</v>
      </c>
      <c r="U165" s="120">
        <f>U62-U166-U167-U168</f>
        <v>3</v>
      </c>
      <c r="V165" s="112">
        <f>V62-V166-V167-V168</f>
        <v>6.7600000000000007</v>
      </c>
      <c r="W165" s="112">
        <f>W62-W166-W167-W168</f>
        <v>6.06</v>
      </c>
      <c r="X165" s="112">
        <f>X62-X166-X167-X168</f>
        <v>6.07</v>
      </c>
      <c r="Y165" s="431">
        <f>Y62-Y166-Y167-Y168</f>
        <v>3.5399999999999991</v>
      </c>
      <c r="Z165" s="426">
        <f>Z62-Z166-Z167-Z168-Z164</f>
        <v>1.9999999999999996</v>
      </c>
      <c r="AA165" s="426">
        <f t="shared" ref="AA165:AV165" si="241">AA62-AA166-AA167-AA168</f>
        <v>2</v>
      </c>
      <c r="AB165" s="426">
        <f t="shared" si="241"/>
        <v>1.3500000000000005</v>
      </c>
      <c r="AC165" s="426">
        <f t="shared" si="241"/>
        <v>1.3999999999999995</v>
      </c>
      <c r="AD165" s="426">
        <f t="shared" si="241"/>
        <v>1.4000000000000004</v>
      </c>
      <c r="AE165" s="426">
        <f t="shared" si="241"/>
        <v>2</v>
      </c>
      <c r="AF165" s="426">
        <f t="shared" si="241"/>
        <v>2</v>
      </c>
      <c r="AG165" s="426">
        <f t="shared" si="241"/>
        <v>2</v>
      </c>
      <c r="AH165" s="426">
        <f t="shared" si="241"/>
        <v>2</v>
      </c>
      <c r="AI165" s="426">
        <f t="shared" si="241"/>
        <v>1.9900000000000002</v>
      </c>
      <c r="AJ165" s="426">
        <f t="shared" si="241"/>
        <v>2</v>
      </c>
      <c r="AK165" s="431">
        <f t="shared" si="241"/>
        <v>2</v>
      </c>
      <c r="AL165" s="426">
        <f t="shared" si="241"/>
        <v>2</v>
      </c>
      <c r="AM165" s="426">
        <f t="shared" si="241"/>
        <v>2</v>
      </c>
      <c r="AN165" s="426">
        <f t="shared" si="241"/>
        <v>2</v>
      </c>
      <c r="AO165" s="426">
        <f t="shared" si="241"/>
        <v>2</v>
      </c>
      <c r="AP165" s="426">
        <f t="shared" si="241"/>
        <v>2</v>
      </c>
      <c r="AQ165" s="426">
        <f t="shared" si="241"/>
        <v>2</v>
      </c>
      <c r="AR165" s="426">
        <f t="shared" si="241"/>
        <v>2</v>
      </c>
      <c r="AS165" s="426">
        <f t="shared" si="241"/>
        <v>2</v>
      </c>
      <c r="AT165" s="426">
        <f t="shared" si="241"/>
        <v>2</v>
      </c>
      <c r="AU165" s="426">
        <f t="shared" si="241"/>
        <v>2</v>
      </c>
      <c r="AV165" s="751">
        <f t="shared" si="241"/>
        <v>2</v>
      </c>
      <c r="AW165" s="38"/>
      <c r="AX165" s="31"/>
      <c r="AY165" s="31"/>
      <c r="AZ165" s="31"/>
      <c r="BA165" s="31"/>
    </row>
    <row r="166" spans="1:53">
      <c r="A166" s="327"/>
      <c r="B166" s="36" t="s">
        <v>1</v>
      </c>
      <c r="C166" s="328" t="s">
        <v>23</v>
      </c>
      <c r="D166" s="337" t="s">
        <v>25</v>
      </c>
      <c r="E166" s="50"/>
      <c r="F166" s="50"/>
      <c r="G166" s="50"/>
      <c r="H166" s="50"/>
      <c r="I166" s="50"/>
      <c r="J166" s="112"/>
      <c r="K166" s="112"/>
      <c r="L166" s="112"/>
      <c r="M166" s="112"/>
      <c r="N166" s="112"/>
      <c r="O166" s="112"/>
      <c r="P166" s="112">
        <v>0</v>
      </c>
      <c r="Q166" s="255">
        <v>0</v>
      </c>
      <c r="R166" s="255">
        <v>0</v>
      </c>
      <c r="S166" s="413">
        <v>0</v>
      </c>
      <c r="T166" s="255">
        <v>0</v>
      </c>
      <c r="U166" s="255">
        <v>0</v>
      </c>
      <c r="V166" s="255">
        <v>0</v>
      </c>
      <c r="W166" s="255">
        <v>0</v>
      </c>
      <c r="X166" s="255">
        <v>0</v>
      </c>
      <c r="Y166" s="437">
        <v>0</v>
      </c>
      <c r="Z166" s="223"/>
      <c r="AA166" s="223"/>
      <c r="AB166" s="223"/>
      <c r="AC166" s="223"/>
      <c r="AD166" s="223"/>
      <c r="AE166" s="223">
        <v>0</v>
      </c>
      <c r="AF166" s="223"/>
      <c r="AG166" s="223"/>
      <c r="AH166" s="223"/>
      <c r="AI166" s="223"/>
      <c r="AJ166" s="223"/>
      <c r="AK166" s="437"/>
      <c r="AL166" s="223"/>
      <c r="AM166" s="223"/>
      <c r="AN166" s="223"/>
      <c r="AO166" s="223"/>
      <c r="AP166" s="223"/>
      <c r="AQ166" s="223"/>
      <c r="AR166" s="223"/>
      <c r="AS166" s="223"/>
      <c r="AT166" s="223"/>
      <c r="AU166" s="223"/>
      <c r="AV166" s="749"/>
      <c r="AW166" s="38"/>
      <c r="AX166" s="31"/>
      <c r="AY166" s="31"/>
      <c r="AZ166" s="31"/>
      <c r="BA166" s="31"/>
    </row>
    <row r="167" spans="1:53">
      <c r="A167" s="639"/>
      <c r="B167" s="36" t="s">
        <v>1</v>
      </c>
      <c r="C167" s="16" t="s">
        <v>24</v>
      </c>
      <c r="D167" s="337" t="s">
        <v>25</v>
      </c>
      <c r="E167" s="50"/>
      <c r="F167" s="50"/>
      <c r="G167" s="50"/>
      <c r="H167" s="50"/>
      <c r="I167" s="50"/>
      <c r="J167" s="50"/>
      <c r="K167" s="50"/>
      <c r="L167" s="50">
        <v>0</v>
      </c>
      <c r="M167" s="50">
        <f>M62-M165</f>
        <v>3.87</v>
      </c>
      <c r="N167" s="50">
        <f>N62-N165</f>
        <v>4.0999999999999996</v>
      </c>
      <c r="O167" s="120">
        <v>3.73</v>
      </c>
      <c r="P167" s="120">
        <v>2.9</v>
      </c>
      <c r="Q167" s="255">
        <v>3</v>
      </c>
      <c r="R167" s="120">
        <v>3</v>
      </c>
      <c r="S167" s="112">
        <f>S62-S165-S166</f>
        <v>3.5</v>
      </c>
      <c r="T167" s="255">
        <v>0</v>
      </c>
      <c r="U167" s="255">
        <v>0.6</v>
      </c>
      <c r="V167" s="255">
        <v>0</v>
      </c>
      <c r="W167" s="255">
        <v>0</v>
      </c>
      <c r="X167" s="255">
        <v>0.6</v>
      </c>
      <c r="Y167" s="464">
        <v>4.83</v>
      </c>
      <c r="Z167" s="223">
        <f>4.48+0.6</f>
        <v>5.08</v>
      </c>
      <c r="AA167" s="223">
        <v>4.63</v>
      </c>
      <c r="AB167" s="223">
        <v>4.38</v>
      </c>
      <c r="AC167" s="98">
        <v>4.3600000000000003</v>
      </c>
      <c r="AD167" s="223">
        <f>4.38-0.81-0.11</f>
        <v>3.46</v>
      </c>
      <c r="AE167" s="98">
        <f>4.12-0.72</f>
        <v>3.4000000000000004</v>
      </c>
      <c r="AF167" s="223">
        <v>4.12</v>
      </c>
      <c r="AG167" s="223">
        <v>3.4000000000000004</v>
      </c>
      <c r="AH167" s="98">
        <f>3.4-0.9</f>
        <v>2.5</v>
      </c>
      <c r="AI167" s="98">
        <f>5.4-1.99</f>
        <v>3.41</v>
      </c>
      <c r="AJ167" s="223">
        <v>4.12</v>
      </c>
      <c r="AK167" s="437">
        <v>4.66</v>
      </c>
      <c r="AL167" s="223">
        <v>4.66</v>
      </c>
      <c r="AM167" s="223">
        <v>4.66</v>
      </c>
      <c r="AN167" s="223">
        <v>4.66</v>
      </c>
      <c r="AO167" s="223">
        <v>4.66</v>
      </c>
      <c r="AP167" s="223">
        <v>4.12</v>
      </c>
      <c r="AQ167" s="223">
        <v>4.12</v>
      </c>
      <c r="AR167" s="223">
        <v>4.12</v>
      </c>
      <c r="AS167" s="223">
        <v>4.12</v>
      </c>
      <c r="AT167" s="223">
        <v>4.12</v>
      </c>
      <c r="AU167" s="223">
        <v>4.12</v>
      </c>
      <c r="AV167" s="749">
        <v>4.12</v>
      </c>
      <c r="AW167" s="38"/>
      <c r="AX167" s="38"/>
      <c r="AY167" s="31"/>
      <c r="AZ167" s="31"/>
      <c r="BA167" s="31"/>
    </row>
    <row r="168" spans="1:53">
      <c r="A168" s="327"/>
      <c r="B168" s="36" t="s">
        <v>1</v>
      </c>
      <c r="C168" s="443" t="s">
        <v>159</v>
      </c>
      <c r="D168" s="337" t="s">
        <v>25</v>
      </c>
      <c r="E168" s="50"/>
      <c r="F168" s="50"/>
      <c r="G168" s="50"/>
      <c r="H168" s="50"/>
      <c r="I168" s="50"/>
      <c r="J168" s="50"/>
      <c r="K168" s="50"/>
      <c r="L168" s="50"/>
      <c r="M168" s="50"/>
      <c r="N168" s="50"/>
      <c r="O168" s="120"/>
      <c r="P168" s="120"/>
      <c r="Q168" s="255"/>
      <c r="R168" s="120"/>
      <c r="S168" s="112"/>
      <c r="T168" s="255"/>
      <c r="U168" s="255">
        <v>0</v>
      </c>
      <c r="V168" s="255">
        <v>0</v>
      </c>
      <c r="W168" s="255">
        <v>0</v>
      </c>
      <c r="X168" s="255">
        <v>0</v>
      </c>
      <c r="Y168" s="437">
        <v>0</v>
      </c>
      <c r="Z168" s="223"/>
      <c r="AA168" s="223"/>
      <c r="AB168" s="223"/>
      <c r="AC168" s="223"/>
      <c r="AD168" s="223"/>
      <c r="AE168" s="223">
        <v>0</v>
      </c>
      <c r="AF168" s="223">
        <v>0</v>
      </c>
      <c r="AG168" s="223">
        <v>0</v>
      </c>
      <c r="AH168" s="223">
        <v>0</v>
      </c>
      <c r="AI168" s="223">
        <v>0</v>
      </c>
      <c r="AJ168" s="223">
        <v>0</v>
      </c>
      <c r="AK168" s="438">
        <v>0</v>
      </c>
      <c r="AL168" s="123">
        <v>0</v>
      </c>
      <c r="AM168" s="123">
        <v>0</v>
      </c>
      <c r="AN168" s="123">
        <v>0</v>
      </c>
      <c r="AO168" s="123">
        <v>0</v>
      </c>
      <c r="AP168" s="123">
        <v>0</v>
      </c>
      <c r="AQ168" s="123">
        <v>0</v>
      </c>
      <c r="AR168" s="123">
        <v>0</v>
      </c>
      <c r="AS168" s="123">
        <v>0</v>
      </c>
      <c r="AT168" s="123">
        <v>0</v>
      </c>
      <c r="AU168" s="123">
        <v>0</v>
      </c>
      <c r="AV168" s="752">
        <v>0</v>
      </c>
      <c r="AW168" s="38"/>
      <c r="AX168" s="38"/>
      <c r="AY168" s="31"/>
      <c r="AZ168" s="31"/>
      <c r="BA168" s="31"/>
    </row>
    <row r="169" spans="1:53">
      <c r="A169" s="327"/>
      <c r="B169" s="336" t="s">
        <v>2</v>
      </c>
      <c r="C169" s="110" t="s">
        <v>20</v>
      </c>
      <c r="D169" s="338" t="s">
        <v>26</v>
      </c>
      <c r="E169" s="100">
        <f t="shared" ref="E169:AV169" si="242">E63</f>
        <v>5.89</v>
      </c>
      <c r="F169" s="100">
        <f t="shared" si="242"/>
        <v>6.22</v>
      </c>
      <c r="G169" s="100">
        <f t="shared" si="242"/>
        <v>5.89</v>
      </c>
      <c r="H169" s="100">
        <f t="shared" si="242"/>
        <v>6.05</v>
      </c>
      <c r="I169" s="100">
        <f t="shared" si="242"/>
        <v>5.85</v>
      </c>
      <c r="J169" s="238">
        <f t="shared" si="242"/>
        <v>6.05</v>
      </c>
      <c r="K169" s="238">
        <f t="shared" si="242"/>
        <v>6.7</v>
      </c>
      <c r="L169" s="238">
        <f t="shared" si="242"/>
        <v>6.05</v>
      </c>
      <c r="M169" s="238">
        <f t="shared" si="242"/>
        <v>6.2</v>
      </c>
      <c r="N169" s="238">
        <f t="shared" si="242"/>
        <v>5.66</v>
      </c>
      <c r="O169" s="238">
        <f t="shared" si="242"/>
        <v>6.0449999999999999</v>
      </c>
      <c r="P169" s="238">
        <f t="shared" si="242"/>
        <v>5.85</v>
      </c>
      <c r="Q169" s="238">
        <f t="shared" si="242"/>
        <v>4.5999999999999996</v>
      </c>
      <c r="R169" s="246">
        <f t="shared" si="242"/>
        <v>5.7</v>
      </c>
      <c r="S169" s="238">
        <f t="shared" si="242"/>
        <v>5.7</v>
      </c>
      <c r="T169" s="238">
        <f t="shared" si="242"/>
        <v>5.68</v>
      </c>
      <c r="U169" s="238">
        <f t="shared" si="242"/>
        <v>5.4</v>
      </c>
      <c r="V169" s="238">
        <f t="shared" si="242"/>
        <v>5.8</v>
      </c>
      <c r="W169" s="238">
        <f t="shared" si="242"/>
        <v>5.4</v>
      </c>
      <c r="X169" s="238">
        <f t="shared" si="242"/>
        <v>5.58</v>
      </c>
      <c r="Y169" s="441">
        <f t="shared" si="242"/>
        <v>5.4870000000000001</v>
      </c>
      <c r="Z169" s="238">
        <f t="shared" si="242"/>
        <v>5.32</v>
      </c>
      <c r="AA169" s="238">
        <f t="shared" si="242"/>
        <v>5.74</v>
      </c>
      <c r="AB169" s="238">
        <f t="shared" si="242"/>
        <v>5.8220000000000001</v>
      </c>
      <c r="AC169" s="238">
        <f t="shared" si="242"/>
        <v>5.7350000000000003</v>
      </c>
      <c r="AD169" s="238">
        <f t="shared" si="242"/>
        <v>5.99</v>
      </c>
      <c r="AE169" s="238">
        <f t="shared" si="242"/>
        <v>5.7350000000000003</v>
      </c>
      <c r="AF169" s="238">
        <f t="shared" si="242"/>
        <v>5.7350000000000003</v>
      </c>
      <c r="AG169" s="238">
        <f t="shared" si="242"/>
        <v>5.55</v>
      </c>
      <c r="AH169" s="238">
        <f t="shared" si="242"/>
        <v>5.4560000000000004</v>
      </c>
      <c r="AI169" s="238">
        <f t="shared" si="242"/>
        <v>5.55</v>
      </c>
      <c r="AJ169" s="238">
        <f t="shared" si="242"/>
        <v>5.4249999999999998</v>
      </c>
      <c r="AK169" s="441">
        <f t="shared" si="242"/>
        <v>5.7350000000000003</v>
      </c>
      <c r="AL169" s="238">
        <f t="shared" si="242"/>
        <v>5.18</v>
      </c>
      <c r="AM169" s="238">
        <f t="shared" si="242"/>
        <v>5.7350000000000003</v>
      </c>
      <c r="AN169" s="238">
        <f t="shared" si="242"/>
        <v>5.7350000000000003</v>
      </c>
      <c r="AO169" s="238">
        <f t="shared" si="242"/>
        <v>5.7350000000000003</v>
      </c>
      <c r="AP169" s="238">
        <f t="shared" si="242"/>
        <v>5.7350000000000003</v>
      </c>
      <c r="AQ169" s="238">
        <f t="shared" si="242"/>
        <v>5.7350000000000003</v>
      </c>
      <c r="AR169" s="238">
        <f t="shared" si="242"/>
        <v>5.7350000000000003</v>
      </c>
      <c r="AS169" s="238">
        <f t="shared" si="242"/>
        <v>5.7350000000000003</v>
      </c>
      <c r="AT169" s="238">
        <f t="shared" si="242"/>
        <v>5.7350000000000003</v>
      </c>
      <c r="AU169" s="238">
        <f t="shared" si="242"/>
        <v>5.7350000000000003</v>
      </c>
      <c r="AV169" s="753">
        <f t="shared" si="242"/>
        <v>5.7350000000000003</v>
      </c>
      <c r="AW169" s="38"/>
      <c r="AX169" s="38"/>
      <c r="AY169" s="31"/>
      <c r="AZ169" s="31"/>
      <c r="BA169" s="31"/>
    </row>
    <row r="170" spans="1:53" ht="15" thickBot="1">
      <c r="A170" s="331"/>
      <c r="B170" s="103" t="s">
        <v>5</v>
      </c>
      <c r="C170" s="28" t="s">
        <v>20</v>
      </c>
      <c r="D170" s="29" t="s">
        <v>5</v>
      </c>
      <c r="E170" s="56">
        <f t="shared" ref="E170:AV170" si="243">E64</f>
        <v>15.6</v>
      </c>
      <c r="F170" s="56">
        <f t="shared" si="243"/>
        <v>16.100000000000001</v>
      </c>
      <c r="G170" s="56">
        <f t="shared" si="243"/>
        <v>16.027000000000001</v>
      </c>
      <c r="H170" s="56">
        <f t="shared" si="243"/>
        <v>14</v>
      </c>
      <c r="I170" s="56">
        <f t="shared" si="243"/>
        <v>15.45</v>
      </c>
      <c r="J170" s="239">
        <f t="shared" si="243"/>
        <v>10.85</v>
      </c>
      <c r="K170" s="239">
        <f t="shared" si="243"/>
        <v>13.15</v>
      </c>
      <c r="L170" s="239">
        <f t="shared" si="243"/>
        <v>13.26</v>
      </c>
      <c r="M170" s="239">
        <f t="shared" si="243"/>
        <v>17</v>
      </c>
      <c r="N170" s="239">
        <f t="shared" si="243"/>
        <v>17.5</v>
      </c>
      <c r="O170" s="239">
        <f t="shared" si="243"/>
        <v>15</v>
      </c>
      <c r="P170" s="239">
        <f t="shared" si="243"/>
        <v>16.5</v>
      </c>
      <c r="Q170" s="239">
        <f t="shared" si="243"/>
        <v>15</v>
      </c>
      <c r="R170" s="239">
        <f t="shared" si="243"/>
        <v>14.5</v>
      </c>
      <c r="S170" s="239">
        <f t="shared" si="243"/>
        <v>15.5</v>
      </c>
      <c r="T170" s="239">
        <f t="shared" si="243"/>
        <v>13.04</v>
      </c>
      <c r="U170" s="239">
        <f t="shared" si="243"/>
        <v>17.2</v>
      </c>
      <c r="V170" s="239">
        <f t="shared" si="243"/>
        <v>15.83</v>
      </c>
      <c r="W170" s="239">
        <f t="shared" si="243"/>
        <v>16.2</v>
      </c>
      <c r="X170" s="239">
        <f t="shared" si="243"/>
        <v>15.4</v>
      </c>
      <c r="Y170" s="432">
        <f t="shared" si="243"/>
        <v>11</v>
      </c>
      <c r="Z170" s="239">
        <f t="shared" si="243"/>
        <v>6.72</v>
      </c>
      <c r="AA170" s="585">
        <f t="shared" si="243"/>
        <v>13.5</v>
      </c>
      <c r="AB170" s="239">
        <f t="shared" si="243"/>
        <v>15</v>
      </c>
      <c r="AC170" s="239">
        <f t="shared" si="243"/>
        <v>15.5</v>
      </c>
      <c r="AD170" s="239">
        <f t="shared" si="243"/>
        <v>12.45</v>
      </c>
      <c r="AE170" s="239">
        <f t="shared" si="243"/>
        <v>9</v>
      </c>
      <c r="AF170" s="585">
        <f t="shared" si="243"/>
        <v>13</v>
      </c>
      <c r="AG170" s="239">
        <f t="shared" si="243"/>
        <v>16.5</v>
      </c>
      <c r="AH170" s="239">
        <f t="shared" si="243"/>
        <v>18.445</v>
      </c>
      <c r="AI170" s="239">
        <f t="shared" si="243"/>
        <v>15.75</v>
      </c>
      <c r="AJ170" s="239">
        <f t="shared" si="243"/>
        <v>13.779299999999996</v>
      </c>
      <c r="AK170" s="432">
        <f t="shared" si="243"/>
        <v>13.055</v>
      </c>
      <c r="AL170" s="239">
        <f t="shared" si="243"/>
        <v>12.88</v>
      </c>
      <c r="AM170" s="239">
        <f t="shared" si="243"/>
        <v>16.43</v>
      </c>
      <c r="AN170" s="239">
        <f t="shared" si="243"/>
        <v>9.3000000000000007</v>
      </c>
      <c r="AO170" s="239">
        <f t="shared" si="243"/>
        <v>17.36</v>
      </c>
      <c r="AP170" s="239">
        <f t="shared" si="243"/>
        <v>13.65</v>
      </c>
      <c r="AQ170" s="239">
        <f t="shared" si="243"/>
        <v>4.9349999999999996</v>
      </c>
      <c r="AR170" s="239">
        <f t="shared" si="243"/>
        <v>6.2</v>
      </c>
      <c r="AS170" s="239">
        <f t="shared" si="243"/>
        <v>1.2949999999999999</v>
      </c>
      <c r="AT170" s="239">
        <f t="shared" si="243"/>
        <v>0.33</v>
      </c>
      <c r="AU170" s="239">
        <f t="shared" si="243"/>
        <v>3.3229219999999993</v>
      </c>
      <c r="AV170" s="754">
        <f t="shared" si="243"/>
        <v>1.2949999999999999</v>
      </c>
      <c r="AW170" s="38"/>
      <c r="AX170" s="38"/>
      <c r="AY170" s="31"/>
      <c r="AZ170" s="31"/>
      <c r="BA170" s="31"/>
    </row>
    <row r="171" spans="1:53" s="31" customFormat="1" ht="24" thickBot="1">
      <c r="A171" s="39" t="s">
        <v>121</v>
      </c>
      <c r="B171" s="30"/>
      <c r="L171" s="363"/>
      <c r="M171" s="363"/>
      <c r="N171" s="363"/>
      <c r="O171" s="363"/>
      <c r="P171" s="363"/>
      <c r="Q171" s="85"/>
      <c r="R171" s="85"/>
      <c r="S171" s="85"/>
      <c r="T171" s="85"/>
      <c r="U171" s="85">
        <f>U175-U117-U118</f>
        <v>214.74000000000004</v>
      </c>
      <c r="V171" s="85"/>
      <c r="W171" s="85"/>
      <c r="X171" s="85"/>
      <c r="Y171" s="85"/>
      <c r="Z171" s="85"/>
      <c r="AA171" s="85"/>
      <c r="AB171" s="85"/>
      <c r="AC171" s="85">
        <f>AC172-17</f>
        <v>154.02699999999999</v>
      </c>
      <c r="AD171" s="85"/>
      <c r="AE171" s="85"/>
      <c r="AF171" s="85">
        <f>SUM(AF133,AF130,AF121)</f>
        <v>28.880000000000003</v>
      </c>
      <c r="AG171" s="85"/>
      <c r="AH171" s="85"/>
      <c r="AI171" s="85"/>
      <c r="AJ171" s="85"/>
      <c r="AK171" s="85"/>
      <c r="AL171" s="85"/>
      <c r="AM171" s="85"/>
      <c r="AN171" s="85"/>
      <c r="AO171" s="85"/>
      <c r="AP171" s="85"/>
      <c r="AQ171" s="85"/>
      <c r="AR171" s="85"/>
      <c r="AS171" s="85"/>
      <c r="AT171" s="85"/>
      <c r="AU171" s="85"/>
      <c r="AV171" s="85"/>
      <c r="AW171" s="38"/>
      <c r="AX171" s="38"/>
    </row>
    <row r="172" spans="1:53">
      <c r="A172" s="45" t="s">
        <v>36</v>
      </c>
      <c r="B172" s="49" t="s">
        <v>3</v>
      </c>
      <c r="C172" s="370" t="s">
        <v>8</v>
      </c>
      <c r="D172" s="371" t="s">
        <v>3</v>
      </c>
      <c r="E172" s="53">
        <f>E173+E174</f>
        <v>153.96899999999999</v>
      </c>
      <c r="F172" s="53">
        <f>F173+F174</f>
        <v>125.907</v>
      </c>
      <c r="G172" s="405">
        <f>G173+G174</f>
        <v>143.33699999999999</v>
      </c>
      <c r="H172" s="405">
        <f>H173+H174</f>
        <v>137.83699999999999</v>
      </c>
      <c r="I172" s="405">
        <f t="shared" ref="I172:Q172" si="244">I173+I174</f>
        <v>127.547</v>
      </c>
      <c r="J172" s="405">
        <f t="shared" si="244"/>
        <v>134.31700000000001</v>
      </c>
      <c r="K172" s="405">
        <f t="shared" si="244"/>
        <v>133.44200000000001</v>
      </c>
      <c r="L172" s="405">
        <f t="shared" si="244"/>
        <v>127.133</v>
      </c>
      <c r="M172" s="405">
        <f t="shared" si="244"/>
        <v>109.81</v>
      </c>
      <c r="N172" s="405">
        <f t="shared" si="244"/>
        <v>84.705999999999989</v>
      </c>
      <c r="O172" s="405">
        <f t="shared" si="244"/>
        <v>119.328</v>
      </c>
      <c r="P172" s="405">
        <f t="shared" si="244"/>
        <v>121.05</v>
      </c>
      <c r="Q172" s="405">
        <f t="shared" si="244"/>
        <v>73.457999999999998</v>
      </c>
      <c r="R172" s="405">
        <f>R173+R174</f>
        <v>99.144000000000005</v>
      </c>
      <c r="S172" s="405">
        <f t="shared" ref="S172:AO172" si="245">S173+S174</f>
        <v>95.72999999999999</v>
      </c>
      <c r="T172" s="405">
        <f t="shared" si="245"/>
        <v>108.71236263736263</v>
      </c>
      <c r="U172" s="405">
        <f t="shared" si="245"/>
        <v>94.41</v>
      </c>
      <c r="V172" s="405">
        <f t="shared" si="245"/>
        <v>97.06</v>
      </c>
      <c r="W172" s="405">
        <f t="shared" si="245"/>
        <v>100.8</v>
      </c>
      <c r="X172" s="405">
        <f t="shared" si="245"/>
        <v>112.874</v>
      </c>
      <c r="Y172" s="405">
        <f t="shared" si="245"/>
        <v>114.867</v>
      </c>
      <c r="Z172" s="405">
        <f t="shared" si="245"/>
        <v>120.536</v>
      </c>
      <c r="AA172" s="405">
        <f t="shared" si="245"/>
        <v>128.65600000000001</v>
      </c>
      <c r="AB172" s="405">
        <f t="shared" si="245"/>
        <v>128.49099999999999</v>
      </c>
      <c r="AC172" s="405">
        <f t="shared" si="245"/>
        <v>171.02699999999999</v>
      </c>
      <c r="AD172" s="405">
        <f t="shared" si="245"/>
        <v>148.04000000000002</v>
      </c>
      <c r="AE172" s="405">
        <f t="shared" si="245"/>
        <v>131.059</v>
      </c>
      <c r="AF172" s="405">
        <f>AF173+AF174</f>
        <v>123.10399999999998</v>
      </c>
      <c r="AG172" s="405">
        <f t="shared" si="245"/>
        <v>147.90600000000001</v>
      </c>
      <c r="AH172" s="405">
        <f t="shared" si="245"/>
        <v>107.60600000000001</v>
      </c>
      <c r="AI172" s="405">
        <f t="shared" si="245"/>
        <v>102.54</v>
      </c>
      <c r="AJ172" s="405">
        <f t="shared" si="245"/>
        <v>100.694</v>
      </c>
      <c r="AK172" s="405">
        <f>AK173+AK174</f>
        <v>130.834</v>
      </c>
      <c r="AL172" s="405">
        <f t="shared" si="245"/>
        <v>114.32999999999998</v>
      </c>
      <c r="AM172" s="405">
        <f t="shared" si="245"/>
        <v>134.18899999999999</v>
      </c>
      <c r="AN172" s="405">
        <f t="shared" si="245"/>
        <v>132.476</v>
      </c>
      <c r="AO172" s="405">
        <f t="shared" si="245"/>
        <v>136.48346471820935</v>
      </c>
      <c r="AP172" s="405">
        <f t="shared" ref="AP172:AQ172" si="246">AP173+AP174</f>
        <v>174.7555270642801</v>
      </c>
      <c r="AQ172" s="405">
        <f t="shared" si="246"/>
        <v>190.46904937958104</v>
      </c>
      <c r="AR172" s="405">
        <f t="shared" ref="AR172:AS172" si="247">AR173+AR174</f>
        <v>176.73791420161729</v>
      </c>
      <c r="AS172" s="405">
        <f t="shared" si="247"/>
        <v>161.78897751428326</v>
      </c>
      <c r="AT172" s="405">
        <f t="shared" ref="AT172:AU172" si="248">AT173+AT174</f>
        <v>188.14221982005932</v>
      </c>
      <c r="AU172" s="405">
        <f t="shared" si="248"/>
        <v>183.52159288866955</v>
      </c>
      <c r="AV172" s="405">
        <f t="shared" ref="AV172" si="249">AV173+AV174</f>
        <v>158.93987097982264</v>
      </c>
      <c r="AW172" s="583">
        <f>SUM(AK172:AV172)</f>
        <v>1882.6676165665226</v>
      </c>
      <c r="AX172" s="434">
        <f>SUM(Y172:AJ172)</f>
        <v>1524.5259999999998</v>
      </c>
      <c r="AY172" s="31"/>
      <c r="AZ172" s="31"/>
      <c r="BA172" s="31"/>
    </row>
    <row r="173" spans="1:53">
      <c r="A173" s="47" t="s">
        <v>37</v>
      </c>
      <c r="B173" s="36" t="s">
        <v>3</v>
      </c>
      <c r="C173" s="366" t="s">
        <v>39</v>
      </c>
      <c r="D173" s="367" t="s">
        <v>3</v>
      </c>
      <c r="E173" s="55">
        <f>E107+E113</f>
        <v>120.66</v>
      </c>
      <c r="F173" s="55">
        <f>F107+F113</f>
        <v>113</v>
      </c>
      <c r="G173" s="55">
        <f>G107+G113</f>
        <v>87</v>
      </c>
      <c r="H173" s="55">
        <f>H107+H113</f>
        <v>81</v>
      </c>
      <c r="I173" s="55">
        <f t="shared" ref="I173:X173" si="250">I107+I111+I113</f>
        <v>70</v>
      </c>
      <c r="J173" s="55">
        <f t="shared" si="250"/>
        <v>69</v>
      </c>
      <c r="K173" s="55">
        <f t="shared" si="250"/>
        <v>71</v>
      </c>
      <c r="L173" s="55">
        <f t="shared" si="250"/>
        <v>78.5</v>
      </c>
      <c r="M173" s="55">
        <f t="shared" si="250"/>
        <v>59</v>
      </c>
      <c r="N173" s="55">
        <f t="shared" si="250"/>
        <v>34</v>
      </c>
      <c r="O173" s="55">
        <f t="shared" si="250"/>
        <v>76</v>
      </c>
      <c r="P173" s="55">
        <f t="shared" si="250"/>
        <v>76.5</v>
      </c>
      <c r="Q173" s="55">
        <f t="shared" si="250"/>
        <v>43.5</v>
      </c>
      <c r="R173" s="55">
        <f t="shared" si="250"/>
        <v>55.5</v>
      </c>
      <c r="S173" s="55">
        <f t="shared" si="250"/>
        <v>47.93</v>
      </c>
      <c r="T173" s="55">
        <f t="shared" si="250"/>
        <v>56.379999999999995</v>
      </c>
      <c r="U173" s="55">
        <f t="shared" si="250"/>
        <v>42.91</v>
      </c>
      <c r="V173" s="55">
        <f t="shared" si="250"/>
        <v>43</v>
      </c>
      <c r="W173" s="55">
        <f t="shared" si="250"/>
        <v>48.4</v>
      </c>
      <c r="X173" s="55">
        <f t="shared" si="250"/>
        <v>58.5</v>
      </c>
      <c r="Y173" s="55">
        <f>Y107+Y111+Y112+Y113+Y98</f>
        <v>56.42</v>
      </c>
      <c r="Z173" s="55">
        <f>Z109+Z110+Z111+Z112+Z113+Z98</f>
        <v>66.66</v>
      </c>
      <c r="AA173" s="55">
        <f>AA109+AA110+AA111+AA112+AA113+AA98</f>
        <v>65.36</v>
      </c>
      <c r="AB173" s="55">
        <f>AB109+AB110+AB111+AB112+AB113+AB98</f>
        <v>84.3</v>
      </c>
      <c r="AC173" s="55">
        <f>AC109+AC110+AC111+AC112+AC113+AC98</f>
        <v>121.3</v>
      </c>
      <c r="AD173" s="55">
        <f>AD109+AD110+AD111+AD112+AD113</f>
        <v>88.579000000000008</v>
      </c>
      <c r="AE173" s="55">
        <f t="shared" ref="AE173:AJ173" si="251">AE109+AE110+AE111+AE112+AE113</f>
        <v>100.679</v>
      </c>
      <c r="AF173" s="55">
        <f>AF109+AF110+AF111+AF112+AF113</f>
        <v>82.60199999999999</v>
      </c>
      <c r="AG173" s="55">
        <f t="shared" si="251"/>
        <v>94.522000000000006</v>
      </c>
      <c r="AH173" s="55">
        <f t="shared" si="251"/>
        <v>77.12</v>
      </c>
      <c r="AI173" s="55">
        <f t="shared" si="251"/>
        <v>56.2</v>
      </c>
      <c r="AJ173" s="55">
        <f t="shared" si="251"/>
        <v>55.5</v>
      </c>
      <c r="AK173" s="55">
        <f>AK109+AK110+AK111+AK112+AK113+AK99+AK100</f>
        <v>74.103999999999999</v>
      </c>
      <c r="AL173" s="55">
        <f t="shared" ref="AL173:AV173" si="252">AL109+AL110+AL111+AL112+AL113+AL99+AL100</f>
        <v>62.16</v>
      </c>
      <c r="AM173" s="55">
        <f t="shared" si="252"/>
        <v>77.778999999999996</v>
      </c>
      <c r="AN173" s="55">
        <f t="shared" si="252"/>
        <v>76.795999999999992</v>
      </c>
      <c r="AO173" s="55">
        <f t="shared" si="252"/>
        <v>88.696458958306906</v>
      </c>
      <c r="AP173" s="55">
        <f t="shared" si="252"/>
        <v>122.6733352834582</v>
      </c>
      <c r="AQ173" s="55">
        <f t="shared" si="252"/>
        <v>136.73411787273173</v>
      </c>
      <c r="AR173" s="55">
        <f t="shared" si="252"/>
        <v>137.36391420161729</v>
      </c>
      <c r="AS173" s="55">
        <f t="shared" si="252"/>
        <v>106.20678573346134</v>
      </c>
      <c r="AT173" s="55">
        <f t="shared" si="252"/>
        <v>130.90728831321002</v>
      </c>
      <c r="AU173" s="55">
        <f t="shared" si="252"/>
        <v>128.43940110784763</v>
      </c>
      <c r="AV173" s="55">
        <f t="shared" si="252"/>
        <v>101.70493947297334</v>
      </c>
      <c r="AW173" s="38"/>
      <c r="AX173" s="38"/>
      <c r="AY173" s="31"/>
      <c r="AZ173" s="31"/>
      <c r="BA173" s="31"/>
    </row>
    <row r="174" spans="1:53" ht="15" thickBot="1">
      <c r="A174" s="47" t="s">
        <v>38</v>
      </c>
      <c r="B174" s="36" t="s">
        <v>3</v>
      </c>
      <c r="C174" s="366" t="s">
        <v>40</v>
      </c>
      <c r="D174" s="367" t="s">
        <v>3</v>
      </c>
      <c r="E174" s="55">
        <f t="shared" ref="E174:Y174" si="253">E114+E115</f>
        <v>33.308999999999997</v>
      </c>
      <c r="F174" s="55">
        <f t="shared" si="253"/>
        <v>12.907</v>
      </c>
      <c r="G174" s="55">
        <f t="shared" si="253"/>
        <v>56.337000000000003</v>
      </c>
      <c r="H174" s="55">
        <f t="shared" si="253"/>
        <v>56.837000000000003</v>
      </c>
      <c r="I174" s="55">
        <f t="shared" si="253"/>
        <v>57.546999999999997</v>
      </c>
      <c r="J174" s="55">
        <f t="shared" si="253"/>
        <v>65.316999999999993</v>
      </c>
      <c r="K174" s="55">
        <f t="shared" si="253"/>
        <v>62.442</v>
      </c>
      <c r="L174" s="55">
        <f t="shared" si="253"/>
        <v>48.632999999999996</v>
      </c>
      <c r="M174" s="55">
        <f t="shared" si="253"/>
        <v>50.81</v>
      </c>
      <c r="N174" s="55">
        <f t="shared" si="253"/>
        <v>50.705999999999996</v>
      </c>
      <c r="O174" s="55">
        <f t="shared" si="253"/>
        <v>43.327999999999996</v>
      </c>
      <c r="P174" s="55">
        <f t="shared" si="253"/>
        <v>44.55</v>
      </c>
      <c r="Q174" s="55">
        <f t="shared" si="253"/>
        <v>29.957999999999998</v>
      </c>
      <c r="R174" s="55">
        <f t="shared" si="253"/>
        <v>43.643999999999998</v>
      </c>
      <c r="S174" s="55">
        <f t="shared" si="253"/>
        <v>47.8</v>
      </c>
      <c r="T174" s="55">
        <f t="shared" si="253"/>
        <v>52.332362637362635</v>
      </c>
      <c r="U174" s="55">
        <f t="shared" si="253"/>
        <v>51.5</v>
      </c>
      <c r="V174" s="55">
        <f t="shared" si="253"/>
        <v>54.06</v>
      </c>
      <c r="W174" s="55">
        <f t="shared" si="253"/>
        <v>52.4</v>
      </c>
      <c r="X174" s="55">
        <f t="shared" si="253"/>
        <v>54.373999999999995</v>
      </c>
      <c r="Y174" s="55">
        <f t="shared" si="253"/>
        <v>58.447000000000003</v>
      </c>
      <c r="Z174" s="55">
        <f>Z114+Z115+Z116</f>
        <v>53.876000000000005</v>
      </c>
      <c r="AA174" s="55">
        <f t="shared" ref="AA174:AJ174" si="254">AA114+AA115+AA116</f>
        <v>63.296000000000006</v>
      </c>
      <c r="AB174" s="55">
        <f t="shared" si="254"/>
        <v>44.191000000000003</v>
      </c>
      <c r="AC174" s="55">
        <f t="shared" si="254"/>
        <v>49.726999999999997</v>
      </c>
      <c r="AD174" s="55">
        <f t="shared" si="254"/>
        <v>59.460999999999999</v>
      </c>
      <c r="AE174" s="55">
        <f t="shared" si="254"/>
        <v>30.38</v>
      </c>
      <c r="AF174" s="55">
        <f t="shared" si="254"/>
        <v>40.502000000000002</v>
      </c>
      <c r="AG174" s="55">
        <f t="shared" si="254"/>
        <v>53.384</v>
      </c>
      <c r="AH174" s="55">
        <f t="shared" si="254"/>
        <v>30.486000000000004</v>
      </c>
      <c r="AI174" s="55">
        <f t="shared" si="254"/>
        <v>46.34</v>
      </c>
      <c r="AJ174" s="55">
        <f t="shared" si="254"/>
        <v>45.194000000000003</v>
      </c>
      <c r="AK174" s="55">
        <f>AK114+AK115+AK116</f>
        <v>56.73</v>
      </c>
      <c r="AL174" s="55">
        <f t="shared" ref="AL174:AV174" si="255">AL114+AL115+AL116</f>
        <v>52.169999999999995</v>
      </c>
      <c r="AM174" s="55">
        <f t="shared" si="255"/>
        <v>56.41</v>
      </c>
      <c r="AN174" s="55">
        <f t="shared" si="255"/>
        <v>55.68</v>
      </c>
      <c r="AO174" s="55">
        <f t="shared" si="255"/>
        <v>47.787005759902449</v>
      </c>
      <c r="AP174" s="55">
        <f t="shared" si="255"/>
        <v>52.082191780821915</v>
      </c>
      <c r="AQ174" s="55">
        <f t="shared" si="255"/>
        <v>53.734931506849307</v>
      </c>
      <c r="AR174" s="55">
        <f t="shared" si="255"/>
        <v>39.374000000000002</v>
      </c>
      <c r="AS174" s="55">
        <f t="shared" si="255"/>
        <v>55.582191780821915</v>
      </c>
      <c r="AT174" s="55">
        <f t="shared" si="255"/>
        <v>57.234931506849307</v>
      </c>
      <c r="AU174" s="55">
        <f t="shared" si="255"/>
        <v>55.082191780821915</v>
      </c>
      <c r="AV174" s="55">
        <f t="shared" si="255"/>
        <v>57.234931506849307</v>
      </c>
      <c r="AW174" s="38"/>
      <c r="AX174" s="38"/>
      <c r="AY174" s="31"/>
      <c r="AZ174" s="31"/>
      <c r="BA174" s="31"/>
    </row>
    <row r="175" spans="1:53" s="31" customFormat="1">
      <c r="A175" s="34" t="s">
        <v>140</v>
      </c>
      <c r="B175" s="398" t="s">
        <v>136</v>
      </c>
      <c r="C175" s="398" t="s">
        <v>143</v>
      </c>
      <c r="D175" s="401" t="s">
        <v>138</v>
      </c>
      <c r="E175" s="50"/>
      <c r="F175" s="50"/>
      <c r="G175" s="405"/>
      <c r="H175" s="405"/>
      <c r="I175" s="405">
        <f t="shared" ref="I175:AC175" si="256">SUM(I117:I170)</f>
        <v>242.43</v>
      </c>
      <c r="J175" s="405">
        <f t="shared" si="256"/>
        <v>240.08403429999998</v>
      </c>
      <c r="K175" s="405">
        <f t="shared" si="256"/>
        <v>242.04816493999996</v>
      </c>
      <c r="L175" s="405">
        <f t="shared" si="256"/>
        <v>240.19812309999995</v>
      </c>
      <c r="M175" s="405">
        <f t="shared" si="256"/>
        <v>235.17329082000001</v>
      </c>
      <c r="N175" s="405">
        <f t="shared" si="256"/>
        <v>224.50545953</v>
      </c>
      <c r="O175" s="405">
        <f t="shared" si="256"/>
        <v>207.45499999999998</v>
      </c>
      <c r="P175" s="405">
        <f t="shared" si="256"/>
        <v>172.54</v>
      </c>
      <c r="Q175" s="405">
        <f t="shared" si="256"/>
        <v>170.11859380999999</v>
      </c>
      <c r="R175" s="405">
        <f t="shared" si="256"/>
        <v>183.64617381999997</v>
      </c>
      <c r="S175" s="405">
        <f t="shared" si="256"/>
        <v>206.13</v>
      </c>
      <c r="T175" s="405">
        <f t="shared" si="256"/>
        <v>215.22000000000006</v>
      </c>
      <c r="U175" s="405">
        <f t="shared" si="256"/>
        <v>216.19000000000003</v>
      </c>
      <c r="V175" s="405">
        <f t="shared" si="256"/>
        <v>228.25</v>
      </c>
      <c r="W175" s="405">
        <f t="shared" si="256"/>
        <v>222.56240770999997</v>
      </c>
      <c r="X175" s="405">
        <f t="shared" si="256"/>
        <v>224.22</v>
      </c>
      <c r="Y175" s="405">
        <f t="shared" si="256"/>
        <v>208.93700000000001</v>
      </c>
      <c r="Z175" s="405">
        <f t="shared" si="256"/>
        <v>204.36743945000001</v>
      </c>
      <c r="AA175" s="405">
        <f t="shared" si="256"/>
        <v>225.35999999999999</v>
      </c>
      <c r="AB175" s="405">
        <f t="shared" si="256"/>
        <v>195.85199999999998</v>
      </c>
      <c r="AC175" s="405">
        <f t="shared" si="256"/>
        <v>198.99500000000003</v>
      </c>
      <c r="AD175" s="405">
        <f>SUM(AD119:AD170)</f>
        <v>200.91</v>
      </c>
      <c r="AE175" s="405">
        <f t="shared" ref="AE175:AP175" si="257">SUM(AE119:AE170)</f>
        <v>203.85499999999999</v>
      </c>
      <c r="AF175" s="405">
        <f>SUM(AF119:AF170)</f>
        <v>196.11499999999998</v>
      </c>
      <c r="AG175" s="405">
        <f>SUM(AG119:AG170)</f>
        <v>200.45000000000002</v>
      </c>
      <c r="AH175" s="405">
        <f t="shared" si="257"/>
        <v>204.44</v>
      </c>
      <c r="AI175" s="405">
        <f t="shared" si="257"/>
        <v>207.67999999999998</v>
      </c>
      <c r="AJ175" s="405">
        <f t="shared" si="257"/>
        <v>215.14441431000009</v>
      </c>
      <c r="AK175" s="405">
        <f>SUM(AK119:AK170)</f>
        <v>220.29040959000002</v>
      </c>
      <c r="AL175" s="405">
        <f t="shared" si="257"/>
        <v>213.07360789999998</v>
      </c>
      <c r="AM175" s="405">
        <f t="shared" si="257"/>
        <v>225.27493929999997</v>
      </c>
      <c r="AN175" s="405">
        <f t="shared" si="257"/>
        <v>219.67206277</v>
      </c>
      <c r="AO175" s="405">
        <f t="shared" si="257"/>
        <v>225.27580286</v>
      </c>
      <c r="AP175" s="405">
        <f t="shared" si="257"/>
        <v>220.73406548</v>
      </c>
      <c r="AQ175" s="405">
        <f t="shared" ref="AQ175:AR175" si="258">SUM(AQ119:AQ170)</f>
        <v>224.26160699999997</v>
      </c>
      <c r="AR175" s="405">
        <f t="shared" si="258"/>
        <v>224.99499999999998</v>
      </c>
      <c r="AS175" s="405">
        <f t="shared" ref="AS175:AT175" si="259">SUM(AS119:AS170)</f>
        <v>223.23999999999995</v>
      </c>
      <c r="AT175" s="405">
        <f t="shared" si="259"/>
        <v>225.79618932999998</v>
      </c>
      <c r="AU175" s="405">
        <f t="shared" ref="AU175:AV175" si="260">SUM(AU119:AU170)</f>
        <v>224.65526965000001</v>
      </c>
      <c r="AV175" s="405">
        <f t="shared" si="260"/>
        <v>222.61999999999998</v>
      </c>
      <c r="AW175" s="38"/>
      <c r="AX175" s="38"/>
    </row>
    <row r="176" spans="1:53" s="31" customFormat="1">
      <c r="A176" s="33"/>
      <c r="B176" s="5" t="s">
        <v>136</v>
      </c>
      <c r="C176" s="5" t="s">
        <v>144</v>
      </c>
      <c r="D176" s="395" t="s">
        <v>19</v>
      </c>
      <c r="G176" s="84"/>
      <c r="H176" s="84"/>
      <c r="I176" s="84">
        <f>I121+I126+I128+I130+I133+I136+I138+I141+I142+I143+I148+I149+I151+I153+I156+I158+I160+I162+I163</f>
        <v>23.099999999999998</v>
      </c>
      <c r="J176" s="84">
        <f t="shared" ref="J176:U176" si="261">J121+J126+J128+J130+J133+J136+J138+J141+J142+J143+J148+J149+J151+J153+J156+J158+J160+J162+J163</f>
        <v>25.6</v>
      </c>
      <c r="K176" s="84">
        <f t="shared" si="261"/>
        <v>38.35</v>
      </c>
      <c r="L176" s="84">
        <f t="shared" si="261"/>
        <v>24.62</v>
      </c>
      <c r="M176" s="84">
        <f t="shared" si="261"/>
        <v>22.66</v>
      </c>
      <c r="N176" s="84">
        <f t="shared" si="261"/>
        <v>18.09</v>
      </c>
      <c r="O176" s="84">
        <f t="shared" si="261"/>
        <v>17.23</v>
      </c>
      <c r="P176" s="84">
        <f t="shared" si="261"/>
        <v>11.25</v>
      </c>
      <c r="Q176" s="84">
        <f t="shared" si="261"/>
        <v>12.100000000000001</v>
      </c>
      <c r="R176" s="84">
        <f t="shared" si="261"/>
        <v>17.88</v>
      </c>
      <c r="S176" s="84">
        <f t="shared" si="261"/>
        <v>23.200000000000003</v>
      </c>
      <c r="T176" s="84">
        <f t="shared" si="261"/>
        <v>31.1</v>
      </c>
      <c r="U176" s="84">
        <f t="shared" si="261"/>
        <v>28.200000000000003</v>
      </c>
      <c r="V176" s="84">
        <f>V121+V122+V126+V128+V130+V131+V133+V134+V136+V138+V141+V142+V143+V148+V149+V151+V153+V156+V158+V160+V162+V163</f>
        <v>31.5</v>
      </c>
      <c r="W176" s="84">
        <f>W121+W122+W126+W128+W130+W131+W133+W134+W136+W138+W141+W142+W143+W148+W149+W151+W153+W156+W158+W160+W162+W163</f>
        <v>32.200000000000003</v>
      </c>
      <c r="X176" s="84">
        <f>X121+X122+X126+X128+X130+X131+X133+X134+X136+X138+X141+X142+X143+X148+X149+X151+X153+X156+X158+X160+X162+X163</f>
        <v>30.77</v>
      </c>
      <c r="Y176" s="84">
        <f>Y121+Y122+Y126+Y128+Y130+Y131+Y133+Y134+Y136+Y138+Y141+Y142+Y143+Y148+Y149+Y151+Y153+Y156+Y158+Y160+Y162+Y163+Y154</f>
        <v>26.55</v>
      </c>
      <c r="Z176" s="84">
        <f t="shared" ref="Z176:AK176" si="262">Z121+Z122+Z126+Z128+Z130+Z131+Z133+Z134+Z136+Z138+Z141+Z142+Z143+Z148+Z149+Z151+Z153+Z156+Z158+Z160+Z162+Z163+Z154</f>
        <v>32.519999999999996</v>
      </c>
      <c r="AA176" s="84">
        <f t="shared" si="262"/>
        <v>34.83</v>
      </c>
      <c r="AB176" s="84">
        <f t="shared" si="262"/>
        <v>29.07</v>
      </c>
      <c r="AC176" s="84">
        <f t="shared" si="262"/>
        <v>28.519999999999996</v>
      </c>
      <c r="AD176" s="84">
        <f t="shared" si="262"/>
        <v>36.29</v>
      </c>
      <c r="AE176" s="84">
        <f t="shared" si="262"/>
        <v>38.450000000000003</v>
      </c>
      <c r="AF176" s="84">
        <f t="shared" si="262"/>
        <v>32.43</v>
      </c>
      <c r="AG176" s="84">
        <f t="shared" si="262"/>
        <v>33.450000000000003</v>
      </c>
      <c r="AH176" s="84">
        <f t="shared" si="262"/>
        <v>29.48</v>
      </c>
      <c r="AI176" s="84">
        <f t="shared" si="262"/>
        <v>33.449999999999996</v>
      </c>
      <c r="AJ176" s="84">
        <f t="shared" si="262"/>
        <v>34.08</v>
      </c>
      <c r="AK176" s="84">
        <f t="shared" si="262"/>
        <v>29.84</v>
      </c>
      <c r="AL176" s="84">
        <f t="shared" ref="AL176:AM176" si="263">AL121+AL122+AL126+AL128+AL130+AL131+AL133+AL134+AL136+AL138+AL141+AL142+AL143+AL148+AL149+AL151+AL153+AL156+AL158+AL160+AL162+AL163+AL154</f>
        <v>37.69</v>
      </c>
      <c r="AM176" s="84">
        <f t="shared" si="263"/>
        <v>38.489999999999995</v>
      </c>
      <c r="AN176" s="84">
        <f t="shared" ref="AN176:AO176" si="264">AN121+AN122+AN126+AN128+AN130+AN131+AN133+AN134+AN136+AN138+AN141+AN142+AN143+AN148+AN149+AN151+AN153+AN156+AN158+AN160+AN162+AN163+AN154</f>
        <v>43.91</v>
      </c>
      <c r="AO176" s="84">
        <f t="shared" si="264"/>
        <v>38.489999999999995</v>
      </c>
      <c r="AP176" s="84">
        <f t="shared" ref="AP176:AQ176" si="265">AP121+AP122+AP126+AP128+AP130+AP131+AP133+AP134+AP136+AP138+AP141+AP142+AP143+AP148+AP149+AP151+AP153+AP156+AP158+AP160+AP162+AP163+AP154</f>
        <v>38.75</v>
      </c>
      <c r="AQ176" s="84">
        <f t="shared" si="265"/>
        <v>49.089999999999996</v>
      </c>
      <c r="AR176" s="653">
        <f t="shared" ref="AR176:AS176" si="266">AR121+AR122+AR126+AR128+AR130+AR131+AR133+AR134+AR136+AR138+AR141+AR142+AR143+AR148+AR149+AR151+AR153+AR156+AR158+AR160+AR162+AR163+AR154</f>
        <v>47.83</v>
      </c>
      <c r="AS176" s="653">
        <f t="shared" si="266"/>
        <v>49.449999999999996</v>
      </c>
      <c r="AT176" s="653">
        <f t="shared" ref="AT176:AU176" si="267">AT121+AT122+AT126+AT128+AT130+AT131+AT133+AT134+AT136+AT138+AT141+AT142+AT143+AT148+AT149+AT151+AT153+AT156+AT158+AT160+AT162+AT163+AT154</f>
        <v>50.7</v>
      </c>
      <c r="AU176" s="653">
        <f t="shared" si="267"/>
        <v>50.43</v>
      </c>
      <c r="AV176" s="653">
        <f t="shared" ref="AV176" si="268">AV121+AV122+AV126+AV128+AV130+AV131+AV133+AV134+AV136+AV138+AV141+AV142+AV143+AV148+AV149+AV151+AV153+AV156+AV158+AV160+AV162+AV163+AV154</f>
        <v>50.43</v>
      </c>
      <c r="AW176" s="38"/>
      <c r="AX176" s="38"/>
    </row>
    <row r="177" spans="1:53" s="31" customFormat="1">
      <c r="A177" s="33"/>
      <c r="B177" s="5" t="s">
        <v>136</v>
      </c>
      <c r="C177" s="5" t="s">
        <v>144</v>
      </c>
      <c r="D177" s="395" t="s">
        <v>89</v>
      </c>
      <c r="G177" s="393"/>
      <c r="H177" s="393"/>
      <c r="I177" s="393">
        <f>I119+I120+I123+I124+I125+I127+I129+I132+I135+I137+I139+I140+I147+I150+I152+I155+I157+I159+I161</f>
        <v>189.82999999999998</v>
      </c>
      <c r="J177" s="393">
        <f t="shared" ref="J177:AJ177" si="269">J119+J120+J123+J124+J125+J127+J129+J132+J135+J137+J139+J140+J147+J150+J152+J155+J157+J159+J161</f>
        <v>190.2437323</v>
      </c>
      <c r="K177" s="393">
        <f t="shared" si="269"/>
        <v>183.23999999999998</v>
      </c>
      <c r="L177" s="393">
        <f t="shared" si="269"/>
        <v>191.20567744999997</v>
      </c>
      <c r="M177" s="393">
        <f t="shared" si="269"/>
        <v>181.64329082</v>
      </c>
      <c r="N177" s="393">
        <f t="shared" si="269"/>
        <v>175.59545953</v>
      </c>
      <c r="O177" s="393">
        <f t="shared" si="269"/>
        <v>161.47</v>
      </c>
      <c r="P177" s="393">
        <f t="shared" si="269"/>
        <v>132.49</v>
      </c>
      <c r="Q177" s="393">
        <f t="shared" si="269"/>
        <v>133.46</v>
      </c>
      <c r="R177" s="393">
        <f t="shared" si="269"/>
        <v>141.44</v>
      </c>
      <c r="S177" s="393">
        <f t="shared" si="269"/>
        <v>156.22999999999999</v>
      </c>
      <c r="T177" s="393">
        <f t="shared" si="269"/>
        <v>160.78</v>
      </c>
      <c r="U177" s="393">
        <f t="shared" si="269"/>
        <v>158.84</v>
      </c>
      <c r="V177" s="393">
        <f t="shared" si="269"/>
        <v>166.91</v>
      </c>
      <c r="W177" s="393">
        <f t="shared" si="269"/>
        <v>160.70240770999999</v>
      </c>
      <c r="X177" s="393">
        <f t="shared" si="269"/>
        <v>162.72</v>
      </c>
      <c r="Y177" s="393">
        <f t="shared" si="269"/>
        <v>156.13</v>
      </c>
      <c r="Z177" s="393">
        <f t="shared" si="269"/>
        <v>148.42743945000001</v>
      </c>
      <c r="AA177" s="393">
        <f t="shared" si="269"/>
        <v>162.11000000000001</v>
      </c>
      <c r="AB177" s="393">
        <f t="shared" si="269"/>
        <v>137.82999999999998</v>
      </c>
      <c r="AC177" s="393">
        <f t="shared" si="269"/>
        <v>140.82999999999998</v>
      </c>
      <c r="AD177" s="393">
        <f t="shared" si="269"/>
        <v>141.32</v>
      </c>
      <c r="AE177" s="84">
        <f>AE119+AE120+AE123+AE124+AE125+AE127+AE129+AE132+AE135+AE137+AE139+AE140+AE147+AE150+AE152+AE155+AE157+AE159+AE161</f>
        <v>145.26999999999998</v>
      </c>
      <c r="AF177" s="393">
        <f t="shared" si="269"/>
        <v>138.22999999999999</v>
      </c>
      <c r="AG177" s="393">
        <f t="shared" si="269"/>
        <v>138.94999999999999</v>
      </c>
      <c r="AH177" s="393">
        <f t="shared" si="269"/>
        <v>144.75900000000001</v>
      </c>
      <c r="AI177" s="393">
        <f t="shared" si="269"/>
        <v>146.32999999999998</v>
      </c>
      <c r="AJ177" s="393">
        <f t="shared" si="269"/>
        <v>153.94011431000001</v>
      </c>
      <c r="AK177" s="393">
        <f t="shared" ref="AK177:AP177" si="270">AK119+AK120+AK123+AK124+AK125+AK127+AK129+AK132+AK135+AK137+AK139+AK140+AK147+AK150+AK152+AK155+AK157+AK159+AK161</f>
        <v>165.00040959</v>
      </c>
      <c r="AL177" s="393">
        <f t="shared" si="270"/>
        <v>150.66360789999999</v>
      </c>
      <c r="AM177" s="393">
        <f t="shared" si="270"/>
        <v>157.95993929999997</v>
      </c>
      <c r="AN177" s="393">
        <f t="shared" si="270"/>
        <v>154.06706277000001</v>
      </c>
      <c r="AO177" s="393">
        <f t="shared" si="270"/>
        <v>157.03080285999999</v>
      </c>
      <c r="AP177" s="393">
        <f t="shared" si="270"/>
        <v>156.47906547999997</v>
      </c>
      <c r="AQ177" s="393">
        <f t="shared" ref="AQ177:AR177" si="271">AQ119+AQ120+AQ123+AQ124+AQ125+AQ127+AQ129+AQ132+AQ135+AQ137+AQ139+AQ140+AQ147+AQ150+AQ152+AQ155+AQ157+AQ159+AQ161</f>
        <v>158.38160699999997</v>
      </c>
      <c r="AR177" s="393">
        <f t="shared" si="271"/>
        <v>159.10999999999999</v>
      </c>
      <c r="AS177" s="393">
        <f t="shared" ref="AS177:AT177" si="272">AS119+AS120+AS123+AS124+AS125+AS127+AS129+AS132+AS135+AS137+AS139+AS140+AS147+AS150+AS152+AS155+AS157+AS159+AS161</f>
        <v>160.63999999999999</v>
      </c>
      <c r="AT177" s="393">
        <f t="shared" si="272"/>
        <v>162.91118932999998</v>
      </c>
      <c r="AU177" s="393">
        <f t="shared" ref="AU177:AV177" si="273">AU119+AU120+AU123+AU124+AU125+AU127+AU129+AU132+AU135+AU137+AU139+AU140+AU147+AU150+AU152+AU155+AU157+AU159+AU161</f>
        <v>159.04734765000001</v>
      </c>
      <c r="AV177" s="393">
        <f t="shared" si="273"/>
        <v>159.04</v>
      </c>
      <c r="AW177" s="38"/>
      <c r="AX177" s="38"/>
      <c r="AZ177" s="732">
        <f>SUM(AK177:AV177)</f>
        <v>1900.33103188</v>
      </c>
    </row>
    <row r="178" spans="1:53" s="31" customFormat="1">
      <c r="A178" s="33"/>
      <c r="B178" s="396" t="s">
        <v>3</v>
      </c>
      <c r="C178" s="5" t="s">
        <v>143</v>
      </c>
      <c r="D178" s="395" t="s">
        <v>145</v>
      </c>
      <c r="G178" s="84"/>
      <c r="H178" s="84"/>
      <c r="I178" s="84">
        <f t="shared" ref="I178:AJ178" si="274">I117+I118</f>
        <v>0.8</v>
      </c>
      <c r="J178" s="84">
        <f t="shared" si="274"/>
        <v>0.64030200000000004</v>
      </c>
      <c r="K178" s="84">
        <f t="shared" si="274"/>
        <v>0.60816493999999999</v>
      </c>
      <c r="L178" s="84">
        <f t="shared" si="274"/>
        <v>1.1024456499999999</v>
      </c>
      <c r="M178" s="84">
        <f t="shared" si="274"/>
        <v>1.3</v>
      </c>
      <c r="N178" s="84">
        <f t="shared" si="274"/>
        <v>1.56</v>
      </c>
      <c r="O178" s="84">
        <f t="shared" si="274"/>
        <v>1.3</v>
      </c>
      <c r="P178" s="84">
        <f t="shared" si="274"/>
        <v>1.45</v>
      </c>
      <c r="Q178" s="84">
        <f t="shared" si="274"/>
        <v>1.3585938099999999</v>
      </c>
      <c r="R178" s="84">
        <f t="shared" si="274"/>
        <v>1.12617382</v>
      </c>
      <c r="S178" s="84">
        <f t="shared" si="274"/>
        <v>1.4</v>
      </c>
      <c r="T178" s="84">
        <f t="shared" si="274"/>
        <v>1.02</v>
      </c>
      <c r="U178" s="84">
        <f t="shared" si="274"/>
        <v>1.45</v>
      </c>
      <c r="V178" s="84">
        <f t="shared" si="274"/>
        <v>1.4500000000000002</v>
      </c>
      <c r="W178" s="84">
        <f t="shared" si="274"/>
        <v>1.4</v>
      </c>
      <c r="X178" s="84">
        <f t="shared" si="274"/>
        <v>1.2</v>
      </c>
      <c r="Y178" s="84">
        <f t="shared" si="274"/>
        <v>1.4</v>
      </c>
      <c r="Z178" s="84">
        <f t="shared" si="274"/>
        <v>1.2999999999999998</v>
      </c>
      <c r="AA178" s="84">
        <f t="shared" si="274"/>
        <v>1.35</v>
      </c>
      <c r="AB178" s="84">
        <f t="shared" si="274"/>
        <v>1.2</v>
      </c>
      <c r="AC178" s="84">
        <f t="shared" si="274"/>
        <v>1.45</v>
      </c>
      <c r="AD178" s="84">
        <f t="shared" si="274"/>
        <v>1.47</v>
      </c>
      <c r="AE178" s="84">
        <f t="shared" si="274"/>
        <v>1.26</v>
      </c>
      <c r="AF178" s="84">
        <f t="shared" si="274"/>
        <v>1.33</v>
      </c>
      <c r="AG178" s="84">
        <f t="shared" si="274"/>
        <v>1.23</v>
      </c>
      <c r="AH178" s="84">
        <f t="shared" si="274"/>
        <v>1.05</v>
      </c>
      <c r="AI178" s="84">
        <f t="shared" si="274"/>
        <v>1.5</v>
      </c>
      <c r="AJ178" s="84">
        <f t="shared" si="274"/>
        <v>1.55</v>
      </c>
      <c r="AK178" s="84">
        <f t="shared" ref="AK178:AP178" si="275">AK117+AK118</f>
        <v>1.4100000000000001</v>
      </c>
      <c r="AL178" s="84">
        <f t="shared" si="275"/>
        <v>1.38</v>
      </c>
      <c r="AM178" s="84">
        <f t="shared" si="275"/>
        <v>0.9</v>
      </c>
      <c r="AN178" s="84">
        <f t="shared" si="275"/>
        <v>0.95</v>
      </c>
      <c r="AO178" s="84">
        <f t="shared" si="275"/>
        <v>0.95</v>
      </c>
      <c r="AP178" s="84">
        <f t="shared" si="275"/>
        <v>0.9</v>
      </c>
      <c r="AQ178" s="84">
        <f t="shared" ref="AQ178:AR178" si="276">AQ117+AQ118</f>
        <v>1.1000000000000001</v>
      </c>
      <c r="AR178" s="653">
        <f t="shared" si="276"/>
        <v>1.1000000000000001</v>
      </c>
      <c r="AS178" s="653">
        <f t="shared" ref="AS178:AT178" si="277">AS117+AS118</f>
        <v>1.1000000000000001</v>
      </c>
      <c r="AT178" s="653">
        <f t="shared" si="277"/>
        <v>1.1000000000000001</v>
      </c>
      <c r="AU178" s="653">
        <f t="shared" ref="AU178:AV178" si="278">AU117+AU118</f>
        <v>1.1000000000000001</v>
      </c>
      <c r="AV178" s="653">
        <f t="shared" si="278"/>
        <v>1.1000000000000001</v>
      </c>
      <c r="AW178" s="38"/>
      <c r="AX178" s="38"/>
    </row>
    <row r="179" spans="1:53" s="31" customFormat="1" ht="15" thickBot="1">
      <c r="A179" s="33"/>
      <c r="B179" s="396" t="s">
        <v>153</v>
      </c>
      <c r="C179" s="5" t="s">
        <v>9</v>
      </c>
      <c r="D179" s="395" t="s">
        <v>142</v>
      </c>
      <c r="G179" s="85"/>
      <c r="H179" s="85"/>
      <c r="I179" s="85">
        <f t="shared" ref="I179:Q179" si="279">SUM(I165:I170)</f>
        <v>28.7</v>
      </c>
      <c r="J179" s="85">
        <f t="shared" si="279"/>
        <v>23.6</v>
      </c>
      <c r="K179" s="85">
        <f t="shared" si="279"/>
        <v>19.850000000000001</v>
      </c>
      <c r="L179" s="85">
        <f t="shared" si="279"/>
        <v>23.27</v>
      </c>
      <c r="M179" s="85">
        <f t="shared" si="279"/>
        <v>29.57</v>
      </c>
      <c r="N179" s="85">
        <f t="shared" si="279"/>
        <v>29.259999999999998</v>
      </c>
      <c r="O179" s="85">
        <f t="shared" si="279"/>
        <v>26.774999999999999</v>
      </c>
      <c r="P179" s="85">
        <f t="shared" si="279"/>
        <v>26.65</v>
      </c>
      <c r="Q179" s="85">
        <f t="shared" si="279"/>
        <v>22.6</v>
      </c>
      <c r="R179" s="85">
        <f>SUM(R165:R170)</f>
        <v>23.2</v>
      </c>
      <c r="S179" s="85">
        <f>SUM(S165:S170)</f>
        <v>24.7</v>
      </c>
      <c r="T179" s="85">
        <f t="shared" ref="T179:AD179" si="280">SUM(T165:T170)</f>
        <v>21.72</v>
      </c>
      <c r="U179" s="85">
        <f t="shared" si="280"/>
        <v>26.2</v>
      </c>
      <c r="V179" s="85">
        <f t="shared" si="280"/>
        <v>28.39</v>
      </c>
      <c r="W179" s="85">
        <f t="shared" si="280"/>
        <v>27.66</v>
      </c>
      <c r="X179" s="85">
        <f t="shared" si="280"/>
        <v>27.65</v>
      </c>
      <c r="Y179" s="85">
        <f t="shared" si="280"/>
        <v>24.856999999999999</v>
      </c>
      <c r="Z179" s="85">
        <f t="shared" si="280"/>
        <v>19.12</v>
      </c>
      <c r="AA179" s="85">
        <f t="shared" si="280"/>
        <v>25.87</v>
      </c>
      <c r="AB179" s="85">
        <f t="shared" si="280"/>
        <v>26.552</v>
      </c>
      <c r="AC179" s="85">
        <f t="shared" si="280"/>
        <v>26.995000000000001</v>
      </c>
      <c r="AD179" s="85">
        <f t="shared" si="280"/>
        <v>23.3</v>
      </c>
      <c r="AE179" s="85">
        <f t="shared" ref="AE179:AK179" si="281">SUM(AE165:AE170)</f>
        <v>20.135000000000002</v>
      </c>
      <c r="AF179" s="85">
        <f t="shared" si="281"/>
        <v>24.855</v>
      </c>
      <c r="AG179" s="85">
        <f t="shared" si="281"/>
        <v>27.45</v>
      </c>
      <c r="AH179" s="85">
        <f t="shared" si="281"/>
        <v>28.401</v>
      </c>
      <c r="AI179" s="85">
        <f t="shared" si="281"/>
        <v>26.7</v>
      </c>
      <c r="AJ179" s="85">
        <f t="shared" si="281"/>
        <v>25.324299999999994</v>
      </c>
      <c r="AK179" s="85">
        <f t="shared" si="281"/>
        <v>25.45</v>
      </c>
      <c r="AL179" s="85">
        <f t="shared" ref="AL179:AM179" si="282">SUM(AL165:AL170)</f>
        <v>24.72</v>
      </c>
      <c r="AM179" s="85">
        <f t="shared" si="282"/>
        <v>28.824999999999999</v>
      </c>
      <c r="AN179" s="85">
        <f t="shared" ref="AN179:AO179" si="283">SUM(AN165:AN170)</f>
        <v>21.695</v>
      </c>
      <c r="AO179" s="85">
        <f t="shared" si="283"/>
        <v>29.754999999999999</v>
      </c>
      <c r="AP179" s="85">
        <f t="shared" ref="AP179:AQ179" si="284">SUM(AP165:AP170)</f>
        <v>25.505000000000003</v>
      </c>
      <c r="AQ179" s="85">
        <f t="shared" si="284"/>
        <v>16.79</v>
      </c>
      <c r="AR179" s="85">
        <f t="shared" ref="AR179:AS179" si="285">SUM(AR165:AR170)</f>
        <v>18.055</v>
      </c>
      <c r="AS179" s="85">
        <f t="shared" si="285"/>
        <v>13.15</v>
      </c>
      <c r="AT179" s="85">
        <f t="shared" ref="AT179:AU179" si="286">SUM(AT165:AT170)</f>
        <v>12.185</v>
      </c>
      <c r="AU179" s="85">
        <f t="shared" si="286"/>
        <v>15.177921999999999</v>
      </c>
      <c r="AV179" s="85">
        <f t="shared" ref="AV179" si="287">SUM(AV165:AV170)</f>
        <v>13.15</v>
      </c>
      <c r="AW179" s="38"/>
      <c r="AX179" s="38"/>
    </row>
    <row r="180" spans="1:53" s="31" customFormat="1">
      <c r="A180" s="327"/>
      <c r="B180" s="445" t="s">
        <v>3</v>
      </c>
      <c r="C180" s="398" t="s">
        <v>147</v>
      </c>
      <c r="D180" s="394" t="s">
        <v>138</v>
      </c>
      <c r="E180" s="444">
        <f t="shared" ref="E180:T180" si="288">SUM(E118:E143)</f>
        <v>156.68</v>
      </c>
      <c r="F180" s="409">
        <f t="shared" si="288"/>
        <v>166.56891165000002</v>
      </c>
      <c r="G180" s="404">
        <f t="shared" si="288"/>
        <v>185.92871692</v>
      </c>
      <c r="H180" s="404">
        <f t="shared" si="288"/>
        <v>177.00768496999999</v>
      </c>
      <c r="I180" s="404">
        <f t="shared" si="288"/>
        <v>187.92999999999998</v>
      </c>
      <c r="J180" s="404">
        <f t="shared" si="288"/>
        <v>193.84373229999997</v>
      </c>
      <c r="K180" s="404">
        <f t="shared" si="288"/>
        <v>198.58999999999997</v>
      </c>
      <c r="L180" s="404">
        <f t="shared" si="288"/>
        <v>191.32567744999997</v>
      </c>
      <c r="M180" s="404">
        <f t="shared" si="288"/>
        <v>184.80329082</v>
      </c>
      <c r="N180" s="404">
        <f t="shared" si="288"/>
        <v>176.30545953000001</v>
      </c>
      <c r="O180" s="404">
        <f t="shared" si="288"/>
        <v>172.35000000000002</v>
      </c>
      <c r="P180" s="404">
        <f t="shared" si="288"/>
        <v>142.49</v>
      </c>
      <c r="Q180" s="404">
        <f t="shared" si="288"/>
        <v>140.31</v>
      </c>
      <c r="R180" s="404">
        <f t="shared" si="288"/>
        <v>160.07</v>
      </c>
      <c r="S180" s="404">
        <f t="shared" si="288"/>
        <v>176.33</v>
      </c>
      <c r="T180" s="404">
        <f t="shared" si="288"/>
        <v>191.43000000000004</v>
      </c>
      <c r="U180" s="404">
        <f>SUM(U117:U143)</f>
        <v>188.79000000000005</v>
      </c>
      <c r="V180" s="404">
        <f>SUM(V118:V143)</f>
        <v>199.20999999999998</v>
      </c>
      <c r="W180" s="404">
        <f>SUM(W118:W143)</f>
        <v>180.70240770999999</v>
      </c>
      <c r="X180" s="404">
        <f>SUM(X118:X143)</f>
        <v>182.49</v>
      </c>
      <c r="Y180" s="404">
        <f>SUM(Y118:Y143)</f>
        <v>164.48000000000002</v>
      </c>
      <c r="Z180" s="404">
        <f t="shared" ref="Z180:AJ180" si="289">SUM(Z118:Z143)</f>
        <v>166.64743945000001</v>
      </c>
      <c r="AA180" s="404">
        <f t="shared" si="289"/>
        <v>197.68999999999997</v>
      </c>
      <c r="AB180" s="404">
        <f t="shared" si="289"/>
        <v>165.49999999999997</v>
      </c>
      <c r="AC180" s="404">
        <f t="shared" si="289"/>
        <v>170.20000000000002</v>
      </c>
      <c r="AD180" s="404">
        <f t="shared" si="289"/>
        <v>178.23</v>
      </c>
      <c r="AE180" s="404">
        <f t="shared" si="289"/>
        <v>184.47999999999996</v>
      </c>
      <c r="AF180" s="404">
        <f t="shared" si="289"/>
        <v>171.30999999999997</v>
      </c>
      <c r="AG180" s="404">
        <f t="shared" si="289"/>
        <v>172.9</v>
      </c>
      <c r="AH180" s="404">
        <f t="shared" si="289"/>
        <v>173.68900000000002</v>
      </c>
      <c r="AI180" s="404">
        <f t="shared" si="289"/>
        <v>176.67999999999998</v>
      </c>
      <c r="AJ180" s="404">
        <f t="shared" si="289"/>
        <v>188.92011431000003</v>
      </c>
      <c r="AK180" s="404">
        <f>SUM(AK118:AK143)</f>
        <v>195.75040959</v>
      </c>
      <c r="AL180" s="404">
        <f t="shared" ref="AL180:AP180" si="290">SUM(AL118:AL143)</f>
        <v>189.23360789999998</v>
      </c>
      <c r="AM180" s="404">
        <f t="shared" si="290"/>
        <v>196.84993929999996</v>
      </c>
      <c r="AN180" s="404">
        <f t="shared" si="290"/>
        <v>198.42706276999999</v>
      </c>
      <c r="AO180" s="404">
        <f t="shared" si="290"/>
        <v>195.97080285999996</v>
      </c>
      <c r="AP180" s="404">
        <f t="shared" si="290"/>
        <v>195.62906547999995</v>
      </c>
      <c r="AQ180" s="404">
        <f t="shared" ref="AQ180:AR180" si="291">SUM(AQ118:AQ143)</f>
        <v>208.07160699999997</v>
      </c>
      <c r="AR180" s="404">
        <f t="shared" si="291"/>
        <v>207.53999999999996</v>
      </c>
      <c r="AS180" s="404">
        <f t="shared" ref="AS180:AT180" si="292">SUM(AS118:AS143)</f>
        <v>210.68999999999994</v>
      </c>
      <c r="AT180" s="404">
        <f t="shared" si="292"/>
        <v>214.21118932999997</v>
      </c>
      <c r="AU180" s="404">
        <f t="shared" ref="AU180:AV180" si="293">SUM(AU118:AU143)</f>
        <v>210.07734764999998</v>
      </c>
      <c r="AV180" s="404">
        <f t="shared" si="293"/>
        <v>210.06999999999996</v>
      </c>
      <c r="AW180" s="583">
        <f>SUM(AK180:AV180)</f>
        <v>2432.52103188</v>
      </c>
      <c r="AX180" s="434">
        <f t="shared" ref="AX180:AX189" si="294">SUM(Y180:AJ180)</f>
        <v>2110.7265537600001</v>
      </c>
    </row>
    <row r="181" spans="1:53" s="31" customFormat="1">
      <c r="A181" s="327"/>
      <c r="B181" s="446" t="s">
        <v>136</v>
      </c>
      <c r="C181" s="5" t="s">
        <v>146</v>
      </c>
      <c r="D181" s="395" t="s">
        <v>138</v>
      </c>
      <c r="G181" s="252"/>
      <c r="H181" s="252"/>
      <c r="I181" s="252">
        <f t="shared" ref="I181:T181" si="295">SUM(I119:I121,I147:I149,I165,I169,I170,I117,I118,I144)</f>
        <v>186.57</v>
      </c>
      <c r="J181" s="252">
        <f t="shared" si="295"/>
        <v>180.2840343</v>
      </c>
      <c r="K181" s="252">
        <f t="shared" si="295"/>
        <v>184.44816493999997</v>
      </c>
      <c r="L181" s="252">
        <f t="shared" si="295"/>
        <v>182.09812309999998</v>
      </c>
      <c r="M181" s="252">
        <f t="shared" si="295"/>
        <v>170.64329082</v>
      </c>
      <c r="N181" s="252">
        <f t="shared" si="295"/>
        <v>161.30545953000001</v>
      </c>
      <c r="O181" s="252">
        <f t="shared" si="295"/>
        <v>157.29500000000002</v>
      </c>
      <c r="P181" s="252">
        <f t="shared" si="295"/>
        <v>129.58999999999997</v>
      </c>
      <c r="Q181" s="252">
        <f t="shared" si="295"/>
        <v>127.31859380999998</v>
      </c>
      <c r="R181" s="252">
        <f t="shared" si="295"/>
        <v>131.86617382</v>
      </c>
      <c r="S181" s="252">
        <f t="shared" si="295"/>
        <v>149.82999999999998</v>
      </c>
      <c r="T181" s="252">
        <f t="shared" si="295"/>
        <v>159.02000000000004</v>
      </c>
      <c r="U181" s="252">
        <f t="shared" ref="U181:AI181" si="296">SUM(U119:U122,U147:U149,U165,U169,U170,U117,U118,U144)</f>
        <v>157.19</v>
      </c>
      <c r="V181" s="252">
        <f>SUM(V119:V122,V147:V149,V165,V169,V170,V117,V118,V144)</f>
        <v>163.95000000000002</v>
      </c>
      <c r="W181" s="252">
        <f t="shared" si="296"/>
        <v>162.36240770999999</v>
      </c>
      <c r="X181" s="252">
        <f t="shared" si="296"/>
        <v>162.32</v>
      </c>
      <c r="Y181" s="252">
        <f t="shared" si="296"/>
        <v>153.23699999999999</v>
      </c>
      <c r="Z181" s="252">
        <f t="shared" si="296"/>
        <v>146.16743944999999</v>
      </c>
      <c r="AA181" s="252">
        <f t="shared" si="296"/>
        <v>161.66</v>
      </c>
      <c r="AB181" s="252">
        <f t="shared" si="296"/>
        <v>143.65199999999999</v>
      </c>
      <c r="AC181" s="252">
        <f t="shared" si="296"/>
        <v>146.315</v>
      </c>
      <c r="AD181" s="252">
        <f t="shared" si="296"/>
        <v>146.67999999999998</v>
      </c>
      <c r="AE181" s="252">
        <f>SUM(AE119:AE122,AE147:AE149,AE165,AE169,AE170,AE117,AE118,AE144)</f>
        <v>148.315</v>
      </c>
      <c r="AF181" s="252">
        <f>SUM(AF119:AF122,AF147:AF149,AF165,AF169,AF170,AF117,AF118,AF144)</f>
        <v>144.39500000000001</v>
      </c>
      <c r="AG181" s="252">
        <f t="shared" si="296"/>
        <v>147.88</v>
      </c>
      <c r="AH181" s="252">
        <f t="shared" si="296"/>
        <v>150.98999999999998</v>
      </c>
      <c r="AI181" s="252">
        <f t="shared" si="296"/>
        <v>151.27000000000001</v>
      </c>
      <c r="AJ181" s="252">
        <f t="shared" ref="AJ181:AO181" si="297">SUM(AJ119:AJ122,AJ147:AJ149,AJ165,AJ169,AJ170,AJ117,AJ118,AJ144)</f>
        <v>154.49441431000005</v>
      </c>
      <c r="AK181" s="252">
        <f t="shared" si="297"/>
        <v>159.00040959000003</v>
      </c>
      <c r="AL181" s="252">
        <f t="shared" si="297"/>
        <v>150.85360789999999</v>
      </c>
      <c r="AM181" s="252">
        <f t="shared" si="297"/>
        <v>154.72493929999999</v>
      </c>
      <c r="AN181" s="252">
        <f t="shared" si="297"/>
        <v>149.45206277</v>
      </c>
      <c r="AO181" s="252">
        <f t="shared" si="297"/>
        <v>154.77580286</v>
      </c>
      <c r="AP181" s="252">
        <f t="shared" ref="AP181:AQ181" si="298">SUM(AP119:AP122,AP147:AP149,AP165,AP169,AP170,AP117,AP118,AP144)</f>
        <v>150.46406548000002</v>
      </c>
      <c r="AQ181" s="252">
        <f t="shared" si="298"/>
        <v>153.91160699999998</v>
      </c>
      <c r="AR181" s="252">
        <f t="shared" ref="AR181:AS181" si="299">SUM(AR119:AR122,AR147:AR149,AR165,AR169,AR170,AR117,AR118,AR144)</f>
        <v>154.64499999999998</v>
      </c>
      <c r="AS181" s="252">
        <f t="shared" si="299"/>
        <v>153.16999999999996</v>
      </c>
      <c r="AT181" s="252">
        <f t="shared" ref="AT181:AU181" si="300">SUM(AT119:AT122,AT147:AT149,AT165,AT169,AT170,AT117,AT118,AT144)</f>
        <v>155.44618932999998</v>
      </c>
      <c r="AU181" s="252">
        <f t="shared" si="300"/>
        <v>154.58526965000001</v>
      </c>
      <c r="AV181" s="252">
        <f t="shared" ref="AV181" si="301">SUM(AV119:AV122,AV147:AV149,AV165,AV169,AV170,AV117,AV118,AV144)</f>
        <v>152.54999999999998</v>
      </c>
      <c r="AW181" s="38"/>
      <c r="AX181" s="434">
        <f t="shared" si="294"/>
        <v>1795.0558537600002</v>
      </c>
      <c r="AZ181" s="31">
        <f>150*12</f>
        <v>1800</v>
      </c>
    </row>
    <row r="182" spans="1:53" s="31" customFormat="1">
      <c r="A182" s="327"/>
      <c r="B182" s="447" t="s">
        <v>136</v>
      </c>
      <c r="C182" s="410" t="s">
        <v>154</v>
      </c>
      <c r="D182" s="411" t="s">
        <v>138</v>
      </c>
      <c r="G182" s="412"/>
      <c r="H182" s="412"/>
      <c r="I182" s="412"/>
      <c r="J182" s="412"/>
      <c r="K182" s="412"/>
      <c r="L182" s="412"/>
      <c r="M182" s="412"/>
      <c r="N182" s="412"/>
      <c r="O182" s="412"/>
      <c r="P182" s="412"/>
      <c r="Q182" s="412"/>
      <c r="R182" s="412">
        <f t="shared" ref="R182:AJ182" si="302">R181-R117-R118</f>
        <v>130.74</v>
      </c>
      <c r="S182" s="412">
        <f t="shared" si="302"/>
        <v>148.42999999999998</v>
      </c>
      <c r="T182" s="412">
        <f t="shared" si="302"/>
        <v>158.00000000000003</v>
      </c>
      <c r="U182" s="412">
        <f t="shared" si="302"/>
        <v>155.74</v>
      </c>
      <c r="V182" s="412">
        <f t="shared" si="302"/>
        <v>162.5</v>
      </c>
      <c r="W182" s="412">
        <f t="shared" si="302"/>
        <v>160.96240770999998</v>
      </c>
      <c r="X182" s="412">
        <f t="shared" si="302"/>
        <v>161.12</v>
      </c>
      <c r="Y182" s="412">
        <f t="shared" si="302"/>
        <v>151.83699999999999</v>
      </c>
      <c r="Z182" s="412">
        <f t="shared" si="302"/>
        <v>144.86743945000001</v>
      </c>
      <c r="AA182" s="412">
        <f t="shared" si="302"/>
        <v>160.31</v>
      </c>
      <c r="AB182" s="412">
        <f t="shared" si="302"/>
        <v>142.452</v>
      </c>
      <c r="AC182" s="412">
        <f t="shared" si="302"/>
        <v>144.86500000000001</v>
      </c>
      <c r="AD182" s="412">
        <f t="shared" si="302"/>
        <v>145.20999999999998</v>
      </c>
      <c r="AE182" s="412">
        <f>AE181-AE117-AE118</f>
        <v>147.05500000000001</v>
      </c>
      <c r="AF182" s="412">
        <f>AF181-AF117-AF118</f>
        <v>143.065</v>
      </c>
      <c r="AG182" s="412">
        <f t="shared" si="302"/>
        <v>146.65</v>
      </c>
      <c r="AH182" s="412">
        <f t="shared" si="302"/>
        <v>149.94</v>
      </c>
      <c r="AI182" s="412">
        <f t="shared" si="302"/>
        <v>149.77000000000001</v>
      </c>
      <c r="AJ182" s="412">
        <f t="shared" si="302"/>
        <v>152.94441431000004</v>
      </c>
      <c r="AK182" s="412">
        <f t="shared" ref="AK182:AP182" si="303">AK181-AK117-AK118</f>
        <v>157.59040959000004</v>
      </c>
      <c r="AL182" s="412">
        <f t="shared" si="303"/>
        <v>149.47360789999999</v>
      </c>
      <c r="AM182" s="412">
        <f t="shared" si="303"/>
        <v>153.82493929999998</v>
      </c>
      <c r="AN182" s="412">
        <f t="shared" si="303"/>
        <v>148.50206277000001</v>
      </c>
      <c r="AO182" s="412">
        <f t="shared" si="303"/>
        <v>153.82580286000001</v>
      </c>
      <c r="AP182" s="412">
        <f t="shared" si="303"/>
        <v>149.56406548000001</v>
      </c>
      <c r="AQ182" s="412">
        <f t="shared" ref="AQ182:AR182" si="304">AQ181-AQ117-AQ118</f>
        <v>152.81160699999998</v>
      </c>
      <c r="AR182" s="412">
        <f t="shared" si="304"/>
        <v>153.54499999999999</v>
      </c>
      <c r="AS182" s="412">
        <f t="shared" ref="AS182:AT182" si="305">AS181-AS117-AS118</f>
        <v>152.06999999999996</v>
      </c>
      <c r="AT182" s="412">
        <f t="shared" si="305"/>
        <v>154.34618932999999</v>
      </c>
      <c r="AU182" s="412">
        <f t="shared" ref="AU182:AV182" si="306">AU181-AU117-AU118</f>
        <v>153.48526965000002</v>
      </c>
      <c r="AV182" s="412">
        <f t="shared" si="306"/>
        <v>151.44999999999999</v>
      </c>
      <c r="AW182" s="38"/>
      <c r="AX182" s="434">
        <f t="shared" si="294"/>
        <v>1778.9658537600003</v>
      </c>
      <c r="AZ182" s="31">
        <f>AZ181*2%</f>
        <v>36</v>
      </c>
    </row>
    <row r="183" spans="1:53" s="31" customFormat="1">
      <c r="A183" s="327"/>
      <c r="B183" s="446" t="s">
        <v>136</v>
      </c>
      <c r="C183" s="5" t="s">
        <v>150</v>
      </c>
      <c r="D183" s="395" t="s">
        <v>138</v>
      </c>
      <c r="G183" s="252"/>
      <c r="H183" s="252"/>
      <c r="I183" s="252">
        <f t="shared" ref="I183:AJ183" si="307">I123+I124</f>
        <v>45.760000000000005</v>
      </c>
      <c r="J183" s="252">
        <f t="shared" si="307"/>
        <v>46.2</v>
      </c>
      <c r="K183" s="252">
        <f t="shared" si="307"/>
        <v>46.2</v>
      </c>
      <c r="L183" s="252">
        <f t="shared" si="307"/>
        <v>46.2</v>
      </c>
      <c r="M183" s="252">
        <f t="shared" si="307"/>
        <v>44</v>
      </c>
      <c r="N183" s="252">
        <f t="shared" si="307"/>
        <v>44</v>
      </c>
      <c r="O183" s="252">
        <f t="shared" si="307"/>
        <v>33</v>
      </c>
      <c r="P183" s="252">
        <f t="shared" si="307"/>
        <v>30</v>
      </c>
      <c r="Q183" s="252">
        <f t="shared" si="307"/>
        <v>31</v>
      </c>
      <c r="R183" s="252">
        <f t="shared" si="307"/>
        <v>35</v>
      </c>
      <c r="S183" s="252">
        <f t="shared" si="307"/>
        <v>39</v>
      </c>
      <c r="T183" s="252">
        <f t="shared" si="307"/>
        <v>40</v>
      </c>
      <c r="U183" s="252">
        <f t="shared" si="307"/>
        <v>41</v>
      </c>
      <c r="V183" s="252">
        <f t="shared" si="307"/>
        <v>43</v>
      </c>
      <c r="W183" s="252">
        <f t="shared" si="307"/>
        <v>41</v>
      </c>
      <c r="X183" s="252">
        <f t="shared" si="307"/>
        <v>42</v>
      </c>
      <c r="Y183" s="252">
        <f t="shared" si="307"/>
        <v>40</v>
      </c>
      <c r="Z183" s="252">
        <f t="shared" si="307"/>
        <v>39.4</v>
      </c>
      <c r="AA183" s="252">
        <f t="shared" si="307"/>
        <v>43</v>
      </c>
      <c r="AB183" s="252">
        <f t="shared" si="307"/>
        <v>36</v>
      </c>
      <c r="AC183" s="252">
        <f t="shared" si="307"/>
        <v>36</v>
      </c>
      <c r="AD183" s="252">
        <f>AD123+AD124</f>
        <v>36</v>
      </c>
      <c r="AE183" s="252">
        <f t="shared" si="307"/>
        <v>37</v>
      </c>
      <c r="AF183" s="252">
        <f t="shared" si="307"/>
        <v>36</v>
      </c>
      <c r="AG183" s="252">
        <f t="shared" si="307"/>
        <v>36</v>
      </c>
      <c r="AH183" s="252">
        <f t="shared" si="307"/>
        <v>37</v>
      </c>
      <c r="AI183" s="252">
        <f t="shared" si="307"/>
        <v>39</v>
      </c>
      <c r="AJ183" s="252">
        <f t="shared" si="307"/>
        <v>43</v>
      </c>
      <c r="AK183" s="252">
        <f t="shared" ref="AK183:AP183" si="308">AK123+AK124</f>
        <v>44</v>
      </c>
      <c r="AL183" s="252">
        <f t="shared" si="308"/>
        <v>37</v>
      </c>
      <c r="AM183" s="252">
        <f t="shared" si="308"/>
        <v>44</v>
      </c>
      <c r="AN183" s="252">
        <f t="shared" si="308"/>
        <v>44</v>
      </c>
      <c r="AO183" s="252">
        <f t="shared" si="308"/>
        <v>44</v>
      </c>
      <c r="AP183" s="252">
        <f t="shared" si="308"/>
        <v>44</v>
      </c>
      <c r="AQ183" s="252">
        <f t="shared" ref="AQ183:AR183" si="309">AQ123+AQ124</f>
        <v>44</v>
      </c>
      <c r="AR183" s="252">
        <f t="shared" si="309"/>
        <v>44</v>
      </c>
      <c r="AS183" s="252">
        <f t="shared" ref="AS183:AT183" si="310">AS123+AS124</f>
        <v>44</v>
      </c>
      <c r="AT183" s="252">
        <f t="shared" si="310"/>
        <v>44</v>
      </c>
      <c r="AU183" s="252">
        <f t="shared" ref="AU183:AV183" si="311">AU123+AU124</f>
        <v>44</v>
      </c>
      <c r="AV183" s="252">
        <f t="shared" si="311"/>
        <v>44</v>
      </c>
      <c r="AW183" s="38"/>
      <c r="AX183" s="434">
        <f t="shared" si="294"/>
        <v>458.4</v>
      </c>
    </row>
    <row r="184" spans="1:53" s="31" customFormat="1">
      <c r="A184" s="327"/>
      <c r="B184" s="446" t="s">
        <v>136</v>
      </c>
      <c r="C184" s="5" t="s">
        <v>149</v>
      </c>
      <c r="D184" s="395" t="s">
        <v>138</v>
      </c>
      <c r="G184" s="252"/>
      <c r="H184" s="252"/>
      <c r="I184" s="252">
        <f t="shared" ref="I184:U184" si="312">I129+I130+I152+I153+I166</f>
        <v>2.4</v>
      </c>
      <c r="J184" s="252">
        <f t="shared" si="312"/>
        <v>1.8</v>
      </c>
      <c r="K184" s="252">
        <f t="shared" si="312"/>
        <v>2.4</v>
      </c>
      <c r="L184" s="252">
        <f t="shared" si="312"/>
        <v>2.4</v>
      </c>
      <c r="M184" s="252">
        <f t="shared" si="312"/>
        <v>4.33</v>
      </c>
      <c r="N184" s="252">
        <f t="shared" si="312"/>
        <v>4.2</v>
      </c>
      <c r="O184" s="252">
        <f t="shared" si="312"/>
        <v>3</v>
      </c>
      <c r="P184" s="252">
        <f t="shared" si="312"/>
        <v>1.8</v>
      </c>
      <c r="Q184" s="252">
        <f t="shared" si="312"/>
        <v>1.8</v>
      </c>
      <c r="R184" s="252">
        <f t="shared" si="312"/>
        <v>1.8</v>
      </c>
      <c r="S184" s="252">
        <f t="shared" si="312"/>
        <v>1.8</v>
      </c>
      <c r="T184" s="252">
        <f t="shared" si="312"/>
        <v>1.8</v>
      </c>
      <c r="U184" s="252">
        <f t="shared" si="312"/>
        <v>2.4</v>
      </c>
      <c r="V184" s="252">
        <f>V129+V130+V152+V153+V166+V131</f>
        <v>2.6</v>
      </c>
      <c r="W184" s="252">
        <f>W129+W130+W152+W153+W166+W131</f>
        <v>4.2</v>
      </c>
      <c r="X184" s="252">
        <f>X129+X130+X152+X153+X166+X131</f>
        <v>4.2</v>
      </c>
      <c r="Y184" s="252">
        <f>Y129+Y130+Y152+Y153+Y154+Y166+Y131</f>
        <v>4.4000000000000004</v>
      </c>
      <c r="Z184" s="252">
        <f t="shared" ref="Z184:AJ184" si="313">Z129+Z130+Z152+Z153+Z154+Z166+Z131</f>
        <v>5</v>
      </c>
      <c r="AA184" s="252">
        <f t="shared" si="313"/>
        <v>4.2</v>
      </c>
      <c r="AB184" s="252">
        <f t="shared" si="313"/>
        <v>4.2</v>
      </c>
      <c r="AC184" s="252">
        <f t="shared" si="313"/>
        <v>3.5999999999999996</v>
      </c>
      <c r="AD184" s="252">
        <f t="shared" si="313"/>
        <v>4.2</v>
      </c>
      <c r="AE184" s="252">
        <f t="shared" si="313"/>
        <v>4.2</v>
      </c>
      <c r="AF184" s="252">
        <f t="shared" si="313"/>
        <v>4.2</v>
      </c>
      <c r="AG184" s="252">
        <f t="shared" si="313"/>
        <v>4.8</v>
      </c>
      <c r="AH184" s="252">
        <f t="shared" si="313"/>
        <v>4.2</v>
      </c>
      <c r="AI184" s="252">
        <f t="shared" si="313"/>
        <v>4.2</v>
      </c>
      <c r="AJ184" s="252">
        <f t="shared" si="313"/>
        <v>4.2</v>
      </c>
      <c r="AK184" s="252">
        <f t="shared" ref="AK184:AP184" si="314">AK129+AK130+AK152+AK153+AK154+AK166+AK131</f>
        <v>4.2</v>
      </c>
      <c r="AL184" s="252">
        <f t="shared" si="314"/>
        <v>4.2</v>
      </c>
      <c r="AM184" s="252">
        <f t="shared" si="314"/>
        <v>4.2</v>
      </c>
      <c r="AN184" s="252">
        <f t="shared" si="314"/>
        <v>4.2</v>
      </c>
      <c r="AO184" s="252">
        <f t="shared" si="314"/>
        <v>4.2</v>
      </c>
      <c r="AP184" s="252">
        <f t="shared" si="314"/>
        <v>4.2</v>
      </c>
      <c r="AQ184" s="252">
        <f t="shared" ref="AQ184:AR184" si="315">AQ129+AQ130+AQ152+AQ153+AQ154+AQ166+AQ131</f>
        <v>4.2</v>
      </c>
      <c r="AR184" s="252">
        <f t="shared" si="315"/>
        <v>4.2</v>
      </c>
      <c r="AS184" s="252">
        <f t="shared" ref="AS184:AT184" si="316">AS129+AS130+AS152+AS153+AS154+AS166+AS131</f>
        <v>4.2</v>
      </c>
      <c r="AT184" s="252">
        <f t="shared" si="316"/>
        <v>4.2</v>
      </c>
      <c r="AU184" s="252">
        <f t="shared" ref="AU184:AV184" si="317">AU129+AU130+AU152+AU153+AU154+AU166+AU131</f>
        <v>4.2</v>
      </c>
      <c r="AV184" s="252">
        <f t="shared" si="317"/>
        <v>4.2</v>
      </c>
      <c r="AW184" s="38"/>
      <c r="AX184" s="434">
        <f t="shared" si="294"/>
        <v>51.400000000000006</v>
      </c>
    </row>
    <row r="185" spans="1:53" s="31" customFormat="1" ht="12" customHeight="1">
      <c r="A185" s="327"/>
      <c r="B185" s="446" t="s">
        <v>136</v>
      </c>
      <c r="C185" s="5" t="s">
        <v>148</v>
      </c>
      <c r="D185" s="395" t="s">
        <v>138</v>
      </c>
      <c r="G185" s="252"/>
      <c r="H185" s="252"/>
      <c r="I185" s="252">
        <f t="shared" ref="I185:AK185" si="318">I132+I133+I145+I155+I156+I167</f>
        <v>3.8</v>
      </c>
      <c r="J185" s="252">
        <f t="shared" si="318"/>
        <v>6.4</v>
      </c>
      <c r="K185" s="252">
        <f t="shared" si="318"/>
        <v>5.6</v>
      </c>
      <c r="L185" s="252">
        <f t="shared" si="318"/>
        <v>6.4</v>
      </c>
      <c r="M185" s="252">
        <f t="shared" si="318"/>
        <v>15</v>
      </c>
      <c r="N185" s="252">
        <f t="shared" si="318"/>
        <v>15</v>
      </c>
      <c r="O185" s="252">
        <f t="shared" si="318"/>
        <v>14.16</v>
      </c>
      <c r="P185" s="252">
        <f t="shared" si="318"/>
        <v>10.5</v>
      </c>
      <c r="Q185" s="252">
        <f t="shared" si="318"/>
        <v>10</v>
      </c>
      <c r="R185" s="252">
        <f t="shared" si="318"/>
        <v>14.98</v>
      </c>
      <c r="S185" s="252">
        <f t="shared" si="318"/>
        <v>15.5</v>
      </c>
      <c r="T185" s="252">
        <f t="shared" si="318"/>
        <v>14.4</v>
      </c>
      <c r="U185" s="252">
        <f t="shared" si="318"/>
        <v>15.6</v>
      </c>
      <c r="V185" s="252">
        <f t="shared" si="318"/>
        <v>17.5</v>
      </c>
      <c r="W185" s="252">
        <f t="shared" si="318"/>
        <v>15</v>
      </c>
      <c r="X185" s="252">
        <f t="shared" si="318"/>
        <v>15.7</v>
      </c>
      <c r="Y185" s="252">
        <f t="shared" si="318"/>
        <v>11.3</v>
      </c>
      <c r="Z185" s="252">
        <f t="shared" si="318"/>
        <v>13.2</v>
      </c>
      <c r="AA185" s="252">
        <f t="shared" si="318"/>
        <v>16.5</v>
      </c>
      <c r="AB185" s="252">
        <f t="shared" si="318"/>
        <v>12</v>
      </c>
      <c r="AC185" s="252">
        <f t="shared" si="318"/>
        <v>13.079999999999998</v>
      </c>
      <c r="AD185" s="252">
        <f>AD132+AD133+AD145+AD155+AD156+AD167</f>
        <v>15.5</v>
      </c>
      <c r="AE185" s="252">
        <f t="shared" si="318"/>
        <v>15.000000000000002</v>
      </c>
      <c r="AF185" s="252">
        <f t="shared" si="318"/>
        <v>11</v>
      </c>
      <c r="AG185" s="252">
        <f t="shared" si="318"/>
        <v>13</v>
      </c>
      <c r="AH185" s="252">
        <f t="shared" si="318"/>
        <v>13.3</v>
      </c>
      <c r="AI185" s="252">
        <f t="shared" si="318"/>
        <v>14.709999999999999</v>
      </c>
      <c r="AJ185" s="252">
        <f t="shared" si="318"/>
        <v>15</v>
      </c>
      <c r="AK185" s="252">
        <f t="shared" si="318"/>
        <v>14.5</v>
      </c>
      <c r="AL185" s="252">
        <f t="shared" ref="AL185:AM185" si="319">AL132+AL133+AL145+AL155+AL156+AL167</f>
        <v>14.5</v>
      </c>
      <c r="AM185" s="252">
        <f t="shared" si="319"/>
        <v>14.5</v>
      </c>
      <c r="AN185" s="252">
        <f t="shared" ref="AN185:AO185" si="320">AN132+AN133+AN145+AN155+AN156+AN167</f>
        <v>14.5</v>
      </c>
      <c r="AO185" s="252">
        <f t="shared" si="320"/>
        <v>14.5</v>
      </c>
      <c r="AP185" s="252">
        <f t="shared" ref="AP185:AQ185" si="321">AP132+AP133+AP145+AP155+AP156+AP167</f>
        <v>14.5</v>
      </c>
      <c r="AQ185" s="252">
        <f t="shared" si="321"/>
        <v>14.5</v>
      </c>
      <c r="AR185" s="252">
        <f t="shared" ref="AR185:AS185" si="322">AR132+AR133+AR145+AR155+AR156+AR167</f>
        <v>14.5</v>
      </c>
      <c r="AS185" s="252">
        <f t="shared" si="322"/>
        <v>14.5</v>
      </c>
      <c r="AT185" s="252">
        <f t="shared" ref="AT185:AU185" si="323">AT132+AT133+AT145+AT155+AT156+AT167</f>
        <v>14.5</v>
      </c>
      <c r="AU185" s="252">
        <f t="shared" si="323"/>
        <v>14.5</v>
      </c>
      <c r="AV185" s="252">
        <f t="shared" ref="AV185" si="324">AV132+AV133+AV145+AV155+AV156+AV167</f>
        <v>14.5</v>
      </c>
      <c r="AW185" s="38"/>
      <c r="AX185" s="434">
        <f t="shared" si="294"/>
        <v>163.59</v>
      </c>
    </row>
    <row r="186" spans="1:53" s="31" customFormat="1" ht="12.65" customHeight="1">
      <c r="A186" s="327"/>
      <c r="B186" s="446" t="s">
        <v>136</v>
      </c>
      <c r="C186" s="5" t="s">
        <v>157</v>
      </c>
      <c r="D186" s="395" t="s">
        <v>138</v>
      </c>
      <c r="G186" s="252"/>
      <c r="H186" s="252"/>
      <c r="I186" s="252"/>
      <c r="J186" s="252"/>
      <c r="K186" s="252"/>
      <c r="L186" s="252"/>
      <c r="M186" s="252"/>
      <c r="N186" s="252"/>
      <c r="O186" s="252"/>
      <c r="P186" s="252"/>
      <c r="Q186" s="252"/>
      <c r="R186" s="252"/>
      <c r="S186" s="252"/>
      <c r="T186" s="252">
        <f t="shared" ref="T186:AJ186" si="325">T134+T168</f>
        <v>0</v>
      </c>
      <c r="U186" s="252">
        <f t="shared" si="325"/>
        <v>0</v>
      </c>
      <c r="V186" s="252">
        <f t="shared" si="325"/>
        <v>0</v>
      </c>
      <c r="W186" s="252">
        <f t="shared" si="325"/>
        <v>0</v>
      </c>
      <c r="X186" s="252">
        <f t="shared" si="325"/>
        <v>0</v>
      </c>
      <c r="Y186" s="252">
        <f t="shared" si="325"/>
        <v>0</v>
      </c>
      <c r="Z186" s="252">
        <f t="shared" si="325"/>
        <v>0</v>
      </c>
      <c r="AA186" s="252">
        <f t="shared" si="325"/>
        <v>0</v>
      </c>
      <c r="AB186" s="252">
        <f t="shared" si="325"/>
        <v>0</v>
      </c>
      <c r="AC186" s="252">
        <f t="shared" si="325"/>
        <v>0</v>
      </c>
      <c r="AD186" s="252">
        <f t="shared" si="325"/>
        <v>0</v>
      </c>
      <c r="AE186" s="252">
        <f t="shared" si="325"/>
        <v>0</v>
      </c>
      <c r="AF186" s="252">
        <f t="shared" si="325"/>
        <v>0</v>
      </c>
      <c r="AG186" s="252">
        <f t="shared" si="325"/>
        <v>0</v>
      </c>
      <c r="AH186" s="252">
        <f t="shared" si="325"/>
        <v>0</v>
      </c>
      <c r="AI186" s="252">
        <f t="shared" si="325"/>
        <v>0</v>
      </c>
      <c r="AJ186" s="252">
        <f t="shared" si="325"/>
        <v>0</v>
      </c>
      <c r="AK186" s="252">
        <f t="shared" ref="AK186:AP186" si="326">AK134+AK168</f>
        <v>0</v>
      </c>
      <c r="AL186" s="252">
        <f t="shared" si="326"/>
        <v>0</v>
      </c>
      <c r="AM186" s="252">
        <f t="shared" si="326"/>
        <v>0</v>
      </c>
      <c r="AN186" s="252">
        <f t="shared" si="326"/>
        <v>0</v>
      </c>
      <c r="AO186" s="252">
        <f t="shared" si="326"/>
        <v>0</v>
      </c>
      <c r="AP186" s="252">
        <f t="shared" si="326"/>
        <v>0</v>
      </c>
      <c r="AQ186" s="252">
        <f t="shared" ref="AQ186:AR186" si="327">AQ134+AQ168</f>
        <v>0</v>
      </c>
      <c r="AR186" s="252">
        <f t="shared" si="327"/>
        <v>0</v>
      </c>
      <c r="AS186" s="252">
        <f t="shared" ref="AS186:AT186" si="328">AS134+AS168</f>
        <v>0</v>
      </c>
      <c r="AT186" s="252">
        <f t="shared" si="328"/>
        <v>0</v>
      </c>
      <c r="AU186" s="252">
        <f t="shared" ref="AU186:AV186" si="329">AU134+AU168</f>
        <v>0</v>
      </c>
      <c r="AV186" s="252">
        <f t="shared" si="329"/>
        <v>0</v>
      </c>
      <c r="AW186" s="38"/>
      <c r="AX186" s="434">
        <f t="shared" si="294"/>
        <v>0</v>
      </c>
    </row>
    <row r="187" spans="1:53" s="31" customFormat="1" ht="12.65" customHeight="1">
      <c r="A187" s="327"/>
      <c r="B187" s="446" t="s">
        <v>136</v>
      </c>
      <c r="C187" s="5" t="s">
        <v>160</v>
      </c>
      <c r="D187" s="395" t="s">
        <v>138</v>
      </c>
      <c r="G187" s="252"/>
      <c r="H187" s="252"/>
      <c r="I187" s="252"/>
      <c r="J187" s="252"/>
      <c r="K187" s="252"/>
      <c r="L187" s="252"/>
      <c r="M187" s="252"/>
      <c r="N187" s="252"/>
      <c r="O187" s="252"/>
      <c r="P187" s="252"/>
      <c r="Q187" s="252"/>
      <c r="R187" s="252"/>
      <c r="S187" s="252"/>
      <c r="T187" s="252"/>
      <c r="U187" s="252"/>
      <c r="V187" s="252"/>
      <c r="W187" s="252">
        <f>W125+W126+W150+W151</f>
        <v>0</v>
      </c>
      <c r="X187" s="252">
        <f t="shared" ref="X187:AJ187" si="330">X125+X126+X150+X151</f>
        <v>0</v>
      </c>
      <c r="Y187" s="252">
        <f t="shared" si="330"/>
        <v>0</v>
      </c>
      <c r="Z187" s="252">
        <f t="shared" si="330"/>
        <v>0</v>
      </c>
      <c r="AA187" s="252">
        <f t="shared" si="330"/>
        <v>0</v>
      </c>
      <c r="AB187" s="252">
        <f t="shared" si="330"/>
        <v>0</v>
      </c>
      <c r="AC187" s="252">
        <f t="shared" si="330"/>
        <v>0</v>
      </c>
      <c r="AD187" s="252">
        <f t="shared" si="330"/>
        <v>0</v>
      </c>
      <c r="AE187" s="252">
        <f t="shared" si="330"/>
        <v>0</v>
      </c>
      <c r="AF187" s="252">
        <f t="shared" si="330"/>
        <v>0</v>
      </c>
      <c r="AG187" s="252">
        <f t="shared" si="330"/>
        <v>0</v>
      </c>
      <c r="AH187" s="252">
        <f t="shared" si="330"/>
        <v>0</v>
      </c>
      <c r="AI187" s="252">
        <f t="shared" si="330"/>
        <v>0</v>
      </c>
      <c r="AJ187" s="252">
        <f t="shared" si="330"/>
        <v>0</v>
      </c>
      <c r="AK187" s="252">
        <f t="shared" ref="AK187:AP187" si="331">AK125+AK126+AK150+AK151</f>
        <v>0</v>
      </c>
      <c r="AL187" s="252">
        <f t="shared" si="331"/>
        <v>0</v>
      </c>
      <c r="AM187" s="252">
        <f t="shared" si="331"/>
        <v>0</v>
      </c>
      <c r="AN187" s="252">
        <f t="shared" si="331"/>
        <v>0</v>
      </c>
      <c r="AO187" s="252">
        <f t="shared" si="331"/>
        <v>0</v>
      </c>
      <c r="AP187" s="252">
        <f t="shared" si="331"/>
        <v>0</v>
      </c>
      <c r="AQ187" s="252">
        <f t="shared" ref="AQ187:AR187" si="332">AQ125+AQ126+AQ150+AQ151</f>
        <v>0</v>
      </c>
      <c r="AR187" s="252">
        <f t="shared" si="332"/>
        <v>0</v>
      </c>
      <c r="AS187" s="252">
        <f t="shared" ref="AS187:AT187" si="333">AS125+AS126+AS150+AS151</f>
        <v>0</v>
      </c>
      <c r="AT187" s="252">
        <f t="shared" si="333"/>
        <v>0</v>
      </c>
      <c r="AU187" s="252">
        <f t="shared" ref="AU187:AV187" si="334">AU125+AU126+AU150+AU151</f>
        <v>0</v>
      </c>
      <c r="AV187" s="252">
        <f t="shared" si="334"/>
        <v>0</v>
      </c>
      <c r="AW187" s="38"/>
      <c r="AX187" s="434">
        <f t="shared" si="294"/>
        <v>0</v>
      </c>
    </row>
    <row r="188" spans="1:53" s="31" customFormat="1" ht="12.65" customHeight="1">
      <c r="A188" s="327"/>
      <c r="B188" s="446" t="s">
        <v>136</v>
      </c>
      <c r="C188" s="5" t="s">
        <v>161</v>
      </c>
      <c r="D188" s="395" t="s">
        <v>138</v>
      </c>
      <c r="G188" s="252"/>
      <c r="H188" s="252"/>
      <c r="I188" s="252"/>
      <c r="J188" s="252"/>
      <c r="K188" s="252"/>
      <c r="L188" s="252"/>
      <c r="M188" s="252"/>
      <c r="N188" s="252"/>
      <c r="O188" s="252"/>
      <c r="P188" s="252"/>
      <c r="Q188" s="252"/>
      <c r="R188" s="252"/>
      <c r="S188" s="252"/>
      <c r="T188" s="252"/>
      <c r="U188" s="252"/>
      <c r="V188" s="252"/>
      <c r="W188" s="252">
        <f>W127+W128</f>
        <v>0</v>
      </c>
      <c r="X188" s="252">
        <f t="shared" ref="X188:AJ188" si="335">X127+X128</f>
        <v>0</v>
      </c>
      <c r="Y188" s="252">
        <f t="shared" si="335"/>
        <v>0</v>
      </c>
      <c r="Z188" s="252">
        <f t="shared" si="335"/>
        <v>0</v>
      </c>
      <c r="AA188" s="252">
        <f t="shared" si="335"/>
        <v>0</v>
      </c>
      <c r="AB188" s="252">
        <f t="shared" si="335"/>
        <v>0</v>
      </c>
      <c r="AC188" s="252">
        <f t="shared" si="335"/>
        <v>0</v>
      </c>
      <c r="AD188" s="252">
        <f t="shared" si="335"/>
        <v>0</v>
      </c>
      <c r="AE188" s="252">
        <f t="shared" si="335"/>
        <v>0</v>
      </c>
      <c r="AF188" s="252">
        <f t="shared" si="335"/>
        <v>0</v>
      </c>
      <c r="AG188" s="252">
        <f t="shared" si="335"/>
        <v>0</v>
      </c>
      <c r="AH188" s="252">
        <f t="shared" si="335"/>
        <v>0</v>
      </c>
      <c r="AI188" s="252">
        <f t="shared" si="335"/>
        <v>0</v>
      </c>
      <c r="AJ188" s="252">
        <f t="shared" si="335"/>
        <v>0</v>
      </c>
      <c r="AK188" s="252">
        <f t="shared" ref="AK188:AP188" si="336">AK127+AK128</f>
        <v>0</v>
      </c>
      <c r="AL188" s="252">
        <f t="shared" si="336"/>
        <v>0</v>
      </c>
      <c r="AM188" s="252">
        <f t="shared" si="336"/>
        <v>0</v>
      </c>
      <c r="AN188" s="252">
        <f t="shared" si="336"/>
        <v>0</v>
      </c>
      <c r="AO188" s="252">
        <f t="shared" si="336"/>
        <v>0</v>
      </c>
      <c r="AP188" s="252">
        <f t="shared" si="336"/>
        <v>0</v>
      </c>
      <c r="AQ188" s="252">
        <f t="shared" ref="AQ188:AR188" si="337">AQ127+AQ128</f>
        <v>0</v>
      </c>
      <c r="AR188" s="252">
        <f t="shared" si="337"/>
        <v>0</v>
      </c>
      <c r="AS188" s="252">
        <f t="shared" ref="AS188:AT188" si="338">AS127+AS128</f>
        <v>0</v>
      </c>
      <c r="AT188" s="252">
        <f t="shared" si="338"/>
        <v>0</v>
      </c>
      <c r="AU188" s="252">
        <f t="shared" ref="AU188:AV188" si="339">AU127+AU128</f>
        <v>0</v>
      </c>
      <c r="AV188" s="252">
        <f t="shared" si="339"/>
        <v>0</v>
      </c>
      <c r="AW188" s="38"/>
      <c r="AX188" s="434">
        <f t="shared" si="294"/>
        <v>0</v>
      </c>
    </row>
    <row r="189" spans="1:53" s="31" customFormat="1" ht="12.65" customHeight="1" thickBot="1">
      <c r="A189" s="327"/>
      <c r="B189" s="400" t="s">
        <v>136</v>
      </c>
      <c r="C189" s="399" t="s">
        <v>162</v>
      </c>
      <c r="D189" s="397" t="s">
        <v>138</v>
      </c>
      <c r="G189" s="252"/>
      <c r="H189" s="252"/>
      <c r="I189" s="252"/>
      <c r="J189" s="252"/>
      <c r="K189" s="252"/>
      <c r="L189" s="252"/>
      <c r="M189" s="252"/>
      <c r="N189" s="252"/>
      <c r="O189" s="252"/>
      <c r="P189" s="252"/>
      <c r="Q189" s="252"/>
      <c r="R189" s="252"/>
      <c r="S189" s="252"/>
      <c r="T189" s="252"/>
      <c r="U189" s="252"/>
      <c r="V189" s="252"/>
      <c r="W189" s="252">
        <f>W137+W138+W159+W160</f>
        <v>0</v>
      </c>
      <c r="X189" s="252">
        <f t="shared" ref="X189:AJ189" si="340">X137+X138+X159+X160</f>
        <v>0</v>
      </c>
      <c r="Y189" s="252">
        <f t="shared" si="340"/>
        <v>0</v>
      </c>
      <c r="Z189" s="252">
        <f t="shared" si="340"/>
        <v>0</v>
      </c>
      <c r="AA189" s="252">
        <f t="shared" si="340"/>
        <v>0</v>
      </c>
      <c r="AB189" s="252">
        <f t="shared" si="340"/>
        <v>0</v>
      </c>
      <c r="AC189" s="252">
        <f t="shared" si="340"/>
        <v>0</v>
      </c>
      <c r="AD189" s="252">
        <f t="shared" si="340"/>
        <v>0</v>
      </c>
      <c r="AE189" s="252">
        <f t="shared" si="340"/>
        <v>0</v>
      </c>
      <c r="AF189" s="252">
        <f t="shared" si="340"/>
        <v>0</v>
      </c>
      <c r="AG189" s="252">
        <f t="shared" si="340"/>
        <v>0</v>
      </c>
      <c r="AH189" s="252">
        <f t="shared" si="340"/>
        <v>0</v>
      </c>
      <c r="AI189" s="252">
        <f t="shared" si="340"/>
        <v>0</v>
      </c>
      <c r="AJ189" s="252">
        <f t="shared" si="340"/>
        <v>0</v>
      </c>
      <c r="AK189" s="252">
        <f t="shared" ref="AK189:AP189" si="341">AK137+AK138+AK159+AK160</f>
        <v>0</v>
      </c>
      <c r="AL189" s="252">
        <f t="shared" si="341"/>
        <v>7.9</v>
      </c>
      <c r="AM189" s="252">
        <f t="shared" si="341"/>
        <v>8.75</v>
      </c>
      <c r="AN189" s="252">
        <f t="shared" si="341"/>
        <v>8.4700000000000006</v>
      </c>
      <c r="AO189" s="252">
        <f t="shared" si="341"/>
        <v>8.75</v>
      </c>
      <c r="AP189" s="252">
        <f t="shared" si="341"/>
        <v>8.4700000000000006</v>
      </c>
      <c r="AQ189" s="252">
        <f t="shared" ref="AQ189:AR189" si="342">AQ137+AQ138+AQ159+AQ160</f>
        <v>8.75</v>
      </c>
      <c r="AR189" s="252">
        <f t="shared" si="342"/>
        <v>8.75</v>
      </c>
      <c r="AS189" s="252">
        <f t="shared" ref="AS189:AT189" si="343">AS137+AS138+AS159+AS160</f>
        <v>8.4700000000000006</v>
      </c>
      <c r="AT189" s="252">
        <f t="shared" si="343"/>
        <v>8.75</v>
      </c>
      <c r="AU189" s="252">
        <f t="shared" ref="AU189:AV189" si="344">AU137+AU138+AU159+AU160</f>
        <v>8.4700000000000006</v>
      </c>
      <c r="AV189" s="252">
        <f t="shared" si="344"/>
        <v>8.4700000000000006</v>
      </c>
      <c r="AW189" s="38"/>
      <c r="AX189" s="434">
        <f t="shared" si="294"/>
        <v>0</v>
      </c>
    </row>
    <row r="190" spans="1:53" s="31" customFormat="1" ht="15" thickBot="1">
      <c r="A190" s="331" t="s">
        <v>141</v>
      </c>
      <c r="B190" s="400" t="s">
        <v>139</v>
      </c>
      <c r="C190" s="399" t="s">
        <v>137</v>
      </c>
      <c r="D190" s="397" t="s">
        <v>139</v>
      </c>
      <c r="E190" s="50">
        <f>SUM(E107:E170)</f>
        <v>43944.538999999997</v>
      </c>
      <c r="F190" s="50">
        <f>SUM(F107:F170)</f>
        <v>43958.297005059998</v>
      </c>
      <c r="G190" s="50">
        <f>SUM(G107:G170)</f>
        <v>44027.982716919993</v>
      </c>
      <c r="H190" s="50">
        <f>SUM(H107:H170)</f>
        <v>44046.748237969987</v>
      </c>
      <c r="I190" s="406">
        <f t="shared" ref="I190:Y190" si="345">SUM(I109:I170)</f>
        <v>307.97699999999998</v>
      </c>
      <c r="J190" s="406">
        <f t="shared" si="345"/>
        <v>311.40103429999999</v>
      </c>
      <c r="K190" s="406">
        <f t="shared" si="345"/>
        <v>310.49016493999994</v>
      </c>
      <c r="L190" s="406">
        <f t="shared" si="345"/>
        <v>301.83112309999996</v>
      </c>
      <c r="M190" s="406">
        <f t="shared" si="345"/>
        <v>297.98329081999998</v>
      </c>
      <c r="N190" s="406">
        <f t="shared" si="345"/>
        <v>287.21145953000001</v>
      </c>
      <c r="O190" s="406">
        <f t="shared" si="345"/>
        <v>287.78300000000007</v>
      </c>
      <c r="P190" s="406">
        <f t="shared" si="345"/>
        <v>293.58999999999986</v>
      </c>
      <c r="Q190" s="406">
        <f t="shared" si="345"/>
        <v>243.57659381000002</v>
      </c>
      <c r="R190" s="406">
        <f t="shared" si="345"/>
        <v>282.79017382000001</v>
      </c>
      <c r="S190" s="407">
        <f t="shared" si="345"/>
        <v>301.85999999999996</v>
      </c>
      <c r="T190" s="407">
        <f t="shared" si="345"/>
        <v>323.9323626373627</v>
      </c>
      <c r="U190" s="407">
        <f t="shared" si="345"/>
        <v>310.59999999999997</v>
      </c>
      <c r="V190" s="407">
        <f t="shared" si="345"/>
        <v>325.31</v>
      </c>
      <c r="W190" s="407">
        <f t="shared" si="345"/>
        <v>323.36240770999996</v>
      </c>
      <c r="X190" s="407">
        <f t="shared" si="345"/>
        <v>337.09400000000005</v>
      </c>
      <c r="Y190" s="407">
        <f t="shared" si="345"/>
        <v>323.80400000000009</v>
      </c>
      <c r="Z190" s="407">
        <f>SUM(Z109:Z170)+Z98</f>
        <v>324.90343944999995</v>
      </c>
      <c r="AA190" s="407">
        <f>SUM(AA109:AA170)+AA98</f>
        <v>354.01599999999996</v>
      </c>
      <c r="AB190" s="407">
        <f>SUM(AB109:AB170)+AB98</f>
        <v>324.34300000000002</v>
      </c>
      <c r="AC190" s="407">
        <f>SUM(AC109:AC170)+AC98</f>
        <v>370.02199999999993</v>
      </c>
      <c r="AD190" s="407">
        <f>SUM(AD109:AD170)</f>
        <v>350.42</v>
      </c>
      <c r="AE190" s="407">
        <f t="shared" ref="AE190:AN190" si="346">SUM(AE109:AE170)</f>
        <v>336.17400000000004</v>
      </c>
      <c r="AF190" s="407">
        <f t="shared" si="346"/>
        <v>320.54900000000004</v>
      </c>
      <c r="AG190" s="407">
        <f t="shared" si="346"/>
        <v>349.58600000000001</v>
      </c>
      <c r="AH190" s="407">
        <f>SUM(AH109:AH170)</f>
        <v>313.09600000000006</v>
      </c>
      <c r="AI190" s="407">
        <f>SUM(AI109:AI170)</f>
        <v>311.72000000000003</v>
      </c>
      <c r="AJ190" s="407">
        <f t="shared" si="346"/>
        <v>317.38841430999997</v>
      </c>
      <c r="AK190" s="407">
        <f t="shared" si="346"/>
        <v>352.53440959000005</v>
      </c>
      <c r="AL190" s="407">
        <f t="shared" si="346"/>
        <v>328.78360789999999</v>
      </c>
      <c r="AM190" s="407">
        <f t="shared" si="346"/>
        <v>360.36393929999997</v>
      </c>
      <c r="AN190" s="407">
        <f t="shared" si="346"/>
        <v>353.09806277000001</v>
      </c>
      <c r="AO190" s="407">
        <f>SUM(AO109:AO170)</f>
        <v>348.70926757820934</v>
      </c>
      <c r="AP190" s="407">
        <f t="shared" ref="AP190:AQ190" si="347">SUM(AP109:AP170)</f>
        <v>348.48179281471835</v>
      </c>
      <c r="AQ190" s="407">
        <f t="shared" si="347"/>
        <v>354.60159580596729</v>
      </c>
      <c r="AR190" s="407">
        <f t="shared" ref="AR190:AS190" si="348">SUM(AR109:AR170)</f>
        <v>351.60385487818724</v>
      </c>
      <c r="AS190" s="407">
        <f t="shared" si="348"/>
        <v>353.19093705596174</v>
      </c>
      <c r="AT190" s="407">
        <f t="shared" ref="AT190:AU190" si="349">SUM(AT109:AT170)</f>
        <v>360.69322915148263</v>
      </c>
      <c r="AU190" s="407">
        <f t="shared" si="349"/>
        <v>355.49466273793979</v>
      </c>
      <c r="AV190" s="407">
        <f t="shared" ref="AV190" si="350">SUM(AV109:AV170)</f>
        <v>354.40545079336266</v>
      </c>
      <c r="AW190" s="38"/>
      <c r="AX190" s="38"/>
    </row>
    <row r="191" spans="1:53" s="31" customFormat="1" ht="24" thickBot="1">
      <c r="A191" s="39" t="s">
        <v>133</v>
      </c>
      <c r="B191" s="30"/>
      <c r="L191" s="363"/>
      <c r="M191" s="85">
        <f t="shared" ref="M191:Z191" si="351">M190-M172</f>
        <v>188.17329081999998</v>
      </c>
      <c r="N191" s="85">
        <f t="shared" si="351"/>
        <v>202.50545953000002</v>
      </c>
      <c r="O191" s="85">
        <f t="shared" si="351"/>
        <v>168.45500000000007</v>
      </c>
      <c r="P191" s="85">
        <f t="shared" si="351"/>
        <v>172.53999999999985</v>
      </c>
      <c r="Q191" s="85">
        <f t="shared" si="351"/>
        <v>170.11859381000002</v>
      </c>
      <c r="R191" s="85">
        <f t="shared" si="351"/>
        <v>183.64617382</v>
      </c>
      <c r="S191" s="85">
        <f t="shared" si="351"/>
        <v>206.12999999999997</v>
      </c>
      <c r="T191" s="85">
        <f t="shared" si="351"/>
        <v>215.22000000000008</v>
      </c>
      <c r="U191" s="85">
        <f t="shared" si="351"/>
        <v>216.18999999999997</v>
      </c>
      <c r="V191" s="85">
        <f t="shared" si="351"/>
        <v>228.25</v>
      </c>
      <c r="W191" s="85">
        <f t="shared" si="351"/>
        <v>222.56240770999995</v>
      </c>
      <c r="X191" s="85">
        <f t="shared" si="351"/>
        <v>224.22000000000006</v>
      </c>
      <c r="Y191" s="85">
        <f t="shared" si="351"/>
        <v>208.93700000000007</v>
      </c>
      <c r="Z191" s="85">
        <f t="shared" si="351"/>
        <v>204.36743944999995</v>
      </c>
      <c r="AA191" s="85">
        <f>AA190-AA172-AA117-AA118</f>
        <v>224.00999999999996</v>
      </c>
      <c r="AB191" s="85">
        <f t="shared" ref="AB191:AL191" si="352">AB190-AB172-AB117-AB118</f>
        <v>194.65200000000004</v>
      </c>
      <c r="AC191" s="85">
        <f t="shared" si="352"/>
        <v>197.54499999999996</v>
      </c>
      <c r="AD191" s="85">
        <f t="shared" si="352"/>
        <v>200.91</v>
      </c>
      <c r="AE191" s="85">
        <f t="shared" si="352"/>
        <v>203.85500000000005</v>
      </c>
      <c r="AF191" s="85">
        <f t="shared" si="352"/>
        <v>196.11500000000004</v>
      </c>
      <c r="AG191" s="85">
        <f t="shared" si="352"/>
        <v>200.45000000000002</v>
      </c>
      <c r="AH191" s="85">
        <f t="shared" si="352"/>
        <v>204.44000000000008</v>
      </c>
      <c r="AI191" s="85">
        <f t="shared" si="352"/>
        <v>207.68</v>
      </c>
      <c r="AJ191" s="85">
        <f t="shared" si="352"/>
        <v>215.14441430999995</v>
      </c>
      <c r="AK191" s="85">
        <f t="shared" si="352"/>
        <v>220.29040959000005</v>
      </c>
      <c r="AL191" s="85">
        <f t="shared" si="352"/>
        <v>213.07360790000001</v>
      </c>
      <c r="AM191" s="85">
        <f t="shared" ref="AM191:AN191" si="353">AM190-AM172-AM117-AM118</f>
        <v>225.27493929999997</v>
      </c>
      <c r="AN191" s="85">
        <f t="shared" si="353"/>
        <v>219.67206277000003</v>
      </c>
      <c r="AO191" s="85">
        <f t="shared" ref="AO191:AP191" si="354">AO190-AO172-AO117-AO118</f>
        <v>211.27580286</v>
      </c>
      <c r="AP191" s="85">
        <f t="shared" si="354"/>
        <v>172.82626575043824</v>
      </c>
      <c r="AQ191" s="85">
        <f t="shared" ref="AQ191:AR191" si="355">AQ190-AQ172-AQ117-AQ118</f>
        <v>163.03254642638626</v>
      </c>
      <c r="AR191" s="85">
        <f t="shared" si="355"/>
        <v>173.76594067656995</v>
      </c>
      <c r="AS191" s="85">
        <f t="shared" ref="AS191:AT191" si="356">AS190-AS172-AS117-AS118</f>
        <v>190.30195954167849</v>
      </c>
      <c r="AT191" s="85">
        <f t="shared" si="356"/>
        <v>171.45100933142331</v>
      </c>
      <c r="AU191" s="85">
        <f t="shared" ref="AU191:AV191" si="357">AU190-AU172-AU117-AU118</f>
        <v>170.87306984927025</v>
      </c>
      <c r="AV191" s="85">
        <f t="shared" si="357"/>
        <v>194.36557981354002</v>
      </c>
      <c r="AW191" s="38"/>
      <c r="AX191" s="38"/>
    </row>
    <row r="192" spans="1:53">
      <c r="A192" s="385" t="s">
        <v>0</v>
      </c>
      <c r="B192" s="386"/>
      <c r="C192" s="387"/>
      <c r="D192" s="388"/>
      <c r="E192" s="53">
        <f t="shared" ref="E192:AV192" si="358">E61-E147-E148-E149-E150-E151-E152-E153-E155-E156-E157-E158-E159-E160-E161-E162-E163</f>
        <v>-1.4270000000000005</v>
      </c>
      <c r="F192" s="53">
        <f t="shared" si="358"/>
        <v>-3.0010934100000028</v>
      </c>
      <c r="G192" s="53">
        <f t="shared" si="358"/>
        <v>-8.8817841970012523E-16</v>
      </c>
      <c r="H192" s="53">
        <f t="shared" si="358"/>
        <v>-8.8817841970012523E-16</v>
      </c>
      <c r="I192" s="53">
        <f t="shared" si="358"/>
        <v>-1.3322676295501878E-15</v>
      </c>
      <c r="J192" s="53">
        <f t="shared" si="358"/>
        <v>2.6645352591003757E-15</v>
      </c>
      <c r="K192" s="53">
        <f t="shared" si="358"/>
        <v>0</v>
      </c>
      <c r="L192" s="53">
        <f t="shared" si="358"/>
        <v>-1.7763568394002505E-15</v>
      </c>
      <c r="M192" s="53">
        <f t="shared" si="358"/>
        <v>0</v>
      </c>
      <c r="N192" s="53">
        <f t="shared" si="358"/>
        <v>-3.5527136788005009E-15</v>
      </c>
      <c r="O192" s="53">
        <f t="shared" si="358"/>
        <v>0</v>
      </c>
      <c r="P192" s="53">
        <f t="shared" si="358"/>
        <v>-2.2204460492503131E-16</v>
      </c>
      <c r="Q192" s="53">
        <f t="shared" si="358"/>
        <v>2.2204460492503131E-16</v>
      </c>
      <c r="R192" s="53">
        <f t="shared" si="358"/>
        <v>0</v>
      </c>
      <c r="S192" s="53">
        <f t="shared" si="358"/>
        <v>0</v>
      </c>
      <c r="T192" s="53">
        <f t="shared" si="358"/>
        <v>-5.5511151231257827E-17</v>
      </c>
      <c r="U192" s="53">
        <f t="shared" si="358"/>
        <v>0</v>
      </c>
      <c r="V192" s="53">
        <f t="shared" si="358"/>
        <v>0</v>
      </c>
      <c r="W192" s="53">
        <f t="shared" si="358"/>
        <v>0</v>
      </c>
      <c r="X192" s="53">
        <f t="shared" si="358"/>
        <v>0</v>
      </c>
      <c r="Y192" s="53">
        <f t="shared" si="358"/>
        <v>0.80000000000000071</v>
      </c>
      <c r="Z192" s="53">
        <f t="shared" si="358"/>
        <v>0</v>
      </c>
      <c r="AA192" s="53">
        <f t="shared" si="358"/>
        <v>0</v>
      </c>
      <c r="AB192" s="53">
        <f t="shared" si="358"/>
        <v>0</v>
      </c>
      <c r="AC192" s="53">
        <f t="shared" si="358"/>
        <v>0</v>
      </c>
      <c r="AD192" s="53">
        <f t="shared" si="358"/>
        <v>0</v>
      </c>
      <c r="AE192" s="53">
        <f t="shared" si="358"/>
        <v>0</v>
      </c>
      <c r="AF192" s="53">
        <f t="shared" si="358"/>
        <v>0</v>
      </c>
      <c r="AG192" s="53">
        <f t="shared" si="358"/>
        <v>0</v>
      </c>
      <c r="AH192" s="53">
        <f t="shared" si="358"/>
        <v>0</v>
      </c>
      <c r="AI192" s="53">
        <f t="shared" si="358"/>
        <v>0</v>
      </c>
      <c r="AJ192" s="53">
        <f t="shared" si="358"/>
        <v>0</v>
      </c>
      <c r="AK192" s="53">
        <f t="shared" si="358"/>
        <v>0</v>
      </c>
      <c r="AL192" s="53">
        <f t="shared" si="358"/>
        <v>0</v>
      </c>
      <c r="AM192" s="53">
        <f t="shared" si="358"/>
        <v>0</v>
      </c>
      <c r="AN192" s="53">
        <f t="shared" si="358"/>
        <v>0</v>
      </c>
      <c r="AO192" s="53">
        <f t="shared" si="358"/>
        <v>0</v>
      </c>
      <c r="AP192" s="53">
        <f t="shared" si="358"/>
        <v>0</v>
      </c>
      <c r="AQ192" s="53">
        <f t="shared" si="358"/>
        <v>0</v>
      </c>
      <c r="AR192" s="53">
        <f t="shared" si="358"/>
        <v>0</v>
      </c>
      <c r="AS192" s="53">
        <f t="shared" si="358"/>
        <v>0</v>
      </c>
      <c r="AT192" s="53">
        <f t="shared" si="358"/>
        <v>0</v>
      </c>
      <c r="AU192" s="53">
        <f t="shared" si="358"/>
        <v>0</v>
      </c>
      <c r="AV192" s="53">
        <f t="shared" si="358"/>
        <v>0</v>
      </c>
      <c r="AW192" s="38"/>
      <c r="AX192" s="38"/>
      <c r="AY192" s="31"/>
      <c r="AZ192" s="31"/>
      <c r="BA192" s="31"/>
    </row>
    <row r="193" spans="1:53">
      <c r="A193" s="104" t="s">
        <v>1</v>
      </c>
      <c r="B193" s="105"/>
      <c r="C193" s="106"/>
      <c r="D193" s="389"/>
      <c r="E193" s="84">
        <f t="shared" ref="E193:AV193" si="359">E62-E165-E167-E166-E168</f>
        <v>0</v>
      </c>
      <c r="F193" s="84">
        <f t="shared" si="359"/>
        <v>0</v>
      </c>
      <c r="G193" s="84">
        <f t="shared" si="359"/>
        <v>0</v>
      </c>
      <c r="H193" s="84">
        <f t="shared" si="359"/>
        <v>0</v>
      </c>
      <c r="I193" s="84">
        <f t="shared" si="359"/>
        <v>0</v>
      </c>
      <c r="J193" s="84">
        <f t="shared" si="359"/>
        <v>0</v>
      </c>
      <c r="K193" s="84">
        <f t="shared" si="359"/>
        <v>0</v>
      </c>
      <c r="L193" s="84">
        <f t="shared" si="359"/>
        <v>0</v>
      </c>
      <c r="M193" s="84">
        <f t="shared" si="359"/>
        <v>0</v>
      </c>
      <c r="N193" s="84">
        <f t="shared" si="359"/>
        <v>0</v>
      </c>
      <c r="O193" s="84">
        <f t="shared" si="359"/>
        <v>0.74999999999999956</v>
      </c>
      <c r="P193" s="84">
        <f t="shared" si="359"/>
        <v>0</v>
      </c>
      <c r="Q193" s="84">
        <f t="shared" si="359"/>
        <v>0</v>
      </c>
      <c r="R193" s="84">
        <f t="shared" si="359"/>
        <v>0</v>
      </c>
      <c r="S193" s="84">
        <f t="shared" si="359"/>
        <v>0</v>
      </c>
      <c r="T193" s="84">
        <f t="shared" si="359"/>
        <v>0</v>
      </c>
      <c r="U193" s="84">
        <f t="shared" si="359"/>
        <v>1.1102230246251565E-16</v>
      </c>
      <c r="V193" s="84">
        <f t="shared" si="359"/>
        <v>0</v>
      </c>
      <c r="W193" s="84">
        <f t="shared" si="359"/>
        <v>0</v>
      </c>
      <c r="X193" s="84">
        <f t="shared" si="359"/>
        <v>-3.3306690738754696E-16</v>
      </c>
      <c r="Y193" s="84">
        <f t="shared" si="359"/>
        <v>0</v>
      </c>
      <c r="Z193" s="84">
        <f t="shared" si="359"/>
        <v>0.59999999999999964</v>
      </c>
      <c r="AA193" s="84">
        <f t="shared" si="359"/>
        <v>0</v>
      </c>
      <c r="AB193" s="84">
        <f t="shared" si="359"/>
        <v>0</v>
      </c>
      <c r="AC193" s="84">
        <f t="shared" si="359"/>
        <v>0</v>
      </c>
      <c r="AD193" s="84">
        <f t="shared" si="359"/>
        <v>0</v>
      </c>
      <c r="AE193" s="84">
        <f t="shared" si="359"/>
        <v>0</v>
      </c>
      <c r="AF193" s="84">
        <f t="shared" si="359"/>
        <v>0</v>
      </c>
      <c r="AG193" s="84">
        <f t="shared" si="359"/>
        <v>0</v>
      </c>
      <c r="AH193" s="84">
        <f t="shared" si="359"/>
        <v>0</v>
      </c>
      <c r="AI193" s="84">
        <f t="shared" si="359"/>
        <v>0</v>
      </c>
      <c r="AJ193" s="84">
        <f t="shared" si="359"/>
        <v>0</v>
      </c>
      <c r="AK193" s="84">
        <f t="shared" si="359"/>
        <v>0</v>
      </c>
      <c r="AL193" s="84">
        <f t="shared" si="359"/>
        <v>0</v>
      </c>
      <c r="AM193" s="84">
        <f t="shared" si="359"/>
        <v>0</v>
      </c>
      <c r="AN193" s="84">
        <f t="shared" si="359"/>
        <v>0</v>
      </c>
      <c r="AO193" s="84">
        <f t="shared" si="359"/>
        <v>0</v>
      </c>
      <c r="AP193" s="84">
        <f t="shared" si="359"/>
        <v>0</v>
      </c>
      <c r="AQ193" s="84">
        <f t="shared" si="359"/>
        <v>0</v>
      </c>
      <c r="AR193" s="653">
        <f t="shared" si="359"/>
        <v>0</v>
      </c>
      <c r="AS193" s="653">
        <f t="shared" si="359"/>
        <v>0</v>
      </c>
      <c r="AT193" s="653">
        <f t="shared" si="359"/>
        <v>0</v>
      </c>
      <c r="AU193" s="653">
        <f t="shared" si="359"/>
        <v>0</v>
      </c>
      <c r="AV193" s="653">
        <f t="shared" si="359"/>
        <v>0</v>
      </c>
      <c r="AW193" s="38"/>
      <c r="AX193" s="38"/>
      <c r="AY193" s="31"/>
      <c r="AZ193" s="31"/>
      <c r="BA193" s="31"/>
    </row>
    <row r="194" spans="1:53">
      <c r="A194" s="104" t="s">
        <v>27</v>
      </c>
      <c r="B194" s="105"/>
      <c r="C194" s="106"/>
      <c r="D194" s="389"/>
      <c r="E194" s="84">
        <f t="shared" ref="E194:AV194" si="360">E63-E169</f>
        <v>0</v>
      </c>
      <c r="F194" s="84">
        <f t="shared" si="360"/>
        <v>0</v>
      </c>
      <c r="G194" s="84">
        <f t="shared" si="360"/>
        <v>0</v>
      </c>
      <c r="H194" s="84">
        <f t="shared" si="360"/>
        <v>0</v>
      </c>
      <c r="I194" s="84">
        <f t="shared" si="360"/>
        <v>0</v>
      </c>
      <c r="J194" s="84">
        <f t="shared" si="360"/>
        <v>0</v>
      </c>
      <c r="K194" s="84">
        <f t="shared" si="360"/>
        <v>0</v>
      </c>
      <c r="L194" s="84">
        <f t="shared" si="360"/>
        <v>0</v>
      </c>
      <c r="M194" s="84">
        <f t="shared" si="360"/>
        <v>0</v>
      </c>
      <c r="N194" s="84">
        <f t="shared" si="360"/>
        <v>0</v>
      </c>
      <c r="O194" s="84">
        <f t="shared" si="360"/>
        <v>0</v>
      </c>
      <c r="P194" s="84">
        <f t="shared" si="360"/>
        <v>0</v>
      </c>
      <c r="Q194" s="84">
        <f t="shared" si="360"/>
        <v>0</v>
      </c>
      <c r="R194" s="391">
        <f t="shared" si="360"/>
        <v>0</v>
      </c>
      <c r="S194" s="84">
        <f t="shared" si="360"/>
        <v>0</v>
      </c>
      <c r="T194" s="84">
        <f t="shared" si="360"/>
        <v>0</v>
      </c>
      <c r="U194" s="84">
        <f t="shared" si="360"/>
        <v>0</v>
      </c>
      <c r="V194" s="84">
        <f t="shared" si="360"/>
        <v>0</v>
      </c>
      <c r="W194" s="84">
        <f t="shared" si="360"/>
        <v>0</v>
      </c>
      <c r="X194" s="84">
        <f t="shared" si="360"/>
        <v>0</v>
      </c>
      <c r="Y194" s="84">
        <f t="shared" si="360"/>
        <v>0</v>
      </c>
      <c r="Z194" s="84">
        <f t="shared" si="360"/>
        <v>0</v>
      </c>
      <c r="AA194" s="84">
        <f t="shared" si="360"/>
        <v>0</v>
      </c>
      <c r="AB194" s="84">
        <f t="shared" si="360"/>
        <v>0</v>
      </c>
      <c r="AC194" s="84">
        <f t="shared" si="360"/>
        <v>0</v>
      </c>
      <c r="AD194" s="84">
        <f t="shared" si="360"/>
        <v>0</v>
      </c>
      <c r="AE194" s="84">
        <f t="shared" si="360"/>
        <v>0</v>
      </c>
      <c r="AF194" s="84">
        <f t="shared" si="360"/>
        <v>0</v>
      </c>
      <c r="AG194" s="84">
        <f t="shared" si="360"/>
        <v>0</v>
      </c>
      <c r="AH194" s="84">
        <f t="shared" si="360"/>
        <v>0</v>
      </c>
      <c r="AI194" s="84">
        <f t="shared" si="360"/>
        <v>0</v>
      </c>
      <c r="AJ194" s="84">
        <f t="shared" si="360"/>
        <v>0</v>
      </c>
      <c r="AK194" s="84">
        <f t="shared" si="360"/>
        <v>0</v>
      </c>
      <c r="AL194" s="84">
        <f t="shared" si="360"/>
        <v>0</v>
      </c>
      <c r="AM194" s="84">
        <f t="shared" si="360"/>
        <v>0</v>
      </c>
      <c r="AN194" s="84">
        <f t="shared" si="360"/>
        <v>0</v>
      </c>
      <c r="AO194" s="84">
        <f t="shared" si="360"/>
        <v>0</v>
      </c>
      <c r="AP194" s="84">
        <f t="shared" si="360"/>
        <v>0</v>
      </c>
      <c r="AQ194" s="84">
        <f t="shared" si="360"/>
        <v>0</v>
      </c>
      <c r="AR194" s="653">
        <f t="shared" si="360"/>
        <v>0</v>
      </c>
      <c r="AS194" s="653">
        <f t="shared" si="360"/>
        <v>0</v>
      </c>
      <c r="AT194" s="653">
        <f t="shared" si="360"/>
        <v>0</v>
      </c>
      <c r="AU194" s="653">
        <f t="shared" si="360"/>
        <v>0</v>
      </c>
      <c r="AV194" s="653">
        <f t="shared" si="360"/>
        <v>0</v>
      </c>
      <c r="AW194" s="38"/>
      <c r="AX194" s="38"/>
      <c r="AY194" s="31"/>
      <c r="AZ194" s="31"/>
      <c r="BA194" s="31"/>
    </row>
    <row r="195" spans="1:53" ht="15" thickBot="1">
      <c r="A195" s="107" t="s">
        <v>5</v>
      </c>
      <c r="B195" s="108"/>
      <c r="C195" s="109"/>
      <c r="D195" s="390"/>
      <c r="E195" s="85">
        <f t="shared" ref="E195:AV195" si="361">E64-E170</f>
        <v>0</v>
      </c>
      <c r="F195" s="85">
        <f t="shared" si="361"/>
        <v>0</v>
      </c>
      <c r="G195" s="85">
        <f t="shared" si="361"/>
        <v>0</v>
      </c>
      <c r="H195" s="85">
        <f t="shared" si="361"/>
        <v>0</v>
      </c>
      <c r="I195" s="85">
        <f t="shared" si="361"/>
        <v>0</v>
      </c>
      <c r="J195" s="85">
        <f t="shared" si="361"/>
        <v>0</v>
      </c>
      <c r="K195" s="85">
        <f t="shared" si="361"/>
        <v>0</v>
      </c>
      <c r="L195" s="85">
        <f t="shared" si="361"/>
        <v>0</v>
      </c>
      <c r="M195" s="85">
        <f t="shared" si="361"/>
        <v>0</v>
      </c>
      <c r="N195" s="85">
        <f t="shared" si="361"/>
        <v>0</v>
      </c>
      <c r="O195" s="85">
        <f t="shared" si="361"/>
        <v>0</v>
      </c>
      <c r="P195" s="85">
        <f t="shared" si="361"/>
        <v>0</v>
      </c>
      <c r="Q195" s="85">
        <f t="shared" si="361"/>
        <v>0</v>
      </c>
      <c r="R195" s="392">
        <f t="shared" si="361"/>
        <v>0</v>
      </c>
      <c r="S195" s="85">
        <f t="shared" si="361"/>
        <v>0</v>
      </c>
      <c r="T195" s="85">
        <f t="shared" si="361"/>
        <v>0</v>
      </c>
      <c r="U195" s="85">
        <f t="shared" si="361"/>
        <v>0</v>
      </c>
      <c r="V195" s="85">
        <f t="shared" si="361"/>
        <v>0</v>
      </c>
      <c r="W195" s="85">
        <f t="shared" si="361"/>
        <v>0</v>
      </c>
      <c r="X195" s="85">
        <f t="shared" si="361"/>
        <v>0</v>
      </c>
      <c r="Y195" s="85">
        <f t="shared" si="361"/>
        <v>0</v>
      </c>
      <c r="Z195" s="85">
        <f t="shared" si="361"/>
        <v>0</v>
      </c>
      <c r="AA195" s="85">
        <f t="shared" si="361"/>
        <v>0</v>
      </c>
      <c r="AB195" s="85">
        <f t="shared" si="361"/>
        <v>0</v>
      </c>
      <c r="AC195" s="85">
        <f t="shared" si="361"/>
        <v>0</v>
      </c>
      <c r="AD195" s="85">
        <f t="shared" si="361"/>
        <v>0</v>
      </c>
      <c r="AE195" s="85">
        <f t="shared" si="361"/>
        <v>0</v>
      </c>
      <c r="AF195" s="85">
        <f t="shared" si="361"/>
        <v>0</v>
      </c>
      <c r="AG195" s="85">
        <f t="shared" si="361"/>
        <v>0</v>
      </c>
      <c r="AH195" s="85">
        <f t="shared" si="361"/>
        <v>0</v>
      </c>
      <c r="AI195" s="85">
        <f t="shared" si="361"/>
        <v>0</v>
      </c>
      <c r="AJ195" s="85">
        <f t="shared" si="361"/>
        <v>0</v>
      </c>
      <c r="AK195" s="85">
        <f t="shared" si="361"/>
        <v>0</v>
      </c>
      <c r="AL195" s="85">
        <f t="shared" si="361"/>
        <v>0</v>
      </c>
      <c r="AM195" s="85">
        <f t="shared" si="361"/>
        <v>0</v>
      </c>
      <c r="AN195" s="85">
        <f t="shared" si="361"/>
        <v>0</v>
      </c>
      <c r="AO195" s="85">
        <f t="shared" si="361"/>
        <v>0</v>
      </c>
      <c r="AP195" s="85">
        <f t="shared" si="361"/>
        <v>0</v>
      </c>
      <c r="AQ195" s="85">
        <f t="shared" si="361"/>
        <v>0</v>
      </c>
      <c r="AR195" s="85">
        <f t="shared" si="361"/>
        <v>0</v>
      </c>
      <c r="AS195" s="85">
        <f t="shared" si="361"/>
        <v>0</v>
      </c>
      <c r="AT195" s="85">
        <f t="shared" si="361"/>
        <v>0</v>
      </c>
      <c r="AU195" s="85">
        <f t="shared" si="361"/>
        <v>0</v>
      </c>
      <c r="AV195" s="85">
        <f t="shared" si="361"/>
        <v>0</v>
      </c>
      <c r="AW195" s="38"/>
      <c r="AX195" s="38"/>
      <c r="AY195" s="31"/>
      <c r="AZ195" s="31"/>
      <c r="BA195" s="31"/>
    </row>
    <row r="196" spans="1:53">
      <c r="F196" s="214"/>
      <c r="G196" s="214"/>
      <c r="H196" s="214"/>
      <c r="I196" s="214"/>
      <c r="J196" s="214"/>
      <c r="K196" s="214"/>
      <c r="L196" s="214"/>
      <c r="M196" s="214"/>
      <c r="N196" s="214"/>
      <c r="O196" s="214"/>
      <c r="P196" s="214"/>
      <c r="Q196" s="214"/>
      <c r="R196" s="214"/>
      <c r="S196" s="214"/>
      <c r="T196" s="214"/>
      <c r="U196" s="214"/>
      <c r="V196" s="214"/>
      <c r="W196" s="214"/>
      <c r="X196" s="214"/>
      <c r="Y196" s="214"/>
      <c r="Z196" s="214"/>
      <c r="AA196" s="214"/>
      <c r="AB196" s="214"/>
      <c r="AC196" s="214"/>
      <c r="AD196" s="355"/>
      <c r="AE196" s="416"/>
      <c r="AF196" s="422"/>
      <c r="AG196" s="422"/>
      <c r="AH196" s="422"/>
      <c r="AI196" s="422"/>
      <c r="AJ196" s="422"/>
      <c r="AK196" s="505">
        <f t="shared" ref="AK196:AV196" si="362">AK172+AK180-AK8</f>
        <v>268.58440959000001</v>
      </c>
      <c r="AL196" s="583">
        <f t="shared" si="362"/>
        <v>239.56360789999997</v>
      </c>
      <c r="AM196" s="583">
        <f t="shared" si="362"/>
        <v>255.03893929999992</v>
      </c>
      <c r="AN196" s="583">
        <f t="shared" si="362"/>
        <v>243.90306277000002</v>
      </c>
      <c r="AO196" s="583">
        <f t="shared" si="362"/>
        <v>239.45426757820928</v>
      </c>
      <c r="AP196" s="583">
        <f t="shared" si="362"/>
        <v>279.38459254428005</v>
      </c>
      <c r="AQ196" s="583">
        <f t="shared" si="362"/>
        <v>297.54065637958104</v>
      </c>
      <c r="AR196" s="583">
        <f t="shared" si="362"/>
        <v>276.27791420161725</v>
      </c>
      <c r="AS196" s="583">
        <f t="shared" si="362"/>
        <v>281.4789775142832</v>
      </c>
      <c r="AT196" s="583">
        <f t="shared" si="362"/>
        <v>308.35340915005929</v>
      </c>
      <c r="AU196" s="583">
        <f t="shared" si="362"/>
        <v>298.59894053866952</v>
      </c>
      <c r="AV196" s="583">
        <f t="shared" si="362"/>
        <v>264.00987097982261</v>
      </c>
      <c r="AW196" s="583">
        <f>SUM(AK196:AV196)</f>
        <v>3252.1886484465222</v>
      </c>
    </row>
    <row r="197" spans="1:53">
      <c r="D197" t="s">
        <v>158</v>
      </c>
      <c r="F197" s="214"/>
      <c r="G197" s="214"/>
      <c r="H197" s="214"/>
      <c r="I197" s="214"/>
      <c r="J197" s="214"/>
      <c r="K197" s="214"/>
      <c r="L197" s="214"/>
      <c r="M197" s="214"/>
      <c r="N197" s="214"/>
      <c r="O197" s="214"/>
      <c r="P197" s="214"/>
      <c r="Q197" s="214"/>
      <c r="R197" s="214"/>
      <c r="S197" s="214"/>
      <c r="T197" s="214"/>
      <c r="U197" s="214"/>
      <c r="V197" s="214">
        <f>V182-156-V169</f>
        <v>0.70000000000000018</v>
      </c>
      <c r="W197" s="422">
        <f t="shared" ref="W197:AJ197" si="363">W182-156-W169</f>
        <v>-0.43759229000002087</v>
      </c>
      <c r="X197" s="422">
        <f t="shared" si="363"/>
        <v>-0.45999999999999552</v>
      </c>
      <c r="Y197" s="422">
        <f t="shared" si="363"/>
        <v>-9.650000000000011</v>
      </c>
      <c r="Z197" s="422">
        <f t="shared" si="363"/>
        <v>-16.452560549999994</v>
      </c>
      <c r="AA197" s="422">
        <f t="shared" si="363"/>
        <v>-1.4299999999999979</v>
      </c>
      <c r="AB197" s="422">
        <f t="shared" si="363"/>
        <v>-19.37</v>
      </c>
      <c r="AC197" s="422">
        <f t="shared" si="363"/>
        <v>-16.86999999999999</v>
      </c>
      <c r="AD197" s="422">
        <f t="shared" si="363"/>
        <v>-16.780000000000022</v>
      </c>
      <c r="AE197" s="422">
        <f t="shared" si="363"/>
        <v>-14.679999999999993</v>
      </c>
      <c r="AF197" s="422">
        <f t="shared" si="363"/>
        <v>-18.670000000000002</v>
      </c>
      <c r="AG197" s="422">
        <f t="shared" si="363"/>
        <v>-14.899999999999995</v>
      </c>
      <c r="AH197" s="422">
        <f t="shared" si="363"/>
        <v>-11.516000000000002</v>
      </c>
      <c r="AI197" s="422">
        <f t="shared" si="363"/>
        <v>-11.77999999999999</v>
      </c>
      <c r="AJ197" s="422">
        <f t="shared" si="363"/>
        <v>-8.480585689999959</v>
      </c>
      <c r="AK197" s="505">
        <f t="shared" ref="AK197:AP197" si="364">AK182-156-AK169</f>
        <v>-4.1445904099999646</v>
      </c>
      <c r="AL197" s="505">
        <f t="shared" si="364"/>
        <v>-11.706392100000009</v>
      </c>
      <c r="AM197" s="505">
        <f t="shared" si="364"/>
        <v>-7.9100607000000176</v>
      </c>
      <c r="AN197" s="583">
        <f t="shared" si="364"/>
        <v>-13.23293722999999</v>
      </c>
      <c r="AO197" s="583">
        <f t="shared" si="364"/>
        <v>-7.9091971399999901</v>
      </c>
      <c r="AP197" s="583">
        <f t="shared" si="364"/>
        <v>-12.170934519999989</v>
      </c>
      <c r="AQ197" s="583">
        <f t="shared" ref="AQ197:AR197" si="365">AQ182-156-AQ169</f>
        <v>-8.9233930000000186</v>
      </c>
      <c r="AR197" s="583">
        <f t="shared" si="365"/>
        <v>-8.1900000000000119</v>
      </c>
      <c r="AS197" s="583">
        <f t="shared" ref="AS197:AT197" si="366">AS182-156-AS169</f>
        <v>-9.6650000000000347</v>
      </c>
      <c r="AT197" s="583">
        <f t="shared" si="366"/>
        <v>-7.3888106700000131</v>
      </c>
      <c r="AU197" s="583">
        <f t="shared" ref="AU197:AV197" si="367">AU182-156-AU169</f>
        <v>-8.2497303499999788</v>
      </c>
      <c r="AV197" s="583">
        <f t="shared" si="367"/>
        <v>-10.285000000000011</v>
      </c>
      <c r="AW197" s="583">
        <f>SUM(AW180,AW172)</f>
        <v>4315.1886484465231</v>
      </c>
    </row>
    <row r="198" spans="1:53">
      <c r="T198" s="421"/>
      <c r="U198" s="421"/>
      <c r="X198" s="461"/>
      <c r="Y198" s="461"/>
      <c r="Z198" s="461"/>
      <c r="AA198" s="461"/>
      <c r="AB198" s="461"/>
      <c r="AC198" s="461"/>
      <c r="AD198" s="461"/>
      <c r="AE198" s="461"/>
      <c r="AF198" s="461"/>
      <c r="AG198" s="461"/>
      <c r="AH198" s="461"/>
      <c r="AI198" s="461"/>
      <c r="AJ198" s="461"/>
      <c r="AK198" s="505"/>
      <c r="AL198" s="505"/>
      <c r="AM198" s="505"/>
      <c r="AN198" s="583"/>
      <c r="AO198" s="583"/>
      <c r="AP198" s="583"/>
      <c r="AQ198" s="583"/>
      <c r="AR198" s="583"/>
      <c r="AS198" s="583"/>
      <c r="AT198" s="583"/>
      <c r="AU198" s="583"/>
      <c r="AV198" s="583"/>
    </row>
    <row r="199" spans="1:53">
      <c r="A199"/>
      <c r="B199" s="502" t="s">
        <v>220</v>
      </c>
      <c r="C199" s="502" t="s">
        <v>114</v>
      </c>
      <c r="D199" s="328" t="s">
        <v>114</v>
      </c>
      <c r="V199" s="449"/>
      <c r="W199" s="449"/>
      <c r="X199" s="449"/>
      <c r="Y199" s="449"/>
      <c r="Z199" s="449"/>
      <c r="AA199" s="449"/>
      <c r="AB199" s="449"/>
      <c r="AC199" s="449"/>
      <c r="AD199" s="449"/>
      <c r="AE199" s="449"/>
      <c r="AF199" s="449"/>
      <c r="AG199" s="449"/>
      <c r="AH199" s="449"/>
      <c r="AI199" s="209">
        <f t="shared" ref="AI199:AN199" si="368">AI99</f>
        <v>0</v>
      </c>
      <c r="AJ199" s="209">
        <f t="shared" si="368"/>
        <v>0</v>
      </c>
      <c r="AK199" s="209">
        <f t="shared" si="368"/>
        <v>0</v>
      </c>
      <c r="AL199" s="209">
        <f t="shared" si="368"/>
        <v>0</v>
      </c>
      <c r="AM199" s="209">
        <f t="shared" si="368"/>
        <v>0</v>
      </c>
      <c r="AN199" s="209">
        <f t="shared" si="368"/>
        <v>0</v>
      </c>
      <c r="AO199" s="209">
        <f>AO99</f>
        <v>14</v>
      </c>
      <c r="AP199" s="209">
        <f t="shared" ref="AP199:AV199" si="369">AP99</f>
        <v>13.045999999999999</v>
      </c>
      <c r="AQ199" s="209">
        <f t="shared" si="369"/>
        <v>13.481</v>
      </c>
      <c r="AR199" s="209">
        <f t="shared" si="369"/>
        <v>3.4809999999999999</v>
      </c>
      <c r="AS199" s="209">
        <f t="shared" si="369"/>
        <v>13.045999999999999</v>
      </c>
      <c r="AT199" s="209">
        <f t="shared" si="369"/>
        <v>10.8</v>
      </c>
      <c r="AU199" s="209">
        <f t="shared" si="369"/>
        <v>10.8</v>
      </c>
      <c r="AV199" s="209">
        <f t="shared" si="369"/>
        <v>10.8</v>
      </c>
    </row>
    <row r="200" spans="1:53">
      <c r="A200"/>
      <c r="B200" s="502" t="s">
        <v>220</v>
      </c>
      <c r="C200" s="502" t="s">
        <v>0</v>
      </c>
      <c r="D200" s="328" t="s">
        <v>0</v>
      </c>
      <c r="AD200" s="209"/>
      <c r="AE200" s="209"/>
      <c r="AF200" s="209"/>
      <c r="AG200" s="209"/>
      <c r="AH200" s="209"/>
      <c r="AI200" s="209">
        <f t="shared" ref="AI200:AN200" si="370">AI100</f>
        <v>0</v>
      </c>
      <c r="AJ200" s="209">
        <f t="shared" si="370"/>
        <v>0</v>
      </c>
      <c r="AK200" s="209">
        <f t="shared" si="370"/>
        <v>0</v>
      </c>
      <c r="AL200" s="209">
        <f t="shared" si="370"/>
        <v>0</v>
      </c>
      <c r="AM200" s="209">
        <f t="shared" si="370"/>
        <v>0</v>
      </c>
      <c r="AN200" s="209">
        <f t="shared" si="370"/>
        <v>0</v>
      </c>
      <c r="AO200" s="209">
        <f>AO100</f>
        <v>0</v>
      </c>
      <c r="AP200" s="209">
        <f t="shared" ref="AP200:AV200" si="371">AP100</f>
        <v>34.861799729561781</v>
      </c>
      <c r="AQ200" s="209">
        <f t="shared" si="371"/>
        <v>47.748060573613706</v>
      </c>
      <c r="AR200" s="209">
        <f t="shared" si="371"/>
        <v>47.748059323430049</v>
      </c>
      <c r="AS200" s="209">
        <f t="shared" si="371"/>
        <v>19.89204045832156</v>
      </c>
      <c r="AT200" s="209">
        <f t="shared" si="371"/>
        <v>43.545179998576657</v>
      </c>
      <c r="AU200" s="209">
        <f t="shared" si="371"/>
        <v>42.982199800729759</v>
      </c>
      <c r="AV200" s="209">
        <f t="shared" si="371"/>
        <v>17.454420186460034</v>
      </c>
    </row>
    <row r="201" spans="1:53">
      <c r="A201"/>
      <c r="B201"/>
      <c r="D201" t="s">
        <v>240</v>
      </c>
      <c r="AD201" s="209"/>
      <c r="AE201" s="209"/>
      <c r="AF201" s="209"/>
      <c r="AG201" s="209"/>
      <c r="AH201" s="209"/>
      <c r="AI201" s="209"/>
      <c r="AJ201" s="209"/>
      <c r="AK201" s="209"/>
      <c r="AL201" s="209"/>
      <c r="AM201" s="209"/>
      <c r="AN201" s="209"/>
      <c r="AO201" s="209">
        <f>75-AO199-AO200</f>
        <v>61</v>
      </c>
      <c r="AP201" s="209">
        <f t="shared" ref="AP201:AV201" si="372">75-AP199-AP200</f>
        <v>27.092200270438219</v>
      </c>
      <c r="AQ201" s="209">
        <f t="shared" si="372"/>
        <v>13.770939426386292</v>
      </c>
      <c r="AR201" s="209">
        <f t="shared" si="372"/>
        <v>23.770940676569957</v>
      </c>
      <c r="AS201" s="209">
        <f t="shared" si="372"/>
        <v>42.061959541678441</v>
      </c>
      <c r="AT201" s="209">
        <f t="shared" si="372"/>
        <v>20.654820001423346</v>
      </c>
      <c r="AU201" s="209">
        <f t="shared" si="372"/>
        <v>21.217800199270243</v>
      </c>
      <c r="AV201" s="209">
        <f t="shared" si="372"/>
        <v>46.745579813539969</v>
      </c>
    </row>
    <row r="202" spans="1:53">
      <c r="A202"/>
      <c r="B202"/>
      <c r="AD202" s="209"/>
      <c r="AE202" s="209"/>
      <c r="AF202" s="209"/>
      <c r="AG202" s="209"/>
      <c r="AH202" s="209"/>
    </row>
    <row r="203" spans="1:53">
      <c r="A203"/>
      <c r="B203"/>
      <c r="AD203" s="209"/>
      <c r="AE203" s="209"/>
      <c r="AF203" s="209"/>
      <c r="AG203" s="209"/>
      <c r="AH203" s="209"/>
    </row>
    <row r="204" spans="1:53">
      <c r="A204"/>
      <c r="B204"/>
      <c r="AD204" s="209"/>
      <c r="AE204" s="209"/>
      <c r="AF204" s="209"/>
      <c r="AG204" s="209"/>
      <c r="AH204" s="209"/>
    </row>
    <row r="205" spans="1:53">
      <c r="A205"/>
      <c r="B205"/>
      <c r="D205" t="s">
        <v>241</v>
      </c>
      <c r="AD205" s="209"/>
      <c r="AE205" s="209"/>
      <c r="AF205" s="209"/>
      <c r="AG205" s="209"/>
      <c r="AH205" s="209"/>
      <c r="AK205" s="675">
        <f t="shared" ref="AK205:AV205" si="373">AK177-AK8</f>
        <v>107.00040959</v>
      </c>
      <c r="AL205" s="675">
        <f t="shared" si="373"/>
        <v>86.663607899999988</v>
      </c>
      <c r="AM205" s="675">
        <f t="shared" si="373"/>
        <v>81.959939299999974</v>
      </c>
      <c r="AN205" s="675">
        <f t="shared" si="373"/>
        <v>67.067062770000007</v>
      </c>
      <c r="AO205" s="675">
        <f t="shared" si="373"/>
        <v>64.030802859999994</v>
      </c>
      <c r="AP205" s="675">
        <f t="shared" si="373"/>
        <v>65.479065479999974</v>
      </c>
      <c r="AQ205" s="675">
        <f t="shared" si="373"/>
        <v>57.381606999999974</v>
      </c>
      <c r="AR205" s="675">
        <f t="shared" si="373"/>
        <v>51.109999999999985</v>
      </c>
      <c r="AS205" s="675">
        <f t="shared" si="373"/>
        <v>69.639999999999986</v>
      </c>
      <c r="AT205" s="675">
        <f t="shared" si="373"/>
        <v>68.911189329999985</v>
      </c>
      <c r="AU205" s="675">
        <f t="shared" si="373"/>
        <v>64.047347650000006</v>
      </c>
      <c r="AV205" s="675">
        <f t="shared" si="373"/>
        <v>54.039999999999992</v>
      </c>
    </row>
    <row r="206" spans="1:53">
      <c r="A206"/>
      <c r="B206"/>
      <c r="AD206" s="209"/>
      <c r="AE206" s="209"/>
      <c r="AF206" s="209"/>
      <c r="AG206" s="209"/>
      <c r="AH206" s="209"/>
      <c r="AL206" s="774"/>
      <c r="AM206" s="774"/>
      <c r="AN206" s="774"/>
      <c r="AO206" s="774"/>
      <c r="AP206" s="774"/>
      <c r="AQ206" s="774"/>
      <c r="AR206" s="774"/>
      <c r="AS206" s="774"/>
      <c r="AT206" s="774"/>
      <c r="AU206" s="774"/>
      <c r="AV206" s="774"/>
    </row>
    <row r="207" spans="1:53">
      <c r="A207"/>
      <c r="B207"/>
      <c r="AD207" s="209"/>
      <c r="AE207" s="209"/>
      <c r="AF207" s="209"/>
      <c r="AG207" s="209"/>
      <c r="AH207" s="209"/>
    </row>
    <row r="208" spans="1:53">
      <c r="A208"/>
      <c r="B208"/>
      <c r="E208" s="4" t="s">
        <v>3</v>
      </c>
      <c r="AD208" s="209"/>
      <c r="AE208" s="209"/>
      <c r="AF208" s="209"/>
      <c r="AG208" s="209"/>
      <c r="AH208" s="209"/>
    </row>
    <row r="209" spans="1:34">
      <c r="A209"/>
      <c r="B209"/>
      <c r="E209" s="4" t="s">
        <v>3</v>
      </c>
      <c r="AD209" s="209"/>
      <c r="AE209" s="209"/>
      <c r="AF209" s="209"/>
      <c r="AG209" s="209"/>
      <c r="AH209" s="209"/>
    </row>
    <row r="210" spans="1:34">
      <c r="A210"/>
      <c r="B210"/>
      <c r="Y210" s="461"/>
      <c r="Z210" s="461"/>
      <c r="AA210" s="461"/>
      <c r="AB210" s="461"/>
      <c r="AC210" s="461"/>
      <c r="AD210" s="461"/>
      <c r="AE210" s="635"/>
      <c r="AF210" s="634"/>
      <c r="AG210" s="634"/>
      <c r="AH210" s="635"/>
    </row>
    <row r="211" spans="1:34">
      <c r="A211"/>
      <c r="B211"/>
      <c r="Y211" s="461"/>
      <c r="Z211" s="461"/>
      <c r="AA211" s="461"/>
      <c r="AB211" s="461"/>
      <c r="AC211" s="461"/>
      <c r="AD211" s="461"/>
      <c r="AE211" s="461"/>
      <c r="AF211" s="461"/>
      <c r="AG211" s="461"/>
      <c r="AH211" s="461"/>
    </row>
    <row r="212" spans="1:34">
      <c r="A212"/>
      <c r="B212"/>
      <c r="Y212" s="461"/>
      <c r="Z212" s="461"/>
      <c r="AA212" s="461"/>
      <c r="AB212" s="461"/>
      <c r="AC212" s="461"/>
      <c r="AD212" s="461"/>
      <c r="AE212" s="461"/>
      <c r="AF212" s="461"/>
      <c r="AG212" s="461"/>
      <c r="AH212" s="461"/>
    </row>
    <row r="213" spans="1:34">
      <c r="A213"/>
      <c r="B213"/>
      <c r="Y213" s="461"/>
      <c r="Z213" s="461"/>
      <c r="AA213" s="461"/>
      <c r="AB213" s="461"/>
      <c r="AC213" s="461"/>
      <c r="AD213" s="461"/>
      <c r="AE213" s="461"/>
      <c r="AF213" s="461"/>
      <c r="AG213" s="461"/>
      <c r="AH213" s="461"/>
    </row>
    <row r="214" spans="1:34">
      <c r="Y214" s="461"/>
      <c r="Z214" s="461"/>
      <c r="AA214" s="461"/>
      <c r="AB214" s="461"/>
      <c r="AC214" s="461"/>
      <c r="AD214" s="461"/>
      <c r="AE214" s="461"/>
      <c r="AF214" s="461">
        <v>201.89499999999998</v>
      </c>
      <c r="AG214" s="461">
        <v>201.43</v>
      </c>
      <c r="AH214" s="461">
        <v>211.345</v>
      </c>
    </row>
    <row r="215" spans="1:34">
      <c r="Y215" s="461"/>
      <c r="Z215" s="461"/>
      <c r="AA215" s="461"/>
      <c r="AB215" s="461"/>
      <c r="AC215" s="461"/>
      <c r="AD215" s="461"/>
      <c r="AE215" s="461"/>
      <c r="AF215" s="461">
        <f>AF214-AF175</f>
        <v>5.7800000000000011</v>
      </c>
      <c r="AG215" s="583">
        <f t="shared" ref="AG215:AH215" si="374">AG214-AG175</f>
        <v>0.97999999999998977</v>
      </c>
      <c r="AH215" s="583">
        <f t="shared" si="374"/>
        <v>6.9050000000000011</v>
      </c>
    </row>
    <row r="233" spans="35:35">
      <c r="AI233">
        <f>26*12</f>
        <v>312</v>
      </c>
    </row>
    <row r="235" spans="35:35">
      <c r="AI235">
        <f>31*12</f>
        <v>372</v>
      </c>
    </row>
    <row r="292" spans="33:38">
      <c r="AG292" s="213">
        <v>21600</v>
      </c>
      <c r="AH292" s="213">
        <v>22320</v>
      </c>
      <c r="AI292" s="213">
        <v>21600</v>
      </c>
      <c r="AJ292" s="213">
        <v>22320</v>
      </c>
      <c r="AK292" s="213">
        <v>22320</v>
      </c>
      <c r="AL292" s="213">
        <v>20160</v>
      </c>
    </row>
    <row r="293" spans="33:38">
      <c r="AG293" s="213">
        <v>46600</v>
      </c>
      <c r="AH293" s="213">
        <v>35000</v>
      </c>
      <c r="AI293" s="213">
        <v>25000</v>
      </c>
      <c r="AJ293" s="213">
        <v>25000</v>
      </c>
      <c r="AK293" s="213">
        <v>34100</v>
      </c>
      <c r="AL293" s="213">
        <v>30800</v>
      </c>
    </row>
    <row r="294" spans="33:38">
      <c r="AG294" s="213">
        <f>SUM(AG292:AG293)</f>
        <v>68200</v>
      </c>
      <c r="AH294" s="213">
        <f t="shared" ref="AH294:AL294" si="375">SUM(AH292:AH293)</f>
        <v>57320</v>
      </c>
      <c r="AI294" s="213">
        <f t="shared" si="375"/>
        <v>46600</v>
      </c>
      <c r="AJ294" s="213">
        <f t="shared" si="375"/>
        <v>47320</v>
      </c>
      <c r="AK294" s="213">
        <f t="shared" si="375"/>
        <v>56420</v>
      </c>
      <c r="AL294" s="213">
        <f t="shared" si="375"/>
        <v>50960</v>
      </c>
    </row>
  </sheetData>
  <mergeCells count="42">
    <mergeCell ref="AX99:AX100"/>
    <mergeCell ref="C64:D64"/>
    <mergeCell ref="A65:D65"/>
    <mergeCell ref="C60:D60"/>
    <mergeCell ref="C49:D49"/>
    <mergeCell ref="C55:D55"/>
    <mergeCell ref="C62:D62"/>
    <mergeCell ref="C57:D57"/>
    <mergeCell ref="C58:D58"/>
    <mergeCell ref="A78:D78"/>
    <mergeCell ref="A67:B67"/>
    <mergeCell ref="C67:D67"/>
    <mergeCell ref="C50:D50"/>
    <mergeCell ref="C51:D51"/>
    <mergeCell ref="A52:D52"/>
    <mergeCell ref="C56:D56"/>
    <mergeCell ref="A3:B3"/>
    <mergeCell ref="A41:B41"/>
    <mergeCell ref="C41:D41"/>
    <mergeCell ref="C46:D46"/>
    <mergeCell ref="C48:D48"/>
    <mergeCell ref="C47:D47"/>
    <mergeCell ref="C42:D42"/>
    <mergeCell ref="C43:D43"/>
    <mergeCell ref="A27:B27"/>
    <mergeCell ref="A34:B34"/>
    <mergeCell ref="C44:D44"/>
    <mergeCell ref="C45:D45"/>
    <mergeCell ref="A21:B21"/>
    <mergeCell ref="A13:B13"/>
    <mergeCell ref="A54:B54"/>
    <mergeCell ref="C54:D54"/>
    <mergeCell ref="C59:D59"/>
    <mergeCell ref="C61:D61"/>
    <mergeCell ref="C68:D68"/>
    <mergeCell ref="C76:D76"/>
    <mergeCell ref="C77:D77"/>
    <mergeCell ref="C69:D69"/>
    <mergeCell ref="C63:D63"/>
    <mergeCell ref="C72:D72"/>
    <mergeCell ref="C74:D74"/>
    <mergeCell ref="C75:D75"/>
  </mergeCells>
  <conditionalFormatting sqref="Q194:Q195 E193:AJ193">
    <cfRule type="colorScale" priority="103">
      <colorScale>
        <cfvo type="min"/>
        <cfvo type="percentile" val="50"/>
        <cfvo type="max"/>
        <color rgb="FFF8696B"/>
        <color rgb="FFFFEB84"/>
        <color rgb="FF63BE7B"/>
      </colorScale>
    </cfRule>
  </conditionalFormatting>
  <conditionalFormatting sqref="R194:AD195 E192:AJ192">
    <cfRule type="colorScale" priority="106">
      <colorScale>
        <cfvo type="min"/>
        <cfvo type="percentile" val="50"/>
        <cfvo type="max"/>
        <color rgb="FFF8696B"/>
        <color rgb="FFFFEB84"/>
        <color rgb="FF63BE7B"/>
      </colorScale>
    </cfRule>
  </conditionalFormatting>
  <conditionalFormatting sqref="E194:P195">
    <cfRule type="colorScale" priority="108">
      <colorScale>
        <cfvo type="min"/>
        <cfvo type="percentile" val="50"/>
        <cfvo type="max"/>
        <color rgb="FFF8696B"/>
        <color rgb="FFFFEB84"/>
        <color rgb="FF63BE7B"/>
      </colorScale>
    </cfRule>
  </conditionalFormatting>
  <conditionalFormatting sqref="A180:D180">
    <cfRule type="duplicateValues" dxfId="13" priority="66"/>
  </conditionalFormatting>
  <conditionalFormatting sqref="AE194:AE195">
    <cfRule type="colorScale" priority="65">
      <colorScale>
        <cfvo type="min"/>
        <cfvo type="percentile" val="50"/>
        <cfvo type="max"/>
        <color rgb="FFF8696B"/>
        <color rgb="FFFFEB84"/>
        <color rgb="FF63BE7B"/>
      </colorScale>
    </cfRule>
  </conditionalFormatting>
  <conditionalFormatting sqref="AF194:AF195">
    <cfRule type="colorScale" priority="63">
      <colorScale>
        <cfvo type="min"/>
        <cfvo type="percentile" val="50"/>
        <cfvo type="max"/>
        <color rgb="FFF8696B"/>
        <color rgb="FFFFEB84"/>
        <color rgb="FF63BE7B"/>
      </colorScale>
    </cfRule>
  </conditionalFormatting>
  <conditionalFormatting sqref="AG194:AG195">
    <cfRule type="colorScale" priority="61">
      <colorScale>
        <cfvo type="min"/>
        <cfvo type="percentile" val="50"/>
        <cfvo type="max"/>
        <color rgb="FFF8696B"/>
        <color rgb="FFFFEB84"/>
        <color rgb="FF63BE7B"/>
      </colorScale>
    </cfRule>
  </conditionalFormatting>
  <conditionalFormatting sqref="AH194:AH195">
    <cfRule type="colorScale" priority="59">
      <colorScale>
        <cfvo type="min"/>
        <cfvo type="percentile" val="50"/>
        <cfvo type="max"/>
        <color rgb="FFF8696B"/>
        <color rgb="FFFFEB84"/>
        <color rgb="FF63BE7B"/>
      </colorScale>
    </cfRule>
  </conditionalFormatting>
  <conditionalFormatting sqref="AI194:AI195">
    <cfRule type="colorScale" priority="57">
      <colorScale>
        <cfvo type="min"/>
        <cfvo type="percentile" val="50"/>
        <cfvo type="max"/>
        <color rgb="FFF8696B"/>
        <color rgb="FFFFEB84"/>
        <color rgb="FF63BE7B"/>
      </colorScale>
    </cfRule>
  </conditionalFormatting>
  <conditionalFormatting sqref="AJ194:AJ195">
    <cfRule type="colorScale" priority="55">
      <colorScale>
        <cfvo type="min"/>
        <cfvo type="percentile" val="50"/>
        <cfvo type="max"/>
        <color rgb="FFF8696B"/>
        <color rgb="FFFFEB84"/>
        <color rgb="FF63BE7B"/>
      </colorScale>
    </cfRule>
  </conditionalFormatting>
  <conditionalFormatting sqref="AK193">
    <cfRule type="colorScale" priority="50">
      <colorScale>
        <cfvo type="min"/>
        <cfvo type="percentile" val="50"/>
        <cfvo type="max"/>
        <color rgb="FFF8696B"/>
        <color rgb="FFFFEB84"/>
        <color rgb="FF63BE7B"/>
      </colorScale>
    </cfRule>
  </conditionalFormatting>
  <conditionalFormatting sqref="AK192">
    <cfRule type="colorScale" priority="51">
      <colorScale>
        <cfvo type="min"/>
        <cfvo type="percentile" val="50"/>
        <cfvo type="max"/>
        <color rgb="FFF8696B"/>
        <color rgb="FFFFEB84"/>
        <color rgb="FF63BE7B"/>
      </colorScale>
    </cfRule>
  </conditionalFormatting>
  <conditionalFormatting sqref="AK194:AK195">
    <cfRule type="colorScale" priority="49">
      <colorScale>
        <cfvo type="min"/>
        <cfvo type="percentile" val="50"/>
        <cfvo type="max"/>
        <color rgb="FFF8696B"/>
        <color rgb="FFFFEB84"/>
        <color rgb="FF63BE7B"/>
      </colorScale>
    </cfRule>
  </conditionalFormatting>
  <conditionalFormatting sqref="AL193">
    <cfRule type="colorScale" priority="47">
      <colorScale>
        <cfvo type="min"/>
        <cfvo type="percentile" val="50"/>
        <cfvo type="max"/>
        <color rgb="FFF8696B"/>
        <color rgb="FFFFEB84"/>
        <color rgb="FF63BE7B"/>
      </colorScale>
    </cfRule>
  </conditionalFormatting>
  <conditionalFormatting sqref="AL192">
    <cfRule type="colorScale" priority="48">
      <colorScale>
        <cfvo type="min"/>
        <cfvo type="percentile" val="50"/>
        <cfvo type="max"/>
        <color rgb="FFF8696B"/>
        <color rgb="FFFFEB84"/>
        <color rgb="FF63BE7B"/>
      </colorScale>
    </cfRule>
  </conditionalFormatting>
  <conditionalFormatting sqref="AL194:AL195">
    <cfRule type="colorScale" priority="46">
      <colorScale>
        <cfvo type="min"/>
        <cfvo type="percentile" val="50"/>
        <cfvo type="max"/>
        <color rgb="FFF8696B"/>
        <color rgb="FFFFEB84"/>
        <color rgb="FF63BE7B"/>
      </colorScale>
    </cfRule>
  </conditionalFormatting>
  <conditionalFormatting sqref="AM193">
    <cfRule type="colorScale" priority="44">
      <colorScale>
        <cfvo type="min"/>
        <cfvo type="percentile" val="50"/>
        <cfvo type="max"/>
        <color rgb="FFF8696B"/>
        <color rgb="FFFFEB84"/>
        <color rgb="FF63BE7B"/>
      </colorScale>
    </cfRule>
  </conditionalFormatting>
  <conditionalFormatting sqref="AM192">
    <cfRule type="colorScale" priority="45">
      <colorScale>
        <cfvo type="min"/>
        <cfvo type="percentile" val="50"/>
        <cfvo type="max"/>
        <color rgb="FFF8696B"/>
        <color rgb="FFFFEB84"/>
        <color rgb="FF63BE7B"/>
      </colorScale>
    </cfRule>
  </conditionalFormatting>
  <conditionalFormatting sqref="AM194:AM195">
    <cfRule type="colorScale" priority="43">
      <colorScale>
        <cfvo type="min"/>
        <cfvo type="percentile" val="50"/>
        <cfvo type="max"/>
        <color rgb="FFF8696B"/>
        <color rgb="FFFFEB84"/>
        <color rgb="FF63BE7B"/>
      </colorScale>
    </cfRule>
  </conditionalFormatting>
  <conditionalFormatting sqref="AN193">
    <cfRule type="colorScale" priority="41">
      <colorScale>
        <cfvo type="min"/>
        <cfvo type="percentile" val="50"/>
        <cfvo type="max"/>
        <color rgb="FFF8696B"/>
        <color rgb="FFFFEB84"/>
        <color rgb="FF63BE7B"/>
      </colorScale>
    </cfRule>
  </conditionalFormatting>
  <conditionalFormatting sqref="AN192">
    <cfRule type="colorScale" priority="42">
      <colorScale>
        <cfvo type="min"/>
        <cfvo type="percentile" val="50"/>
        <cfvo type="max"/>
        <color rgb="FFF8696B"/>
        <color rgb="FFFFEB84"/>
        <color rgb="FF63BE7B"/>
      </colorScale>
    </cfRule>
  </conditionalFormatting>
  <conditionalFormatting sqref="AN194:AN195">
    <cfRule type="colorScale" priority="40">
      <colorScale>
        <cfvo type="min"/>
        <cfvo type="percentile" val="50"/>
        <cfvo type="max"/>
        <color rgb="FFF8696B"/>
        <color rgb="FFFFEB84"/>
        <color rgb="FF63BE7B"/>
      </colorScale>
    </cfRule>
  </conditionalFormatting>
  <conditionalFormatting sqref="AO193">
    <cfRule type="colorScale" priority="38">
      <colorScale>
        <cfvo type="min"/>
        <cfvo type="percentile" val="50"/>
        <cfvo type="max"/>
        <color rgb="FFF8696B"/>
        <color rgb="FFFFEB84"/>
        <color rgb="FF63BE7B"/>
      </colorScale>
    </cfRule>
  </conditionalFormatting>
  <conditionalFormatting sqref="AO192">
    <cfRule type="colorScale" priority="39">
      <colorScale>
        <cfvo type="min"/>
        <cfvo type="percentile" val="50"/>
        <cfvo type="max"/>
        <color rgb="FFF8696B"/>
        <color rgb="FFFFEB84"/>
        <color rgb="FF63BE7B"/>
      </colorScale>
    </cfRule>
  </conditionalFormatting>
  <conditionalFormatting sqref="AO194:AO195">
    <cfRule type="colorScale" priority="37">
      <colorScale>
        <cfvo type="min"/>
        <cfvo type="percentile" val="50"/>
        <cfvo type="max"/>
        <color rgb="FFF8696B"/>
        <color rgb="FFFFEB84"/>
        <color rgb="FF63BE7B"/>
      </colorScale>
    </cfRule>
  </conditionalFormatting>
  <conditionalFormatting sqref="AP193">
    <cfRule type="colorScale" priority="35">
      <colorScale>
        <cfvo type="min"/>
        <cfvo type="percentile" val="50"/>
        <cfvo type="max"/>
        <color rgb="FFF8696B"/>
        <color rgb="FFFFEB84"/>
        <color rgb="FF63BE7B"/>
      </colorScale>
    </cfRule>
  </conditionalFormatting>
  <conditionalFormatting sqref="AP192">
    <cfRule type="colorScale" priority="36">
      <colorScale>
        <cfvo type="min"/>
        <cfvo type="percentile" val="50"/>
        <cfvo type="max"/>
        <color rgb="FFF8696B"/>
        <color rgb="FFFFEB84"/>
        <color rgb="FF63BE7B"/>
      </colorScale>
    </cfRule>
  </conditionalFormatting>
  <conditionalFormatting sqref="AP194:AP195">
    <cfRule type="colorScale" priority="34">
      <colorScale>
        <cfvo type="min"/>
        <cfvo type="percentile" val="50"/>
        <cfvo type="max"/>
        <color rgb="FFF8696B"/>
        <color rgb="FFFFEB84"/>
        <color rgb="FF63BE7B"/>
      </colorScale>
    </cfRule>
  </conditionalFormatting>
  <conditionalFormatting sqref="AQ193">
    <cfRule type="colorScale" priority="29">
      <colorScale>
        <cfvo type="min"/>
        <cfvo type="percentile" val="50"/>
        <cfvo type="max"/>
        <color rgb="FFF8696B"/>
        <color rgb="FFFFEB84"/>
        <color rgb="FF63BE7B"/>
      </colorScale>
    </cfRule>
  </conditionalFormatting>
  <conditionalFormatting sqref="AQ192">
    <cfRule type="colorScale" priority="30">
      <colorScale>
        <cfvo type="min"/>
        <cfvo type="percentile" val="50"/>
        <cfvo type="max"/>
        <color rgb="FFF8696B"/>
        <color rgb="FFFFEB84"/>
        <color rgb="FF63BE7B"/>
      </colorScale>
    </cfRule>
  </conditionalFormatting>
  <conditionalFormatting sqref="AQ194:AQ195">
    <cfRule type="colorScale" priority="28">
      <colorScale>
        <cfvo type="min"/>
        <cfvo type="percentile" val="50"/>
        <cfvo type="max"/>
        <color rgb="FFF8696B"/>
        <color rgb="FFFFEB84"/>
        <color rgb="FF63BE7B"/>
      </colorScale>
    </cfRule>
  </conditionalFormatting>
  <conditionalFormatting sqref="AE18:AQ18">
    <cfRule type="cellIs" dxfId="12" priority="26" operator="lessThan">
      <formula>0.5</formula>
    </cfRule>
    <cfRule type="cellIs" dxfId="11" priority="27" operator="greaterThan">
      <formula>0.85</formula>
    </cfRule>
  </conditionalFormatting>
  <conditionalFormatting sqref="AR193">
    <cfRule type="colorScale" priority="24">
      <colorScale>
        <cfvo type="min"/>
        <cfvo type="percentile" val="50"/>
        <cfvo type="max"/>
        <color rgb="FFF8696B"/>
        <color rgb="FFFFEB84"/>
        <color rgb="FF63BE7B"/>
      </colorScale>
    </cfRule>
  </conditionalFormatting>
  <conditionalFormatting sqref="AR192">
    <cfRule type="colorScale" priority="25">
      <colorScale>
        <cfvo type="min"/>
        <cfvo type="percentile" val="50"/>
        <cfvo type="max"/>
        <color rgb="FFF8696B"/>
        <color rgb="FFFFEB84"/>
        <color rgb="FF63BE7B"/>
      </colorScale>
    </cfRule>
  </conditionalFormatting>
  <conditionalFormatting sqref="AR194:AR195">
    <cfRule type="colorScale" priority="23">
      <colorScale>
        <cfvo type="min"/>
        <cfvo type="percentile" val="50"/>
        <cfvo type="max"/>
        <color rgb="FFF8696B"/>
        <color rgb="FFFFEB84"/>
        <color rgb="FF63BE7B"/>
      </colorScale>
    </cfRule>
  </conditionalFormatting>
  <conditionalFormatting sqref="AR18">
    <cfRule type="cellIs" dxfId="10" priority="21" operator="lessThan">
      <formula>0.5</formula>
    </cfRule>
    <cfRule type="cellIs" dxfId="9" priority="22" operator="greaterThan">
      <formula>0.85</formula>
    </cfRule>
  </conditionalFormatting>
  <conditionalFormatting sqref="AS193">
    <cfRule type="colorScale" priority="19">
      <colorScale>
        <cfvo type="min"/>
        <cfvo type="percentile" val="50"/>
        <cfvo type="max"/>
        <color rgb="FFF8696B"/>
        <color rgb="FFFFEB84"/>
        <color rgb="FF63BE7B"/>
      </colorScale>
    </cfRule>
  </conditionalFormatting>
  <conditionalFormatting sqref="AS192">
    <cfRule type="colorScale" priority="20">
      <colorScale>
        <cfvo type="min"/>
        <cfvo type="percentile" val="50"/>
        <cfvo type="max"/>
        <color rgb="FFF8696B"/>
        <color rgb="FFFFEB84"/>
        <color rgb="FF63BE7B"/>
      </colorScale>
    </cfRule>
  </conditionalFormatting>
  <conditionalFormatting sqref="AS194:AS195">
    <cfRule type="colorScale" priority="18">
      <colorScale>
        <cfvo type="min"/>
        <cfvo type="percentile" val="50"/>
        <cfvo type="max"/>
        <color rgb="FFF8696B"/>
        <color rgb="FFFFEB84"/>
        <color rgb="FF63BE7B"/>
      </colorScale>
    </cfRule>
  </conditionalFormatting>
  <conditionalFormatting sqref="AS18">
    <cfRule type="cellIs" dxfId="8" priority="16" operator="lessThan">
      <formula>0.5</formula>
    </cfRule>
    <cfRule type="cellIs" dxfId="7" priority="17" operator="greaterThan">
      <formula>0.85</formula>
    </cfRule>
  </conditionalFormatting>
  <conditionalFormatting sqref="AT193">
    <cfRule type="colorScale" priority="14">
      <colorScale>
        <cfvo type="min"/>
        <cfvo type="percentile" val="50"/>
        <cfvo type="max"/>
        <color rgb="FFF8696B"/>
        <color rgb="FFFFEB84"/>
        <color rgb="FF63BE7B"/>
      </colorScale>
    </cfRule>
  </conditionalFormatting>
  <conditionalFormatting sqref="AT192">
    <cfRule type="colorScale" priority="15">
      <colorScale>
        <cfvo type="min"/>
        <cfvo type="percentile" val="50"/>
        <cfvo type="max"/>
        <color rgb="FFF8696B"/>
        <color rgb="FFFFEB84"/>
        <color rgb="FF63BE7B"/>
      </colorScale>
    </cfRule>
  </conditionalFormatting>
  <conditionalFormatting sqref="AT194:AT195">
    <cfRule type="colorScale" priority="13">
      <colorScale>
        <cfvo type="min"/>
        <cfvo type="percentile" val="50"/>
        <cfvo type="max"/>
        <color rgb="FFF8696B"/>
        <color rgb="FFFFEB84"/>
        <color rgb="FF63BE7B"/>
      </colorScale>
    </cfRule>
  </conditionalFormatting>
  <conditionalFormatting sqref="AT18">
    <cfRule type="cellIs" dxfId="6" priority="11" operator="lessThan">
      <formula>0.5</formula>
    </cfRule>
    <cfRule type="cellIs" dxfId="5" priority="12" operator="greaterThan">
      <formula>0.85</formula>
    </cfRule>
  </conditionalFormatting>
  <conditionalFormatting sqref="AU193">
    <cfRule type="colorScale" priority="9">
      <colorScale>
        <cfvo type="min"/>
        <cfvo type="percentile" val="50"/>
        <cfvo type="max"/>
        <color rgb="FFF8696B"/>
        <color rgb="FFFFEB84"/>
        <color rgb="FF63BE7B"/>
      </colorScale>
    </cfRule>
  </conditionalFormatting>
  <conditionalFormatting sqref="AU192">
    <cfRule type="colorScale" priority="10">
      <colorScale>
        <cfvo type="min"/>
        <cfvo type="percentile" val="50"/>
        <cfvo type="max"/>
        <color rgb="FFF8696B"/>
        <color rgb="FFFFEB84"/>
        <color rgb="FF63BE7B"/>
      </colorScale>
    </cfRule>
  </conditionalFormatting>
  <conditionalFormatting sqref="AU194:AU195">
    <cfRule type="colorScale" priority="8">
      <colorScale>
        <cfvo type="min"/>
        <cfvo type="percentile" val="50"/>
        <cfvo type="max"/>
        <color rgb="FFF8696B"/>
        <color rgb="FFFFEB84"/>
        <color rgb="FF63BE7B"/>
      </colorScale>
    </cfRule>
  </conditionalFormatting>
  <conditionalFormatting sqref="AU18">
    <cfRule type="cellIs" dxfId="4" priority="6" operator="lessThan">
      <formula>0.5</formula>
    </cfRule>
    <cfRule type="cellIs" dxfId="3" priority="7" operator="greaterThan">
      <formula>0.85</formula>
    </cfRule>
  </conditionalFormatting>
  <conditionalFormatting sqref="AV193">
    <cfRule type="colorScale" priority="4">
      <colorScale>
        <cfvo type="min"/>
        <cfvo type="percentile" val="50"/>
        <cfvo type="max"/>
        <color rgb="FFF8696B"/>
        <color rgb="FFFFEB84"/>
        <color rgb="FF63BE7B"/>
      </colorScale>
    </cfRule>
  </conditionalFormatting>
  <conditionalFormatting sqref="AV192">
    <cfRule type="colorScale" priority="5">
      <colorScale>
        <cfvo type="min"/>
        <cfvo type="percentile" val="50"/>
        <cfvo type="max"/>
        <color rgb="FFF8696B"/>
        <color rgb="FFFFEB84"/>
        <color rgb="FF63BE7B"/>
      </colorScale>
    </cfRule>
  </conditionalFormatting>
  <conditionalFormatting sqref="AV194:AV195">
    <cfRule type="colorScale" priority="3">
      <colorScale>
        <cfvo type="min"/>
        <cfvo type="percentile" val="50"/>
        <cfvo type="max"/>
        <color rgb="FFF8696B"/>
        <color rgb="FFFFEB84"/>
        <color rgb="FF63BE7B"/>
      </colorScale>
    </cfRule>
  </conditionalFormatting>
  <conditionalFormatting sqref="AV18">
    <cfRule type="cellIs" dxfId="2" priority="1" operator="lessThan">
      <formula>0.5</formula>
    </cfRule>
    <cfRule type="cellIs" dxfId="1" priority="2" operator="greaterThan">
      <formula>0.85</formula>
    </cfRule>
  </conditionalFormatting>
  <pageMargins left="0.7" right="0.7" top="0.75" bottom="0.75" header="0.3" footer="0.3"/>
  <pageSetup paperSize="9" orientation="portrait"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rgb="FFFF0000"/>
  </sheetPr>
  <dimension ref="A1:CR37"/>
  <sheetViews>
    <sheetView zoomScale="85" zoomScaleNormal="85" workbookViewId="0">
      <pane xSplit="2" ySplit="3" topLeftCell="BV4" activePane="bottomRight" state="frozen"/>
      <selection activeCell="G41" sqref="G41"/>
      <selection pane="topRight" activeCell="G41" sqref="G41"/>
      <selection pane="bottomLeft" activeCell="G41" sqref="G41"/>
      <selection pane="bottomRight" activeCell="BW25" sqref="BW25"/>
    </sheetView>
  </sheetViews>
  <sheetFormatPr defaultColWidth="8.08984375" defaultRowHeight="14.5"/>
  <cols>
    <col min="1" max="1" width="15" style="126" bestFit="1" customWidth="1"/>
    <col min="2" max="2" width="34.90625" style="126" customWidth="1"/>
    <col min="3" max="9" width="8.08984375" style="126" bestFit="1" customWidth="1"/>
    <col min="10" max="26" width="9.08984375" style="126" customWidth="1"/>
    <col min="27" max="27" width="8.90625" style="126" customWidth="1"/>
    <col min="28" max="28" width="10.08984375" style="126" bestFit="1" customWidth="1"/>
    <col min="29" max="29" width="8.08984375" style="126" customWidth="1"/>
    <col min="30" max="31" width="10.08984375" style="126" bestFit="1" customWidth="1"/>
    <col min="32" max="32" width="8.08984375" style="126" bestFit="1" customWidth="1"/>
    <col min="33" max="34" width="9.08984375" style="126" customWidth="1"/>
    <col min="35" max="35" width="8.08984375" style="126" bestFit="1" customWidth="1"/>
    <col min="36" max="69" width="9" style="126" customWidth="1"/>
    <col min="70" max="70" width="8.81640625" style="126" customWidth="1"/>
    <col min="71" max="86" width="9" style="126" customWidth="1"/>
    <col min="87" max="88" width="9" style="126" bestFit="1" customWidth="1"/>
    <col min="89" max="89" width="8.08984375" style="126"/>
    <col min="90" max="94" width="9" style="126" bestFit="1" customWidth="1"/>
    <col min="95" max="95" width="8.36328125" style="126" bestFit="1" customWidth="1"/>
    <col min="96" max="16384" width="8.08984375" style="126"/>
  </cols>
  <sheetData>
    <row r="1" spans="1:96">
      <c r="B1" s="423" t="s">
        <v>250</v>
      </c>
      <c r="AM1" s="127">
        <v>69</v>
      </c>
      <c r="AN1" s="127">
        <v>68.959999999999994</v>
      </c>
      <c r="AO1" s="127">
        <v>83</v>
      </c>
      <c r="AP1" s="127">
        <v>80.008456709956704</v>
      </c>
      <c r="AQ1" s="127">
        <v>80.637</v>
      </c>
      <c r="AR1" s="127">
        <v>78</v>
      </c>
      <c r="AS1" s="127">
        <v>85.386547619047604</v>
      </c>
      <c r="AT1" s="127">
        <v>83.894000000000005</v>
      </c>
      <c r="AU1" s="127">
        <v>82.285551948051932</v>
      </c>
      <c r="AV1" s="127">
        <v>80.510000000000005</v>
      </c>
      <c r="AW1" s="127">
        <v>82.3</v>
      </c>
      <c r="AX1" s="127">
        <v>85.6</v>
      </c>
      <c r="AY1" s="127">
        <v>80.5</v>
      </c>
      <c r="AZ1" s="127">
        <v>75.5</v>
      </c>
      <c r="BA1" s="127">
        <v>80.8</v>
      </c>
      <c r="BB1" s="127">
        <v>77.786000000000001</v>
      </c>
      <c r="BC1" s="127">
        <v>60.347000000000001</v>
      </c>
      <c r="BD1" s="127">
        <v>59.180454545454538</v>
      </c>
      <c r="BE1" s="127">
        <v>62.7</v>
      </c>
      <c r="BF1" s="127">
        <v>71.587909090909093</v>
      </c>
      <c r="BG1" s="127">
        <v>73.900000000000006</v>
      </c>
      <c r="BH1" s="127">
        <v>79.302000000000007</v>
      </c>
      <c r="BI1" s="127">
        <v>71.215000000000003</v>
      </c>
      <c r="BJ1" s="127">
        <v>69.162000000000006</v>
      </c>
      <c r="BK1" s="127">
        <v>81.400000000000006</v>
      </c>
      <c r="BL1" s="127">
        <v>73.696513482172435</v>
      </c>
      <c r="BM1" s="127">
        <v>82.295560574202909</v>
      </c>
      <c r="BN1" s="127">
        <v>78.086476881859795</v>
      </c>
      <c r="BO1" s="127">
        <v>82.831999999999994</v>
      </c>
      <c r="BP1" s="127">
        <v>80.595511852062202</v>
      </c>
      <c r="BQ1" s="127">
        <v>63.642969918798407</v>
      </c>
      <c r="BR1" s="127">
        <v>74.607936554805264</v>
      </c>
      <c r="BS1" s="127">
        <v>68.531788472417276</v>
      </c>
      <c r="BT1" s="127">
        <v>66.308557944549975</v>
      </c>
      <c r="BU1" s="127">
        <v>67.682496309149215</v>
      </c>
      <c r="BV1" s="127">
        <v>67.948190916736735</v>
      </c>
      <c r="BW1" s="127">
        <v>71.523534622932431</v>
      </c>
      <c r="BX1" s="127">
        <v>62.561345668629095</v>
      </c>
      <c r="BY1" s="127">
        <v>68.790932716568534</v>
      </c>
      <c r="BZ1" s="127">
        <v>67.003546677880564</v>
      </c>
      <c r="CA1" s="127">
        <v>65.011805255843441</v>
      </c>
      <c r="CB1" s="127">
        <v>63.093201850294371</v>
      </c>
      <c r="CC1" s="127">
        <v>65.19920857863751</v>
      </c>
      <c r="CD1" s="127">
        <v>62.669687941228929</v>
      </c>
      <c r="CE1" s="127">
        <v>67.222709840201858</v>
      </c>
      <c r="CF1" s="127">
        <v>69.466366834875245</v>
      </c>
      <c r="CG1" s="127">
        <v>66.994417157275009</v>
      </c>
      <c r="CH1" s="127">
        <v>65.166422483880012</v>
      </c>
    </row>
    <row r="2" spans="1:96" ht="15" thickBot="1">
      <c r="AM2" s="344">
        <f>AM6-AM1</f>
        <v>0.93000000000000682</v>
      </c>
      <c r="AN2" s="344">
        <f>AN6-AN1</f>
        <v>1.3840000000000003</v>
      </c>
      <c r="AO2" s="344">
        <f t="shared" ref="AO2:BP2" si="0">AO6-AO1</f>
        <v>1</v>
      </c>
      <c r="AP2" s="344">
        <f t="shared" si="0"/>
        <v>0.99154329004329611</v>
      </c>
      <c r="AQ2" s="344">
        <f t="shared" si="0"/>
        <v>0</v>
      </c>
      <c r="AR2" s="344">
        <f t="shared" si="0"/>
        <v>0</v>
      </c>
      <c r="AS2" s="344">
        <f t="shared" si="0"/>
        <v>-0.9865476190475988</v>
      </c>
      <c r="AT2" s="344">
        <f t="shared" si="0"/>
        <v>0</v>
      </c>
      <c r="AU2" s="344">
        <f t="shared" si="0"/>
        <v>-1.6015519480519345</v>
      </c>
      <c r="AV2" s="344">
        <f t="shared" si="0"/>
        <v>0.78999999999999204</v>
      </c>
      <c r="AW2" s="344">
        <f t="shared" si="0"/>
        <v>0.70000000000000284</v>
      </c>
      <c r="AX2" s="344">
        <f t="shared" si="0"/>
        <v>0</v>
      </c>
      <c r="AY2" s="344">
        <f t="shared" si="0"/>
        <v>0</v>
      </c>
      <c r="AZ2" s="344">
        <f t="shared" si="0"/>
        <v>-5.7000000000000028</v>
      </c>
      <c r="BA2" s="344">
        <f t="shared" si="0"/>
        <v>0</v>
      </c>
      <c r="BB2" s="344">
        <f t="shared" si="0"/>
        <v>-13.286000000000001</v>
      </c>
      <c r="BC2" s="344">
        <f t="shared" si="0"/>
        <v>-3.1829999999999998</v>
      </c>
      <c r="BD2" s="344">
        <f>BD6-BD1</f>
        <v>2.0195454545454652</v>
      </c>
      <c r="BE2" s="344">
        <f>BE6-BE1</f>
        <v>3.5</v>
      </c>
      <c r="BF2" s="344">
        <f>BF6-BF1</f>
        <v>2.8710909090909098</v>
      </c>
      <c r="BG2" s="344">
        <f>BG6-BG1</f>
        <v>2.6999999999999886</v>
      </c>
      <c r="BH2" s="344">
        <f>BH6-BH1</f>
        <v>-1.2310000000000088</v>
      </c>
      <c r="BI2" s="344">
        <f t="shared" si="0"/>
        <v>0.86399999999999011</v>
      </c>
      <c r="BJ2" s="344">
        <f t="shared" si="0"/>
        <v>9.8379999999999939</v>
      </c>
      <c r="BK2" s="344">
        <f t="shared" si="0"/>
        <v>0.48458356309541273</v>
      </c>
      <c r="BL2" s="344">
        <f t="shared" si="0"/>
        <v>0.39782810199932328</v>
      </c>
      <c r="BM2" s="344">
        <f t="shared" si="0"/>
        <v>-0.34890938240690161</v>
      </c>
      <c r="BN2" s="344">
        <f t="shared" si="0"/>
        <v>-3.7664342467194984</v>
      </c>
      <c r="BO2" s="344">
        <f t="shared" si="0"/>
        <v>-2.1319999999999908</v>
      </c>
      <c r="BP2" s="344">
        <f t="shared" si="0"/>
        <v>0.14049196746650239</v>
      </c>
      <c r="BQ2" s="344">
        <f t="shared" ref="BQ2:BW2" si="1">BQ6-BQ1</f>
        <v>-1.9795518354610095</v>
      </c>
      <c r="BR2" s="344">
        <f>BR6-BR1</f>
        <v>-1.9379365548052618</v>
      </c>
      <c r="BS2" s="428">
        <f t="shared" si="1"/>
        <v>-0.27398131217510979</v>
      </c>
      <c r="BT2" s="428">
        <f t="shared" si="1"/>
        <v>0</v>
      </c>
      <c r="BU2" s="428">
        <f t="shared" si="1"/>
        <v>-0.12123322274435111</v>
      </c>
      <c r="BV2" s="428">
        <f t="shared" si="1"/>
        <v>0</v>
      </c>
      <c r="BW2" s="463">
        <f t="shared" si="1"/>
        <v>0</v>
      </c>
      <c r="BX2" s="463">
        <f t="shared" ref="BX2:BY2" si="2">BX6-BX1</f>
        <v>0</v>
      </c>
      <c r="BY2" s="527">
        <f t="shared" si="2"/>
        <v>0</v>
      </c>
      <c r="BZ2" s="527">
        <f t="shared" ref="BZ2:CA2" si="3">BZ6-BZ1</f>
        <v>0</v>
      </c>
      <c r="CA2" s="527">
        <f t="shared" si="3"/>
        <v>0</v>
      </c>
      <c r="CB2" s="527">
        <f t="shared" ref="CB2:CC2" si="4">CB6-CB1</f>
        <v>0</v>
      </c>
      <c r="CC2" s="637">
        <f t="shared" si="4"/>
        <v>0</v>
      </c>
      <c r="CD2" s="637">
        <f t="shared" ref="CD2:CE2" si="5">CD6-CD1</f>
        <v>0</v>
      </c>
      <c r="CE2" s="656">
        <f t="shared" si="5"/>
        <v>0</v>
      </c>
      <c r="CF2" s="656">
        <f t="shared" ref="CF2:CG2" si="6">CF6-CF1</f>
        <v>0</v>
      </c>
      <c r="CG2" s="656">
        <f t="shared" si="6"/>
        <v>0</v>
      </c>
      <c r="CH2" s="656">
        <f t="shared" ref="CH2" si="7">CH6-CH1</f>
        <v>0</v>
      </c>
    </row>
    <row r="3" spans="1:96" ht="15" thickBot="1">
      <c r="A3" s="812" t="s">
        <v>53</v>
      </c>
      <c r="B3" s="813"/>
      <c r="C3" s="128">
        <v>42370</v>
      </c>
      <c r="D3" s="129">
        <v>42401</v>
      </c>
      <c r="E3" s="128">
        <v>42430</v>
      </c>
      <c r="F3" s="129">
        <v>42461</v>
      </c>
      <c r="G3" s="128">
        <v>42491</v>
      </c>
      <c r="H3" s="129">
        <v>42522</v>
      </c>
      <c r="I3" s="130">
        <v>42552</v>
      </c>
      <c r="J3" s="129">
        <v>42583</v>
      </c>
      <c r="K3" s="129">
        <v>42614</v>
      </c>
      <c r="L3" s="131">
        <v>42644</v>
      </c>
      <c r="M3" s="132">
        <v>42675</v>
      </c>
      <c r="N3" s="129">
        <v>42705</v>
      </c>
      <c r="O3" s="133">
        <v>42736</v>
      </c>
      <c r="P3" s="133">
        <v>42767</v>
      </c>
      <c r="Q3" s="134">
        <v>42795</v>
      </c>
      <c r="R3" s="135">
        <v>42826</v>
      </c>
      <c r="S3" s="136">
        <v>42856</v>
      </c>
      <c r="T3" s="135">
        <v>42887</v>
      </c>
      <c r="U3" s="137">
        <v>42917</v>
      </c>
      <c r="V3" s="135">
        <v>42948</v>
      </c>
      <c r="W3" s="137">
        <v>42979</v>
      </c>
      <c r="X3" s="135">
        <v>43009</v>
      </c>
      <c r="Y3" s="137">
        <v>43040</v>
      </c>
      <c r="Z3" s="137">
        <v>43070</v>
      </c>
      <c r="AA3" s="137">
        <v>43101</v>
      </c>
      <c r="AB3" s="137">
        <v>43132</v>
      </c>
      <c r="AC3" s="137">
        <v>43160</v>
      </c>
      <c r="AD3" s="137">
        <v>43191</v>
      </c>
      <c r="AE3" s="137">
        <v>43221</v>
      </c>
      <c r="AF3" s="137">
        <v>43252</v>
      </c>
      <c r="AG3" s="137">
        <v>43282</v>
      </c>
      <c r="AH3" s="137">
        <v>43313</v>
      </c>
      <c r="AI3" s="137">
        <v>43344</v>
      </c>
      <c r="AJ3" s="137">
        <v>43374</v>
      </c>
      <c r="AK3" s="137">
        <v>43405</v>
      </c>
      <c r="AL3" s="137">
        <v>43435</v>
      </c>
      <c r="AM3" s="137">
        <v>43466</v>
      </c>
      <c r="AN3" s="137">
        <v>43497</v>
      </c>
      <c r="AO3" s="137">
        <v>43525</v>
      </c>
      <c r="AP3" s="137">
        <v>43556</v>
      </c>
      <c r="AQ3" s="137">
        <v>43586</v>
      </c>
      <c r="AR3" s="137">
        <v>43617</v>
      </c>
      <c r="AS3" s="137">
        <v>43647</v>
      </c>
      <c r="AT3" s="137">
        <v>43678</v>
      </c>
      <c r="AU3" s="137">
        <v>43709</v>
      </c>
      <c r="AV3" s="137">
        <v>43739</v>
      </c>
      <c r="AW3" s="137">
        <v>43770</v>
      </c>
      <c r="AX3" s="137">
        <v>43800</v>
      </c>
      <c r="AY3" s="137">
        <v>43831</v>
      </c>
      <c r="AZ3" s="137">
        <v>43862</v>
      </c>
      <c r="BA3" s="137">
        <v>43891</v>
      </c>
      <c r="BB3" s="138">
        <v>43922</v>
      </c>
      <c r="BC3" s="353">
        <v>43952</v>
      </c>
      <c r="BD3" s="353">
        <v>43983</v>
      </c>
      <c r="BE3" s="138">
        <v>44013</v>
      </c>
      <c r="BF3" s="138">
        <v>44044</v>
      </c>
      <c r="BG3" s="138">
        <v>44075</v>
      </c>
      <c r="BH3" s="138">
        <v>44105</v>
      </c>
      <c r="BI3" s="138">
        <v>44136</v>
      </c>
      <c r="BJ3" s="138">
        <v>44166</v>
      </c>
      <c r="BK3" s="138">
        <v>44197</v>
      </c>
      <c r="BL3" s="138">
        <v>44228</v>
      </c>
      <c r="BM3" s="138">
        <v>44256</v>
      </c>
      <c r="BN3" s="138">
        <v>44287</v>
      </c>
      <c r="BO3" s="138">
        <v>44317</v>
      </c>
      <c r="BP3" s="138">
        <v>44348</v>
      </c>
      <c r="BQ3" s="138">
        <v>44378</v>
      </c>
      <c r="BR3" s="138">
        <v>44409</v>
      </c>
      <c r="BS3" s="138">
        <v>44440</v>
      </c>
      <c r="BT3" s="676">
        <v>44470</v>
      </c>
      <c r="BU3" s="676">
        <v>44501</v>
      </c>
      <c r="BV3" s="676">
        <v>44531</v>
      </c>
      <c r="BW3" s="676">
        <v>44562</v>
      </c>
      <c r="BX3" s="676">
        <v>44593</v>
      </c>
      <c r="BY3" s="676">
        <v>44621</v>
      </c>
      <c r="BZ3" s="676">
        <v>44652</v>
      </c>
      <c r="CA3" s="676">
        <v>44682</v>
      </c>
      <c r="CB3" s="676">
        <v>44713</v>
      </c>
      <c r="CC3" s="676">
        <v>44743</v>
      </c>
      <c r="CD3" s="676">
        <v>44774</v>
      </c>
      <c r="CE3" s="676">
        <v>44805</v>
      </c>
      <c r="CF3" s="676">
        <v>44835</v>
      </c>
      <c r="CG3" s="676">
        <v>44866</v>
      </c>
      <c r="CH3" s="676">
        <v>44896</v>
      </c>
    </row>
    <row r="4" spans="1:96">
      <c r="A4" s="139"/>
      <c r="B4" s="139"/>
      <c r="C4" s="140"/>
      <c r="D4" s="140"/>
      <c r="E4" s="140"/>
      <c r="F4" s="140"/>
      <c r="G4" s="140"/>
      <c r="H4" s="141"/>
      <c r="I4" s="141"/>
      <c r="J4" s="141"/>
      <c r="K4" s="141"/>
      <c r="L4" s="141"/>
      <c r="M4" s="141"/>
      <c r="N4" s="141"/>
      <c r="O4" s="141">
        <v>31</v>
      </c>
      <c r="P4" s="141">
        <v>28</v>
      </c>
      <c r="Q4" s="141">
        <v>31</v>
      </c>
      <c r="R4" s="142">
        <v>30</v>
      </c>
      <c r="S4" s="142">
        <v>31</v>
      </c>
      <c r="T4" s="142">
        <v>30</v>
      </c>
      <c r="U4" s="142">
        <v>31</v>
      </c>
      <c r="V4" s="142">
        <v>31</v>
      </c>
      <c r="W4" s="142">
        <v>30</v>
      </c>
      <c r="X4" s="142">
        <v>31</v>
      </c>
      <c r="Y4" s="142">
        <v>30</v>
      </c>
      <c r="Z4" s="142">
        <v>31</v>
      </c>
      <c r="AA4" s="142">
        <v>31</v>
      </c>
      <c r="AB4" s="142">
        <v>28</v>
      </c>
      <c r="AC4" s="143">
        <v>31</v>
      </c>
      <c r="AD4" s="143">
        <v>30</v>
      </c>
      <c r="AE4" s="143">
        <v>31</v>
      </c>
      <c r="AF4" s="143">
        <v>30</v>
      </c>
      <c r="AG4" s="143">
        <v>31</v>
      </c>
      <c r="AH4" s="143">
        <v>31</v>
      </c>
      <c r="AI4" s="143">
        <v>30</v>
      </c>
      <c r="AJ4" s="143">
        <v>31</v>
      </c>
      <c r="AK4" s="143">
        <v>30</v>
      </c>
      <c r="AL4" s="143">
        <v>31</v>
      </c>
      <c r="AM4" s="143">
        <v>31</v>
      </c>
      <c r="AN4" s="143">
        <v>28</v>
      </c>
      <c r="AO4" s="143">
        <v>31</v>
      </c>
      <c r="AP4" s="143">
        <v>30</v>
      </c>
      <c r="AQ4" s="143">
        <v>31</v>
      </c>
      <c r="AR4" s="143">
        <v>30</v>
      </c>
      <c r="AS4" s="143">
        <v>31</v>
      </c>
      <c r="AT4" s="143">
        <v>31</v>
      </c>
      <c r="AU4" s="143">
        <v>30</v>
      </c>
      <c r="AV4" s="143">
        <v>31</v>
      </c>
      <c r="AW4" s="143">
        <v>30</v>
      </c>
      <c r="AX4" s="143">
        <v>31</v>
      </c>
      <c r="AY4" s="143">
        <v>31</v>
      </c>
      <c r="AZ4" s="143">
        <v>29</v>
      </c>
      <c r="BA4" s="143">
        <v>31</v>
      </c>
      <c r="BB4" s="143">
        <v>30</v>
      </c>
      <c r="BC4" s="143">
        <v>31</v>
      </c>
      <c r="BD4" s="143">
        <v>30</v>
      </c>
      <c r="BE4" s="143">
        <v>31</v>
      </c>
      <c r="BF4" s="143">
        <v>31</v>
      </c>
      <c r="BG4" s="143">
        <v>30</v>
      </c>
      <c r="BH4" s="143">
        <v>31</v>
      </c>
      <c r="BI4" s="143">
        <v>30</v>
      </c>
      <c r="BJ4" s="143">
        <v>31</v>
      </c>
      <c r="BK4" s="143">
        <v>31</v>
      </c>
      <c r="BL4" s="532">
        <v>28</v>
      </c>
      <c r="BM4" s="532">
        <v>31</v>
      </c>
      <c r="BN4" s="532">
        <v>30</v>
      </c>
      <c r="BO4" s="532">
        <v>31</v>
      </c>
      <c r="BP4" s="532">
        <v>30</v>
      </c>
      <c r="BQ4" s="532">
        <v>31</v>
      </c>
      <c r="BR4" s="532">
        <v>31</v>
      </c>
      <c r="BS4" s="532">
        <v>30</v>
      </c>
      <c r="BT4" s="532">
        <v>31</v>
      </c>
      <c r="BU4" s="532">
        <v>30</v>
      </c>
      <c r="BV4" s="532">
        <v>31</v>
      </c>
      <c r="BW4" s="532">
        <v>31</v>
      </c>
      <c r="BX4" s="532">
        <v>28</v>
      </c>
      <c r="BY4" s="532">
        <v>31</v>
      </c>
      <c r="BZ4" s="532">
        <v>30</v>
      </c>
      <c r="CA4" s="532">
        <v>31</v>
      </c>
      <c r="CB4" s="532">
        <v>30</v>
      </c>
      <c r="CC4" s="532">
        <v>31</v>
      </c>
      <c r="CD4" s="532">
        <v>31</v>
      </c>
      <c r="CE4" s="532">
        <v>30</v>
      </c>
      <c r="CF4" s="532">
        <v>31</v>
      </c>
      <c r="CG4" s="532">
        <v>30</v>
      </c>
      <c r="CH4" s="532">
        <v>31</v>
      </c>
      <c r="CI4" s="147"/>
      <c r="CJ4" s="452" t="s">
        <v>54</v>
      </c>
      <c r="CK4" s="453" t="s">
        <v>43</v>
      </c>
      <c r="CL4" s="452" t="s">
        <v>54</v>
      </c>
      <c r="CM4" s="453" t="s">
        <v>43</v>
      </c>
      <c r="CN4" s="452" t="s">
        <v>54</v>
      </c>
      <c r="CO4" s="453" t="s">
        <v>43</v>
      </c>
    </row>
    <row r="5" spans="1:96" ht="15" thickBot="1">
      <c r="A5" s="139"/>
      <c r="B5" s="139"/>
      <c r="C5" s="140"/>
      <c r="D5" s="140"/>
      <c r="E5" s="140"/>
      <c r="F5" s="140"/>
      <c r="G5" s="140"/>
      <c r="H5" s="141"/>
      <c r="I5" s="141"/>
      <c r="J5" s="141"/>
      <c r="K5" s="141"/>
      <c r="L5" s="141"/>
      <c r="M5" s="141"/>
      <c r="N5" s="141"/>
      <c r="O5" s="141"/>
      <c r="P5" s="141"/>
      <c r="Q5" s="144">
        <v>87.28</v>
      </c>
      <c r="R5" s="144">
        <v>80.59</v>
      </c>
      <c r="S5" s="144"/>
      <c r="T5" s="144"/>
      <c r="U5" s="144"/>
      <c r="V5" s="145"/>
      <c r="W5" s="144"/>
      <c r="X5" s="144"/>
      <c r="Y5" s="144"/>
      <c r="Z5" s="144"/>
      <c r="AA5" s="144"/>
      <c r="AB5" s="144"/>
      <c r="AC5" s="146"/>
      <c r="AD5" s="146"/>
      <c r="AE5" s="146"/>
      <c r="AF5" s="146"/>
      <c r="AG5" s="146"/>
      <c r="AH5" s="146"/>
      <c r="AI5" s="146"/>
      <c r="AJ5" s="146"/>
      <c r="AK5" s="146"/>
      <c r="AL5" s="146"/>
      <c r="AM5" s="146"/>
      <c r="AN5" s="146"/>
      <c r="AO5" s="146"/>
      <c r="AP5" s="146"/>
      <c r="AQ5" s="146"/>
      <c r="AR5" s="146"/>
      <c r="AS5" s="146"/>
      <c r="AT5" s="146"/>
      <c r="AU5" s="146"/>
      <c r="AV5" s="146"/>
      <c r="AW5" s="146"/>
      <c r="AX5" s="146"/>
      <c r="AY5" s="146"/>
      <c r="AZ5" s="146"/>
      <c r="BA5" s="146"/>
      <c r="BB5" s="146"/>
      <c r="BC5" s="146"/>
      <c r="BD5" s="146"/>
      <c r="BE5" s="146"/>
      <c r="BF5" s="146"/>
      <c r="BG5" s="146"/>
      <c r="BH5" s="146"/>
      <c r="BI5" s="146"/>
      <c r="BJ5" s="146"/>
      <c r="BK5" s="146"/>
      <c r="BL5" s="146"/>
      <c r="BM5" s="146"/>
      <c r="BN5" s="146"/>
      <c r="BO5" s="146"/>
      <c r="BP5" s="146"/>
      <c r="BQ5" s="146"/>
      <c r="BR5" s="146"/>
      <c r="BS5" s="146"/>
      <c r="BT5" s="146"/>
      <c r="BU5" s="146"/>
      <c r="BV5" s="146"/>
      <c r="BW5" s="146"/>
      <c r="BX5" s="146"/>
      <c r="BY5" s="146"/>
      <c r="BZ5" s="146"/>
      <c r="CA5" s="146"/>
      <c r="CB5" s="146"/>
      <c r="CC5" s="146"/>
      <c r="CD5" s="146"/>
      <c r="CE5" s="146"/>
      <c r="CF5" s="146"/>
      <c r="CG5" s="146"/>
      <c r="CH5" s="146"/>
      <c r="CI5" s="147"/>
      <c r="CJ5" s="733">
        <v>2020</v>
      </c>
      <c r="CK5" s="734">
        <v>2020</v>
      </c>
      <c r="CL5" s="733">
        <v>2021</v>
      </c>
      <c r="CM5" s="734">
        <v>2021</v>
      </c>
      <c r="CN5" s="733">
        <v>2022</v>
      </c>
      <c r="CO5" s="734">
        <v>2022</v>
      </c>
    </row>
    <row r="6" spans="1:96" s="147" customFormat="1" ht="15" thickBot="1">
      <c r="A6" s="148" t="s">
        <v>55</v>
      </c>
      <c r="B6" s="423" t="s">
        <v>256</v>
      </c>
      <c r="C6" s="149"/>
      <c r="D6" s="150">
        <v>81.403073829000007</v>
      </c>
      <c r="E6" s="150">
        <v>82.923235591999997</v>
      </c>
      <c r="F6" s="150">
        <v>88.145956060999993</v>
      </c>
      <c r="G6" s="150">
        <v>86.867129508999994</v>
      </c>
      <c r="H6" s="150">
        <v>85.79563047900001</v>
      </c>
      <c r="I6" s="150">
        <v>90.18</v>
      </c>
      <c r="J6" s="151">
        <v>86.242000000000004</v>
      </c>
      <c r="K6" s="150">
        <v>87.343999999999994</v>
      </c>
      <c r="L6" s="150">
        <v>91.8</v>
      </c>
      <c r="M6" s="152">
        <v>87.174999999999997</v>
      </c>
      <c r="N6" s="150">
        <v>88.4</v>
      </c>
      <c r="O6" s="152">
        <v>87.058000000000007</v>
      </c>
      <c r="P6" s="150">
        <v>80.992999999999995</v>
      </c>
      <c r="Q6" s="150">
        <v>90.6</v>
      </c>
      <c r="R6" s="153">
        <v>76.8</v>
      </c>
      <c r="S6" s="154">
        <v>86.93</v>
      </c>
      <c r="T6" s="155">
        <v>79.861000000000004</v>
      </c>
      <c r="U6" s="156">
        <v>76.353999999999999</v>
      </c>
      <c r="V6" s="156">
        <v>82.415999999999997</v>
      </c>
      <c r="W6" s="156">
        <v>77.09</v>
      </c>
      <c r="X6" s="156">
        <f>88.073</f>
        <v>88.072999999999993</v>
      </c>
      <c r="Y6" s="156">
        <v>90.5</v>
      </c>
      <c r="Z6" s="156">
        <v>89.215999999999994</v>
      </c>
      <c r="AA6" s="156">
        <v>86.5</v>
      </c>
      <c r="AB6" s="156">
        <v>75.268000000000001</v>
      </c>
      <c r="AC6" s="156">
        <v>82</v>
      </c>
      <c r="AD6" s="156">
        <v>77.295000000000002</v>
      </c>
      <c r="AE6" s="156">
        <v>82.748999999999995</v>
      </c>
      <c r="AF6" s="156">
        <v>81.87</v>
      </c>
      <c r="AG6" s="156">
        <v>80.123000000000005</v>
      </c>
      <c r="AH6" s="156">
        <v>82.5</v>
      </c>
      <c r="AI6" s="157">
        <v>72.971090909090918</v>
      </c>
      <c r="AJ6" s="156">
        <v>82.519000000000005</v>
      </c>
      <c r="AK6" s="156">
        <v>78.2</v>
      </c>
      <c r="AL6" s="156">
        <v>79.95</v>
      </c>
      <c r="AM6" s="156">
        <v>69.930000000000007</v>
      </c>
      <c r="AN6" s="156">
        <v>70.343999999999994</v>
      </c>
      <c r="AO6" s="156">
        <v>84</v>
      </c>
      <c r="AP6" s="156">
        <v>81</v>
      </c>
      <c r="AQ6" s="156">
        <v>80.637</v>
      </c>
      <c r="AR6" s="156">
        <v>78</v>
      </c>
      <c r="AS6" s="156">
        <v>84.4</v>
      </c>
      <c r="AT6" s="156">
        <v>83.894000000000005</v>
      </c>
      <c r="AU6" s="156">
        <v>80.683999999999997</v>
      </c>
      <c r="AV6" s="156">
        <v>81.3</v>
      </c>
      <c r="AW6" s="156">
        <v>83</v>
      </c>
      <c r="AX6" s="156">
        <v>85.6</v>
      </c>
      <c r="AY6" s="156">
        <v>80.5</v>
      </c>
      <c r="AZ6" s="156">
        <v>69.8</v>
      </c>
      <c r="BA6" s="253">
        <v>80.8</v>
      </c>
      <c r="BB6" s="347">
        <v>64.5</v>
      </c>
      <c r="BC6" s="254">
        <v>57.164000000000001</v>
      </c>
      <c r="BD6" s="254">
        <v>61.2</v>
      </c>
      <c r="BE6" s="420">
        <v>66.2</v>
      </c>
      <c r="BF6" s="424">
        <v>74.459000000000003</v>
      </c>
      <c r="BG6" s="424">
        <v>76.599999999999994</v>
      </c>
      <c r="BH6" s="424">
        <v>78.070999999999998</v>
      </c>
      <c r="BI6" s="424">
        <v>72.078999999999994</v>
      </c>
      <c r="BJ6" s="424">
        <v>79</v>
      </c>
      <c r="BK6" s="424">
        <v>81.884583563095418</v>
      </c>
      <c r="BL6" s="424">
        <v>74.094341584171758</v>
      </c>
      <c r="BM6" s="424">
        <v>81.946651191796008</v>
      </c>
      <c r="BN6" s="424">
        <f>77.8200426351403-2-1.5</f>
        <v>74.320042635140297</v>
      </c>
      <c r="BO6" s="424">
        <v>80.7</v>
      </c>
      <c r="BP6" s="424">
        <v>80.736003819528705</v>
      </c>
      <c r="BQ6" s="424">
        <v>61.663418083337397</v>
      </c>
      <c r="BR6" s="662">
        <v>72.67</v>
      </c>
      <c r="BS6" s="424">
        <v>68.257807160242166</v>
      </c>
      <c r="BT6" s="424">
        <v>66.308557944549975</v>
      </c>
      <c r="BU6" s="424">
        <v>67.561263086404864</v>
      </c>
      <c r="BV6" s="424">
        <v>67.948190916736735</v>
      </c>
      <c r="BW6" s="424">
        <v>71.523534622932431</v>
      </c>
      <c r="BX6" s="424">
        <v>62.561345668629095</v>
      </c>
      <c r="BY6" s="424">
        <v>68.790932716568534</v>
      </c>
      <c r="BZ6" s="424">
        <v>67.003546677880564</v>
      </c>
      <c r="CA6" s="424">
        <v>65.011805255843441</v>
      </c>
      <c r="CB6" s="424">
        <v>63.093201850294371</v>
      </c>
      <c r="CC6" s="424">
        <v>65.19920857863751</v>
      </c>
      <c r="CD6" s="424">
        <v>62.669687941228929</v>
      </c>
      <c r="CE6" s="424">
        <v>67.222709840201858</v>
      </c>
      <c r="CF6" s="424">
        <v>69.466366834875245</v>
      </c>
      <c r="CG6" s="424">
        <v>66.994417157275009</v>
      </c>
      <c r="CH6" s="424">
        <v>65.166422483880012</v>
      </c>
      <c r="CJ6" s="735">
        <f>SUM(AY6:BJ6)</f>
        <v>860.37300000000005</v>
      </c>
      <c r="CK6" s="736">
        <f>CJ6*0.648</f>
        <v>557.521704</v>
      </c>
      <c r="CL6" s="735">
        <f>SUM(BK6:BV6)</f>
        <v>878.09085998500325</v>
      </c>
      <c r="CM6" s="736">
        <f>CL6*0.648</f>
        <v>569.00287727028217</v>
      </c>
      <c r="CN6" s="737">
        <f>SUM(BW6:CH6)</f>
        <v>794.70317962824697</v>
      </c>
      <c r="CO6" s="738">
        <f>CN6*0.648</f>
        <v>514.96766039910403</v>
      </c>
      <c r="CP6" s="756"/>
      <c r="CQ6" s="757"/>
    </row>
    <row r="7" spans="1:96" s="147" customFormat="1">
      <c r="A7" s="814" t="s">
        <v>56</v>
      </c>
      <c r="B7" s="417" t="s">
        <v>57</v>
      </c>
      <c r="C7" s="158">
        <v>53.985610000000001</v>
      </c>
      <c r="D7" s="159">
        <v>45.941310999999999</v>
      </c>
      <c r="E7" s="159">
        <v>46.670610000000003</v>
      </c>
      <c r="F7" s="159">
        <v>49.345337000000001</v>
      </c>
      <c r="G7" s="159">
        <v>50.110622999999997</v>
      </c>
      <c r="H7" s="159">
        <v>50.597169999999998</v>
      </c>
      <c r="I7" s="160">
        <v>52.5</v>
      </c>
      <c r="J7" s="161">
        <v>52.5</v>
      </c>
      <c r="K7" s="160">
        <v>52.5</v>
      </c>
      <c r="L7" s="160">
        <v>55</v>
      </c>
      <c r="M7" s="162">
        <v>58</v>
      </c>
      <c r="N7" s="160">
        <v>55.648000000000003</v>
      </c>
      <c r="O7" s="160">
        <v>31</v>
      </c>
      <c r="P7" s="160">
        <v>28.548999999999999</v>
      </c>
      <c r="Q7" s="161">
        <v>30</v>
      </c>
      <c r="R7" s="161">
        <v>26.234000000000002</v>
      </c>
      <c r="S7" s="161">
        <v>21.6</v>
      </c>
      <c r="T7" s="161">
        <v>4.5999999999999996</v>
      </c>
      <c r="U7" s="161">
        <v>23</v>
      </c>
      <c r="V7" s="161">
        <v>25</v>
      </c>
      <c r="W7" s="161">
        <v>21.5</v>
      </c>
      <c r="X7" s="161">
        <f>27.8+3.4</f>
        <v>31.2</v>
      </c>
      <c r="Y7" s="161">
        <v>34</v>
      </c>
      <c r="Z7" s="161">
        <f>33.179+2</f>
        <v>35.179000000000002</v>
      </c>
      <c r="AA7" s="163">
        <f>1000*AA4/1000</f>
        <v>31</v>
      </c>
      <c r="AB7" s="164">
        <f>1050*AB4/1000</f>
        <v>29.4</v>
      </c>
      <c r="AC7" s="164">
        <v>23.6</v>
      </c>
      <c r="AD7" s="164">
        <v>27.78</v>
      </c>
      <c r="AE7" s="164">
        <v>23</v>
      </c>
      <c r="AF7" s="164">
        <v>28.56</v>
      </c>
      <c r="AG7" s="164">
        <v>27.32</v>
      </c>
      <c r="AH7" s="164">
        <v>22.5</v>
      </c>
      <c r="AI7" s="165">
        <v>15</v>
      </c>
      <c r="AJ7" s="164">
        <v>23.8</v>
      </c>
      <c r="AK7" s="164">
        <f>23/0.648</f>
        <v>35.493827160493829</v>
      </c>
      <c r="AL7" s="164">
        <f>19.5/0.648</f>
        <v>30.092592592592592</v>
      </c>
      <c r="AM7" s="164">
        <f>12/0.648</f>
        <v>18.518518518518519</v>
      </c>
      <c r="AN7" s="164">
        <f>15/0.648</f>
        <v>23.148148148148149</v>
      </c>
      <c r="AO7" s="164">
        <f>21/0.648</f>
        <v>32.407407407407405</v>
      </c>
      <c r="AP7" s="164">
        <f>21/0.648</f>
        <v>32.407407407407405</v>
      </c>
      <c r="AQ7" s="164">
        <f>17/0.648</f>
        <v>26.234567901234566</v>
      </c>
      <c r="AR7" s="164">
        <f>19/0.648</f>
        <v>29.320987654320987</v>
      </c>
      <c r="AS7" s="164">
        <f>18.5/0.648</f>
        <v>28.549382716049383</v>
      </c>
      <c r="AT7" s="164">
        <f>20/0.648</f>
        <v>30.864197530864196</v>
      </c>
      <c r="AU7" s="164">
        <f>19/0.648</f>
        <v>29.320987654320987</v>
      </c>
      <c r="AV7" s="164">
        <f>18/0.648</f>
        <v>27.777777777777779</v>
      </c>
      <c r="AW7" s="164">
        <f>17.5/0.648</f>
        <v>27.006172839506171</v>
      </c>
      <c r="AX7" s="164">
        <v>32.407407407407398</v>
      </c>
      <c r="AY7" s="164">
        <f>(15+3+1)/0.648</f>
        <v>29.320987654320987</v>
      </c>
      <c r="AZ7" s="164">
        <f>5.8/0.648</f>
        <v>8.9506172839506171</v>
      </c>
      <c r="BA7" s="171">
        <f>(22.5+2.7)/0.648</f>
        <v>38.888888888888886</v>
      </c>
      <c r="BB7" s="171">
        <f>15/0.648</f>
        <v>23.148148148148149</v>
      </c>
      <c r="BC7" s="171">
        <f>9/0.648</f>
        <v>13.888888888888889</v>
      </c>
      <c r="BD7" s="171">
        <f>5/0.648</f>
        <v>7.716049382716049</v>
      </c>
      <c r="BE7" s="171">
        <f>5/0.648</f>
        <v>7.716049382716049</v>
      </c>
      <c r="BF7" s="171">
        <f>15/0.648</f>
        <v>23.148148148148149</v>
      </c>
      <c r="BG7" s="171">
        <f>23/0.648</f>
        <v>35.493827160493829</v>
      </c>
      <c r="BH7" s="171">
        <f>25.5/0.648</f>
        <v>39.351851851851848</v>
      </c>
      <c r="BI7" s="171">
        <f>(21.5-1.5)/0.648</f>
        <v>30.864197530864196</v>
      </c>
      <c r="BJ7" s="171">
        <f>22/0.648</f>
        <v>33.950617283950614</v>
      </c>
      <c r="BK7" s="171">
        <f>24.5/0.648</f>
        <v>37.808641975308639</v>
      </c>
      <c r="BL7" s="171">
        <f>(23+1.5)/0.648</f>
        <v>37.808641975308639</v>
      </c>
      <c r="BM7" s="171">
        <f>26/0.648</f>
        <v>40.123456790123456</v>
      </c>
      <c r="BN7" s="171">
        <f>(19)/0.648</f>
        <v>29.320987654320987</v>
      </c>
      <c r="BO7" s="171">
        <f>(26/0.648)</f>
        <v>40.123456790123456</v>
      </c>
      <c r="BP7" s="171">
        <f>22/0.648</f>
        <v>33.950617283950614</v>
      </c>
      <c r="BQ7" s="171">
        <f>19/0.648-(1/0.648)</f>
        <v>27.777777777777779</v>
      </c>
      <c r="BR7" s="658">
        <f>(22/0.648)-(0.8/0.648)-(1/0.648)-(0.5/0.648)</f>
        <v>30.401234567901231</v>
      </c>
      <c r="BS7" s="658">
        <f>17.5/0.648-(1/0.648)</f>
        <v>25.462962962962962</v>
      </c>
      <c r="BT7" s="658">
        <f>(16.5/0.648)+(0.5/0.648)-(5/0.648)</f>
        <v>18.518518518518519</v>
      </c>
      <c r="BU7" s="171">
        <f>16/0.648</f>
        <v>24.691358024691358</v>
      </c>
      <c r="BV7" s="785">
        <f>16/0.648</f>
        <v>24.691358024691358</v>
      </c>
      <c r="BW7" s="172">
        <f>23/0.648</f>
        <v>35.493827160493829</v>
      </c>
      <c r="BX7" s="172">
        <f>20/0.648</f>
        <v>30.864197530864196</v>
      </c>
      <c r="BY7" s="172">
        <f>22/0.648</f>
        <v>33.950617283950614</v>
      </c>
      <c r="BZ7" s="172">
        <f t="shared" ref="BZ7" si="8">22/0.648</f>
        <v>33.950617283950614</v>
      </c>
      <c r="CA7" s="172">
        <f>20/0.648</f>
        <v>30.864197530864196</v>
      </c>
      <c r="CB7" s="172">
        <f>19/0.648</f>
        <v>29.320987654320987</v>
      </c>
      <c r="CC7" s="172">
        <f t="shared" ref="CC7:CH7" si="9">20/0.648</f>
        <v>30.864197530864196</v>
      </c>
      <c r="CD7" s="172">
        <f>19/0.648</f>
        <v>29.320987654320987</v>
      </c>
      <c r="CE7" s="172">
        <f>21/0.648</f>
        <v>32.407407407407405</v>
      </c>
      <c r="CF7" s="172">
        <f>23/0.648</f>
        <v>35.493827160493829</v>
      </c>
      <c r="CG7" s="172">
        <f>22/0.648</f>
        <v>33.950617283950614</v>
      </c>
      <c r="CH7" s="172">
        <f t="shared" si="9"/>
        <v>30.864197530864196</v>
      </c>
      <c r="CJ7" s="735">
        <f>SUM(AY7:BJ7)</f>
        <v>292.43827160493828</v>
      </c>
      <c r="CK7" s="736">
        <f>CJ7*0.648</f>
        <v>189.5</v>
      </c>
      <c r="CL7" s="735">
        <f>SUM(BK7:BV7)</f>
        <v>370.67901234567893</v>
      </c>
      <c r="CM7" s="736">
        <f>CL7*0.648</f>
        <v>240.19999999999996</v>
      </c>
      <c r="CN7" s="737">
        <f>SUM(BW7:CH7)</f>
        <v>387.34567901234567</v>
      </c>
      <c r="CO7" s="738">
        <f>CN7*0.648</f>
        <v>251</v>
      </c>
      <c r="CR7" s="457"/>
    </row>
    <row r="8" spans="1:96" s="147" customFormat="1" ht="15" thickBot="1">
      <c r="A8" s="815"/>
      <c r="B8" s="418" t="s">
        <v>213</v>
      </c>
      <c r="C8" s="166">
        <v>30.989631000000003</v>
      </c>
      <c r="D8" s="167">
        <v>29.898712</v>
      </c>
      <c r="E8" s="167">
        <v>32.193482000000003</v>
      </c>
      <c r="F8" s="167">
        <v>31.362504000000001</v>
      </c>
      <c r="G8" s="167">
        <v>31.123810000000002</v>
      </c>
      <c r="H8" s="167">
        <v>33.331128</v>
      </c>
      <c r="I8" s="168">
        <v>32</v>
      </c>
      <c r="J8" s="169">
        <v>33</v>
      </c>
      <c r="K8" s="168">
        <v>30</v>
      </c>
      <c r="L8" s="168">
        <v>30</v>
      </c>
      <c r="M8" s="170">
        <v>25</v>
      </c>
      <c r="N8" s="168">
        <v>29.111000000000001</v>
      </c>
      <c r="O8" s="168">
        <v>50</v>
      </c>
      <c r="P8" s="168">
        <v>53</v>
      </c>
      <c r="Q8" s="168">
        <f>53+0.8</f>
        <v>53.8</v>
      </c>
      <c r="R8" s="168">
        <v>53</v>
      </c>
      <c r="S8" s="168">
        <v>58</v>
      </c>
      <c r="T8" s="168">
        <v>56</v>
      </c>
      <c r="U8" s="168">
        <v>56</v>
      </c>
      <c r="V8" s="168">
        <v>55</v>
      </c>
      <c r="W8" s="168">
        <v>54</v>
      </c>
      <c r="X8" s="168">
        <v>58</v>
      </c>
      <c r="Y8" s="168">
        <v>56</v>
      </c>
      <c r="Z8" s="168">
        <v>55</v>
      </c>
      <c r="AA8" s="171">
        <f>48/0.648*AA4*24/1000</f>
        <v>55.111111111111114</v>
      </c>
      <c r="AB8" s="171">
        <f t="shared" ref="AB8:AG8" si="10">48/0.648*AB4*24/1000</f>
        <v>49.777777777777771</v>
      </c>
      <c r="AC8" s="171">
        <f t="shared" si="10"/>
        <v>55.111111111111114</v>
      </c>
      <c r="AD8" s="171">
        <f t="shared" si="10"/>
        <v>53.333333333333329</v>
      </c>
      <c r="AE8" s="171">
        <f t="shared" si="10"/>
        <v>55.111111111111114</v>
      </c>
      <c r="AF8" s="171">
        <f t="shared" si="10"/>
        <v>53.333333333333329</v>
      </c>
      <c r="AG8" s="171">
        <f t="shared" si="10"/>
        <v>55.111111111111114</v>
      </c>
      <c r="AH8" s="171">
        <f>48/0.648*AH4*24/1000</f>
        <v>55.111111111111114</v>
      </c>
      <c r="AI8" s="171">
        <v>46.9</v>
      </c>
      <c r="AJ8" s="171">
        <v>45</v>
      </c>
      <c r="AK8" s="171">
        <v>40</v>
      </c>
      <c r="AL8" s="171">
        <f>48/0.648*AL4*24/1000</f>
        <v>55.111111111111114</v>
      </c>
      <c r="AM8" s="171">
        <f>52-7</f>
        <v>45</v>
      </c>
      <c r="AN8" s="171">
        <v>48</v>
      </c>
      <c r="AO8" s="171">
        <v>55</v>
      </c>
      <c r="AP8" s="171">
        <v>53</v>
      </c>
      <c r="AQ8" s="171">
        <v>55</v>
      </c>
      <c r="AR8" s="171">
        <v>53</v>
      </c>
      <c r="AS8" s="171">
        <v>55</v>
      </c>
      <c r="AT8" s="171">
        <v>55</v>
      </c>
      <c r="AU8" s="171">
        <v>51.5</v>
      </c>
      <c r="AV8" s="171">
        <f>48*AV4/0.648/1000*24</f>
        <v>55.111111111111114</v>
      </c>
      <c r="AW8" s="171">
        <f>48*AW4/0.648/1000*24</f>
        <v>53.333333333333336</v>
      </c>
      <c r="AX8" s="171">
        <v>55</v>
      </c>
      <c r="AY8" s="171">
        <f>53+2</f>
        <v>55</v>
      </c>
      <c r="AZ8" s="171">
        <f>48/0.648*AZ4*24/1000</f>
        <v>51.555555555555564</v>
      </c>
      <c r="BA8" s="171">
        <v>43.6</v>
      </c>
      <c r="BB8" s="171">
        <v>42.2</v>
      </c>
      <c r="BC8" s="171">
        <v>42.2</v>
      </c>
      <c r="BD8" s="171">
        <f>48/0.648*BD4*24/1000</f>
        <v>53.333333333333329</v>
      </c>
      <c r="BE8" s="171">
        <v>58.857999999999997</v>
      </c>
      <c r="BF8" s="171">
        <f>48/0.648*BF4*24/1000</f>
        <v>55.111111111111114</v>
      </c>
      <c r="BG8" s="171">
        <f>38/0.648*BG4*24/1000</f>
        <v>42.222222222222221</v>
      </c>
      <c r="BH8" s="171">
        <f>38/0.648*BH4*24/1000</f>
        <v>43.629629629629626</v>
      </c>
      <c r="BI8" s="171">
        <f>(38/0.648*BI4*24/1000)-2.22</f>
        <v>40.002222222222223</v>
      </c>
      <c r="BJ8" s="171">
        <f>(38/0.648*BJ4*24/1000)-3.03+2</f>
        <v>42.599629629629625</v>
      </c>
      <c r="BK8" s="171">
        <v>45</v>
      </c>
      <c r="BL8" s="171">
        <v>39</v>
      </c>
      <c r="BM8" s="171">
        <f>38/0.648*BM4*24/1000</f>
        <v>43.629629629629626</v>
      </c>
      <c r="BN8" s="171">
        <v>43.7</v>
      </c>
      <c r="BO8" s="171">
        <f t="shared" ref="BO8:BP8" si="11">38/0.648*BO4*24/1000</f>
        <v>43.629629629629626</v>
      </c>
      <c r="BP8" s="171">
        <f t="shared" si="11"/>
        <v>42.222222222222221</v>
      </c>
      <c r="BQ8" s="171">
        <f>33+3.5+1.5</f>
        <v>38</v>
      </c>
      <c r="BR8" s="659">
        <f>45.95-1.55-0.9-2</f>
        <v>41.500000000000007</v>
      </c>
      <c r="BS8" s="171">
        <f>(38/0.648*BS4*24/1000)+(1.5/0.648)-1</f>
        <v>43.537037037037038</v>
      </c>
      <c r="BT8" s="664">
        <f>(34/0.648*BT4*24/1000)+(4/0.648)</f>
        <v>45.20987654320988</v>
      </c>
      <c r="BU8" s="171">
        <f>43+2</f>
        <v>45</v>
      </c>
      <c r="BV8" s="785">
        <v>44</v>
      </c>
      <c r="BW8" s="172">
        <f>30/0.648*BW4*24/1000</f>
        <v>34.444444444444443</v>
      </c>
      <c r="BX8" s="172">
        <f t="shared" ref="BX8:CH8" si="12">30/0.648*BX4*24/1000</f>
        <v>31.111111111111111</v>
      </c>
      <c r="BY8" s="172">
        <f t="shared" si="12"/>
        <v>34.444444444444443</v>
      </c>
      <c r="BZ8" s="172">
        <f t="shared" si="12"/>
        <v>33.333333333333336</v>
      </c>
      <c r="CA8" s="172">
        <f t="shared" si="12"/>
        <v>34.444444444444443</v>
      </c>
      <c r="CB8" s="172">
        <f t="shared" si="12"/>
        <v>33.333333333333336</v>
      </c>
      <c r="CC8" s="172">
        <f t="shared" si="12"/>
        <v>34.444444444444443</v>
      </c>
      <c r="CD8" s="172">
        <f t="shared" si="12"/>
        <v>34.444444444444443</v>
      </c>
      <c r="CE8" s="172">
        <f t="shared" si="12"/>
        <v>33.333333333333336</v>
      </c>
      <c r="CF8" s="172">
        <f t="shared" si="12"/>
        <v>34.444444444444443</v>
      </c>
      <c r="CG8" s="172">
        <f t="shared" si="12"/>
        <v>33.333333333333336</v>
      </c>
      <c r="CH8" s="172">
        <f t="shared" si="12"/>
        <v>34.444444444444443</v>
      </c>
      <c r="CJ8" s="739">
        <f>SUM(AY8:BJ8)</f>
        <v>570.31170370370364</v>
      </c>
      <c r="CK8" s="740">
        <f>CJ8*0.648</f>
        <v>369.561984</v>
      </c>
      <c r="CL8" s="739">
        <f>SUM(BK8:BV8)</f>
        <v>514.42839506172845</v>
      </c>
      <c r="CM8" s="740">
        <f>CL8*0.648</f>
        <v>333.34960000000007</v>
      </c>
      <c r="CN8" s="741">
        <f>SUM(BW8:CH8)</f>
        <v>405.55555555555554</v>
      </c>
      <c r="CO8" s="742">
        <f>CN8*0.648</f>
        <v>262.8</v>
      </c>
    </row>
    <row r="9" spans="1:96" s="147" customFormat="1">
      <c r="A9" s="815"/>
      <c r="B9" s="418" t="s">
        <v>58</v>
      </c>
      <c r="C9" s="166">
        <v>0.78237099999999993</v>
      </c>
      <c r="D9" s="167">
        <v>0.7522279999999999</v>
      </c>
      <c r="E9" s="167">
        <v>0.775474</v>
      </c>
      <c r="F9" s="167">
        <v>0.79658699999999993</v>
      </c>
      <c r="G9" s="167">
        <v>0.84058900000000003</v>
      </c>
      <c r="H9" s="167">
        <v>0.81647700000000001</v>
      </c>
      <c r="I9" s="168">
        <v>0.8</v>
      </c>
      <c r="J9" s="169">
        <v>0.8</v>
      </c>
      <c r="K9" s="168">
        <v>0.8</v>
      </c>
      <c r="L9" s="168">
        <v>0.8</v>
      </c>
      <c r="M9" s="173">
        <v>0.8</v>
      </c>
      <c r="N9" s="168">
        <v>0.8</v>
      </c>
      <c r="O9" s="168">
        <v>0.8</v>
      </c>
      <c r="P9" s="168">
        <v>0.8</v>
      </c>
      <c r="Q9" s="169">
        <v>0.8</v>
      </c>
      <c r="R9" s="169">
        <v>0</v>
      </c>
      <c r="S9" s="169">
        <v>0</v>
      </c>
      <c r="T9" s="169">
        <v>0</v>
      </c>
      <c r="U9" s="169">
        <v>0</v>
      </c>
      <c r="V9" s="169">
        <v>0</v>
      </c>
      <c r="W9" s="169">
        <v>0</v>
      </c>
      <c r="X9" s="169"/>
      <c r="Y9" s="169"/>
      <c r="Z9" s="169">
        <v>0</v>
      </c>
      <c r="AA9" s="171"/>
      <c r="AB9" s="174"/>
      <c r="AC9" s="174">
        <v>0</v>
      </c>
      <c r="AD9" s="175">
        <v>-2.5</v>
      </c>
      <c r="AE9" s="174">
        <v>0</v>
      </c>
      <c r="AF9" s="174">
        <v>0</v>
      </c>
      <c r="AG9" s="174">
        <v>0</v>
      </c>
      <c r="AH9" s="174">
        <v>0</v>
      </c>
      <c r="AI9" s="174">
        <v>0</v>
      </c>
      <c r="AJ9" s="174">
        <v>0</v>
      </c>
      <c r="AK9" s="176"/>
      <c r="AL9" s="174"/>
      <c r="AM9" s="174"/>
      <c r="AN9" s="174">
        <v>0</v>
      </c>
      <c r="AO9" s="174"/>
      <c r="AP9" s="174"/>
      <c r="AQ9" s="174"/>
      <c r="AR9" s="174">
        <v>0</v>
      </c>
      <c r="AS9" s="174">
        <v>0</v>
      </c>
      <c r="AT9" s="174">
        <v>0</v>
      </c>
      <c r="AU9" s="174">
        <v>0</v>
      </c>
      <c r="AV9" s="174">
        <v>0</v>
      </c>
      <c r="AW9" s="174">
        <v>0</v>
      </c>
      <c r="AX9" s="174">
        <v>0</v>
      </c>
      <c r="AY9" s="174">
        <v>0</v>
      </c>
      <c r="AZ9" s="174"/>
      <c r="BA9" s="174"/>
      <c r="BB9" s="174"/>
      <c r="BC9" s="174">
        <v>0</v>
      </c>
      <c r="BD9" s="174">
        <v>0</v>
      </c>
      <c r="BE9" s="174"/>
      <c r="BF9" s="174">
        <v>0</v>
      </c>
      <c r="BG9" s="174">
        <v>0</v>
      </c>
      <c r="BH9" s="174">
        <v>0</v>
      </c>
      <c r="BI9" s="174">
        <v>0</v>
      </c>
      <c r="BJ9" s="174">
        <v>0</v>
      </c>
      <c r="BK9" s="176"/>
      <c r="BL9" s="174"/>
      <c r="BM9" s="174">
        <v>0</v>
      </c>
      <c r="BN9" s="174">
        <v>0</v>
      </c>
      <c r="BO9" s="174">
        <v>0</v>
      </c>
      <c r="BP9" s="174">
        <v>0</v>
      </c>
      <c r="BQ9" s="174">
        <v>0</v>
      </c>
      <c r="BR9" s="174">
        <v>0</v>
      </c>
      <c r="BS9" s="174">
        <v>0</v>
      </c>
      <c r="BT9" s="174">
        <v>0</v>
      </c>
      <c r="BU9" s="176"/>
      <c r="BV9" s="174"/>
      <c r="BW9" s="174">
        <v>0</v>
      </c>
      <c r="BX9" s="174">
        <v>0</v>
      </c>
      <c r="BY9" s="174">
        <v>0</v>
      </c>
      <c r="BZ9" s="174">
        <v>0</v>
      </c>
      <c r="CA9" s="174">
        <v>0</v>
      </c>
      <c r="CB9" s="174">
        <v>0</v>
      </c>
      <c r="CC9" s="174">
        <v>0</v>
      </c>
      <c r="CD9" s="174">
        <v>0</v>
      </c>
      <c r="CE9" s="174">
        <v>0</v>
      </c>
      <c r="CF9" s="174">
        <v>0</v>
      </c>
      <c r="CG9" s="174">
        <v>0</v>
      </c>
      <c r="CH9" s="174">
        <v>0</v>
      </c>
      <c r="CL9" s="235"/>
    </row>
    <row r="10" spans="1:96" s="147" customFormat="1" ht="15" thickBot="1">
      <c r="A10" s="815"/>
      <c r="B10" s="177" t="s">
        <v>59</v>
      </c>
      <c r="C10" s="178">
        <v>0</v>
      </c>
      <c r="D10" s="179">
        <v>4.7416499999999999</v>
      </c>
      <c r="E10" s="179">
        <v>0</v>
      </c>
      <c r="F10" s="179">
        <v>5.2014629999999995</v>
      </c>
      <c r="G10" s="179">
        <v>0</v>
      </c>
      <c r="H10" s="179">
        <v>0</v>
      </c>
      <c r="I10" s="180">
        <v>5</v>
      </c>
      <c r="J10" s="181">
        <v>0</v>
      </c>
      <c r="K10" s="180">
        <f>4.697+4.9</f>
        <v>9.5970000000000013</v>
      </c>
      <c r="L10" s="180">
        <v>4.524</v>
      </c>
      <c r="M10" s="182">
        <v>0</v>
      </c>
      <c r="N10" s="180">
        <f>3.85+4.8+3.7</f>
        <v>12.350000000000001</v>
      </c>
      <c r="O10" s="180">
        <v>0</v>
      </c>
      <c r="P10" s="183"/>
      <c r="Q10" s="181"/>
      <c r="R10" s="180">
        <v>5</v>
      </c>
      <c r="S10" s="184">
        <v>10</v>
      </c>
      <c r="T10" s="184">
        <f>15+2.4</f>
        <v>17.399999999999999</v>
      </c>
      <c r="U10" s="180">
        <v>0</v>
      </c>
      <c r="V10" s="180" t="s">
        <v>60</v>
      </c>
      <c r="W10" s="180">
        <v>0</v>
      </c>
      <c r="X10" s="180"/>
      <c r="Y10" s="180">
        <v>0</v>
      </c>
      <c r="Z10" s="180">
        <v>5</v>
      </c>
      <c r="AA10" s="185">
        <v>0</v>
      </c>
      <c r="AB10" s="185">
        <v>4.2</v>
      </c>
      <c r="AC10" s="185">
        <v>0</v>
      </c>
      <c r="AD10" s="185">
        <v>0</v>
      </c>
      <c r="AE10" s="186"/>
      <c r="AF10" s="185">
        <v>0</v>
      </c>
      <c r="AG10" s="187">
        <v>1.9</v>
      </c>
      <c r="AH10" s="187"/>
      <c r="AI10" s="187"/>
      <c r="AJ10" s="187">
        <v>1.9</v>
      </c>
      <c r="AK10" s="185">
        <v>1.9</v>
      </c>
      <c r="AL10" s="185">
        <v>0</v>
      </c>
      <c r="AM10" s="185"/>
      <c r="AN10" s="185"/>
      <c r="AO10" s="185"/>
      <c r="AP10" s="185"/>
      <c r="AQ10" s="185"/>
      <c r="AR10" s="185"/>
      <c r="AS10" s="185"/>
      <c r="AT10" s="185"/>
      <c r="AU10" s="185"/>
      <c r="AV10" s="185"/>
      <c r="AW10" s="185">
        <v>0</v>
      </c>
      <c r="AX10" s="185"/>
      <c r="AY10" s="185"/>
      <c r="AZ10" s="185">
        <f>0.5+0.6</f>
        <v>1.1000000000000001</v>
      </c>
      <c r="BA10" s="185">
        <f>1.9+1.2</f>
        <v>3.0999999999999996</v>
      </c>
      <c r="BB10" s="185"/>
      <c r="BC10" s="185"/>
      <c r="BD10" s="185"/>
      <c r="BE10" s="185"/>
      <c r="BF10" s="171"/>
      <c r="BG10" s="171"/>
      <c r="BH10" s="172"/>
      <c r="BI10" s="185"/>
      <c r="BJ10" s="185"/>
      <c r="BK10" s="185">
        <v>0.6</v>
      </c>
      <c r="BL10" s="185"/>
      <c r="BM10" s="185"/>
      <c r="BN10" s="185"/>
      <c r="BO10" s="185"/>
      <c r="BP10" s="185"/>
      <c r="BQ10" s="185">
        <v>1.9</v>
      </c>
      <c r="BR10" s="186">
        <v>1.3</v>
      </c>
      <c r="BS10" s="186">
        <v>0.6</v>
      </c>
      <c r="BT10" s="185">
        <f>1.45+0.3</f>
        <v>1.75</v>
      </c>
      <c r="BU10" s="185">
        <v>0.7</v>
      </c>
      <c r="BV10" s="185"/>
      <c r="BW10" s="185"/>
      <c r="BX10" s="185"/>
      <c r="BY10" s="185"/>
      <c r="BZ10" s="185"/>
      <c r="CA10" s="185"/>
      <c r="CB10" s="185"/>
      <c r="CC10" s="185"/>
      <c r="CD10" s="185"/>
      <c r="CE10" s="185"/>
      <c r="CF10" s="185"/>
      <c r="CG10" s="185"/>
      <c r="CH10" s="185"/>
    </row>
    <row r="11" spans="1:96">
      <c r="A11" s="816" t="s">
        <v>61</v>
      </c>
      <c r="B11" s="188" t="s">
        <v>62</v>
      </c>
      <c r="C11" s="189">
        <v>12801</v>
      </c>
      <c r="D11" s="190">
        <v>11978</v>
      </c>
      <c r="E11" s="190">
        <v>11819</v>
      </c>
      <c r="F11" s="190">
        <v>12516</v>
      </c>
      <c r="G11" s="190">
        <v>15372</v>
      </c>
      <c r="H11" s="190">
        <v>14218</v>
      </c>
      <c r="I11" s="190">
        <v>15829</v>
      </c>
      <c r="J11" s="190">
        <v>16938</v>
      </c>
      <c r="K11" s="190">
        <v>12542</v>
      </c>
      <c r="L11" s="190">
        <v>14998.005565862706</v>
      </c>
      <c r="M11" s="190">
        <v>17756</v>
      </c>
      <c r="N11" s="191">
        <v>10570</v>
      </c>
      <c r="O11" s="190">
        <v>14582</v>
      </c>
      <c r="P11" s="190">
        <v>10587</v>
      </c>
      <c r="Q11" s="190">
        <v>18260</v>
      </c>
      <c r="R11" s="190">
        <v>10952</v>
      </c>
      <c r="S11" s="190">
        <v>10878</v>
      </c>
      <c r="T11" s="190">
        <v>13661</v>
      </c>
      <c r="U11" s="190">
        <v>8620</v>
      </c>
      <c r="V11" s="190">
        <v>12250</v>
      </c>
      <c r="W11" s="190">
        <v>15873</v>
      </c>
      <c r="X11" s="190">
        <v>16544</v>
      </c>
      <c r="Y11" s="190">
        <v>17135.611999511748</v>
      </c>
      <c r="Z11" s="190">
        <v>12707</v>
      </c>
      <c r="AA11" s="190">
        <v>13801</v>
      </c>
      <c r="AB11" s="190">
        <v>6198</v>
      </c>
      <c r="AC11" s="190">
        <v>9407</v>
      </c>
      <c r="AD11" s="190">
        <v>6916</v>
      </c>
      <c r="AE11" s="190">
        <v>9122.472412109375</v>
      </c>
      <c r="AF11" s="190">
        <v>9923.3910827636719</v>
      </c>
      <c r="AG11" s="190">
        <f>AF11+((AG6-AG13)*1000)</f>
        <v>5715.2799716525633</v>
      </c>
      <c r="AH11" s="190">
        <v>2608</v>
      </c>
      <c r="AI11" s="190">
        <v>5452</v>
      </c>
      <c r="AJ11" s="190">
        <v>12416</v>
      </c>
      <c r="AK11" s="190">
        <v>13315</v>
      </c>
      <c r="AL11" s="190">
        <v>8617</v>
      </c>
      <c r="AM11" s="190">
        <v>15252.196105957031</v>
      </c>
      <c r="AN11" s="190">
        <v>15784</v>
      </c>
      <c r="AO11" s="190">
        <v>14297</v>
      </c>
      <c r="AP11" s="190">
        <v>11185.101745605469</v>
      </c>
      <c r="AQ11" s="190">
        <v>10090.282043457031</v>
      </c>
      <c r="AR11" s="190">
        <v>10986</v>
      </c>
      <c r="AS11" s="190">
        <v>12870</v>
      </c>
      <c r="AT11" s="190">
        <v>9734</v>
      </c>
      <c r="AU11" s="190">
        <v>8503.5310573577881</v>
      </c>
      <c r="AV11" s="190">
        <v>7993.1530246734619</v>
      </c>
      <c r="AW11" s="190">
        <v>11222.628784179688</v>
      </c>
      <c r="AX11" s="190">
        <v>10678.500749588013</v>
      </c>
      <c r="AY11" s="190">
        <v>6267.9736328125</v>
      </c>
      <c r="AZ11" s="190">
        <v>14970.42724609375</v>
      </c>
      <c r="BA11" s="190">
        <v>10564.156494140625</v>
      </c>
      <c r="BB11" s="190">
        <v>10702</v>
      </c>
      <c r="BC11" s="190">
        <v>13927</v>
      </c>
      <c r="BD11" s="190">
        <v>16225.431045145331</v>
      </c>
      <c r="BE11" s="190">
        <v>17232.923314780463</v>
      </c>
      <c r="BF11" s="190">
        <v>15020</v>
      </c>
      <c r="BG11" s="190">
        <v>13565</v>
      </c>
      <c r="BH11" s="190">
        <v>8818</v>
      </c>
      <c r="BI11" s="190">
        <v>11744</v>
      </c>
      <c r="BJ11" s="190">
        <v>14198.392</v>
      </c>
      <c r="BK11" s="190">
        <v>12896</v>
      </c>
      <c r="BL11" s="190">
        <v>10073</v>
      </c>
      <c r="BM11" s="190">
        <v>8688.06</v>
      </c>
      <c r="BN11" s="190">
        <v>11362</v>
      </c>
      <c r="BO11" s="190">
        <v>8550.6630000000005</v>
      </c>
      <c r="BP11" s="190">
        <v>13795.124</v>
      </c>
      <c r="BQ11" s="190">
        <v>9822</v>
      </c>
      <c r="BR11" s="190">
        <v>10098.948</v>
      </c>
      <c r="BS11" s="190">
        <v>9186</v>
      </c>
      <c r="BT11" s="190">
        <v>11342</v>
      </c>
      <c r="BU11" s="190">
        <v>9997</v>
      </c>
      <c r="BV11" s="190">
        <f t="shared" ref="BV11" si="13">BU11+((BV6-BV13)*1000)</f>
        <v>9253.8328920453805</v>
      </c>
      <c r="BW11" s="190">
        <f t="shared" ref="BW11:CH11" si="14">BV11+((BW6-BW13)*1000)</f>
        <v>10839.095910039532</v>
      </c>
      <c r="BX11" s="190">
        <f t="shared" si="14"/>
        <v>11425.132936693324</v>
      </c>
      <c r="BY11" s="190">
        <f t="shared" si="14"/>
        <v>11821.003924866794</v>
      </c>
      <c r="BZ11" s="190">
        <f t="shared" si="14"/>
        <v>11540.59998546341</v>
      </c>
      <c r="CA11" s="190">
        <f t="shared" si="14"/>
        <v>11243.763265998219</v>
      </c>
      <c r="CB11" s="190">
        <f>CA11+((CB6-CB13)*1000)</f>
        <v>11682.644128638267</v>
      </c>
      <c r="CC11" s="190">
        <f t="shared" si="14"/>
        <v>11573.210731967145</v>
      </c>
      <c r="CD11" s="190">
        <f t="shared" si="14"/>
        <v>10477.466574430644</v>
      </c>
      <c r="CE11" s="190">
        <f t="shared" si="14"/>
        <v>11959.435673891769</v>
      </c>
      <c r="CF11" s="190">
        <f t="shared" si="14"/>
        <v>11487.530903828734</v>
      </c>
      <c r="CG11" s="190">
        <f t="shared" si="14"/>
        <v>11197.997443819795</v>
      </c>
      <c r="CH11" s="190">
        <f t="shared" si="14"/>
        <v>11055.777952391176</v>
      </c>
    </row>
    <row r="12" spans="1:96" s="196" customFormat="1" ht="15" thickBot="1">
      <c r="A12" s="817"/>
      <c r="B12" s="192" t="s">
        <v>63</v>
      </c>
      <c r="C12" s="193">
        <f>C11/49624.4*100</f>
        <v>25.795777883460552</v>
      </c>
      <c r="D12" s="194">
        <f>D11/49624.4*100</f>
        <v>24.137319544417664</v>
      </c>
      <c r="E12" s="194">
        <f>E11/45790.8*100</f>
        <v>25.810861570446463</v>
      </c>
      <c r="F12" s="194">
        <f>F11/45790.8*100</f>
        <v>27.333001388925283</v>
      </c>
      <c r="G12" s="194">
        <f>G11/45790.8*100</f>
        <v>33.57006210854582</v>
      </c>
      <c r="H12" s="194">
        <f>H11/45790.8*100</f>
        <v>31.049905221136122</v>
      </c>
      <c r="I12" s="194">
        <f>I11/22600*100</f>
        <v>70.039823008849552</v>
      </c>
      <c r="J12" s="194">
        <f t="shared" ref="J12:AS12" si="15">J11/22600*100</f>
        <v>74.946902654867259</v>
      </c>
      <c r="K12" s="194">
        <f t="shared" si="15"/>
        <v>55.495575221238937</v>
      </c>
      <c r="L12" s="194">
        <f t="shared" si="15"/>
        <v>66.362856486118176</v>
      </c>
      <c r="M12" s="194">
        <f t="shared" si="15"/>
        <v>78.56637168141593</v>
      </c>
      <c r="N12" s="194">
        <f t="shared" si="15"/>
        <v>46.769911504424776</v>
      </c>
      <c r="O12" s="194">
        <f t="shared" si="15"/>
        <v>64.522123893805301</v>
      </c>
      <c r="P12" s="194">
        <f t="shared" si="15"/>
        <v>46.845132743362832</v>
      </c>
      <c r="Q12" s="194">
        <f t="shared" si="15"/>
        <v>80.796460176991147</v>
      </c>
      <c r="R12" s="194">
        <f t="shared" si="15"/>
        <v>48.460176991150448</v>
      </c>
      <c r="S12" s="194">
        <f t="shared" si="15"/>
        <v>48.13274336283186</v>
      </c>
      <c r="T12" s="194">
        <f t="shared" si="15"/>
        <v>60.446902654867252</v>
      </c>
      <c r="U12" s="194">
        <f t="shared" si="15"/>
        <v>38.141592920353986</v>
      </c>
      <c r="V12" s="194">
        <f t="shared" si="15"/>
        <v>54.203539823008853</v>
      </c>
      <c r="W12" s="194">
        <f t="shared" si="15"/>
        <v>70.23451327433628</v>
      </c>
      <c r="X12" s="194">
        <f t="shared" si="15"/>
        <v>73.203539823008839</v>
      </c>
      <c r="Y12" s="194">
        <f t="shared" si="15"/>
        <v>75.821292033237825</v>
      </c>
      <c r="Z12" s="194">
        <f t="shared" si="15"/>
        <v>56.225663716814154</v>
      </c>
      <c r="AA12" s="194">
        <f t="shared" si="15"/>
        <v>61.06637168141593</v>
      </c>
      <c r="AB12" s="194">
        <f t="shared" si="15"/>
        <v>27.424778761061948</v>
      </c>
      <c r="AC12" s="194">
        <f t="shared" si="15"/>
        <v>41.623893805309734</v>
      </c>
      <c r="AD12" s="194">
        <f t="shared" si="15"/>
        <v>30.601769911504423</v>
      </c>
      <c r="AE12" s="194">
        <f t="shared" si="15"/>
        <v>40.364922177475108</v>
      </c>
      <c r="AF12" s="194">
        <f t="shared" si="15"/>
        <v>43.90881010072421</v>
      </c>
      <c r="AG12" s="194">
        <f t="shared" si="15"/>
        <v>25.288849432090988</v>
      </c>
      <c r="AH12" s="194">
        <f t="shared" si="15"/>
        <v>11.539823008849558</v>
      </c>
      <c r="AI12" s="194">
        <f>AI11/22600*100</f>
        <v>24.123893805309734</v>
      </c>
      <c r="AJ12" s="194">
        <f t="shared" si="15"/>
        <v>54.938053097345133</v>
      </c>
      <c r="AK12" s="194">
        <f t="shared" si="15"/>
        <v>58.915929203539818</v>
      </c>
      <c r="AL12" s="194">
        <f t="shared" si="15"/>
        <v>38.128318584070797</v>
      </c>
      <c r="AM12" s="194">
        <f t="shared" si="15"/>
        <v>67.487593389190408</v>
      </c>
      <c r="AN12" s="194">
        <f t="shared" si="15"/>
        <v>69.840707964601762</v>
      </c>
      <c r="AO12" s="194">
        <f t="shared" si="15"/>
        <v>63.26106194690265</v>
      </c>
      <c r="AP12" s="194">
        <f t="shared" si="15"/>
        <v>49.49160064427199</v>
      </c>
      <c r="AQ12" s="194">
        <f t="shared" si="15"/>
        <v>44.647265679013415</v>
      </c>
      <c r="AR12" s="194">
        <f t="shared" si="15"/>
        <v>48.610619469026553</v>
      </c>
      <c r="AS12" s="194">
        <f t="shared" si="15"/>
        <v>56.946902654867259</v>
      </c>
      <c r="AT12" s="195">
        <f t="shared" ref="AT12:AY12" si="16">AT11/18350*100</f>
        <v>53.046321525885553</v>
      </c>
      <c r="AU12" s="195">
        <f t="shared" si="16"/>
        <v>46.340768704947074</v>
      </c>
      <c r="AV12" s="195">
        <f t="shared" si="16"/>
        <v>43.559417028193252</v>
      </c>
      <c r="AW12" s="195">
        <f t="shared" si="16"/>
        <v>61.158739968281672</v>
      </c>
      <c r="AX12" s="195">
        <f t="shared" si="16"/>
        <v>58.193464575411511</v>
      </c>
      <c r="AY12" s="194">
        <f t="shared" si="16"/>
        <v>34.157894456743868</v>
      </c>
      <c r="AZ12" s="315">
        <f>AZ11/22600</f>
        <v>0.66240828522538719</v>
      </c>
      <c r="BA12" s="315">
        <f t="shared" ref="BA12:BP12" si="17">BA11/22600</f>
        <v>0.46744055283808073</v>
      </c>
      <c r="BB12" s="315">
        <f t="shared" si="17"/>
        <v>0.47353982300884956</v>
      </c>
      <c r="BC12" s="315">
        <f t="shared" si="17"/>
        <v>0.61623893805309737</v>
      </c>
      <c r="BD12" s="315">
        <f t="shared" si="17"/>
        <v>0.71793942677634204</v>
      </c>
      <c r="BE12" s="315">
        <f t="shared" si="17"/>
        <v>0.76251873074249832</v>
      </c>
      <c r="BF12" s="315">
        <f t="shared" si="17"/>
        <v>0.66460176991150444</v>
      </c>
      <c r="BG12" s="315">
        <f t="shared" si="17"/>
        <v>0.60022123893805313</v>
      </c>
      <c r="BH12" s="315">
        <f t="shared" si="17"/>
        <v>0.39017699115044246</v>
      </c>
      <c r="BI12" s="315">
        <f t="shared" si="17"/>
        <v>0.519646017699115</v>
      </c>
      <c r="BJ12" s="315">
        <f t="shared" si="17"/>
        <v>0.62824743362831859</v>
      </c>
      <c r="BK12" s="315">
        <f t="shared" si="17"/>
        <v>0.5706194690265487</v>
      </c>
      <c r="BL12" s="315">
        <f t="shared" si="17"/>
        <v>0.44570796460176992</v>
      </c>
      <c r="BM12" s="315">
        <f t="shared" si="17"/>
        <v>0.38442743362831855</v>
      </c>
      <c r="BN12" s="315">
        <f t="shared" si="17"/>
        <v>0.50274336283185839</v>
      </c>
      <c r="BO12" s="315">
        <f t="shared" si="17"/>
        <v>0.37834792035398235</v>
      </c>
      <c r="BP12" s="315">
        <f t="shared" si="17"/>
        <v>0.61040371681415928</v>
      </c>
      <c r="BQ12" s="315">
        <f t="shared" ref="BQ12:BW12" si="18">BQ11/22600</f>
        <v>0.4346017699115044</v>
      </c>
      <c r="BR12" s="315">
        <f t="shared" si="18"/>
        <v>0.44685610619469029</v>
      </c>
      <c r="BS12" s="315">
        <f t="shared" si="18"/>
        <v>0.40646017699115045</v>
      </c>
      <c r="BT12" s="315">
        <f t="shared" si="18"/>
        <v>0.50185840707964602</v>
      </c>
      <c r="BU12" s="315">
        <f t="shared" si="18"/>
        <v>0.44234513274336285</v>
      </c>
      <c r="BV12" s="315">
        <f t="shared" si="18"/>
        <v>0.4094616323913885</v>
      </c>
      <c r="BW12" s="315">
        <f t="shared" si="18"/>
        <v>0.47960601371856337</v>
      </c>
      <c r="BX12" s="315">
        <f t="shared" ref="BX12:BY12" si="19">BX11/22600</f>
        <v>0.50553685560589934</v>
      </c>
      <c r="BY12" s="315">
        <f t="shared" si="19"/>
        <v>0.5230532710118051</v>
      </c>
      <c r="BZ12" s="315">
        <f t="shared" ref="BZ12:CA12" si="20">BZ11/22600</f>
        <v>0.51064601705590307</v>
      </c>
      <c r="CA12" s="315">
        <f t="shared" si="20"/>
        <v>0.49751164893797428</v>
      </c>
      <c r="CB12" s="315">
        <f t="shared" ref="CB12:CC12" si="21">CB11/22600</f>
        <v>0.51693115613443663</v>
      </c>
      <c r="CC12" s="315">
        <f t="shared" si="21"/>
        <v>0.51208897044102408</v>
      </c>
      <c r="CD12" s="315">
        <f t="shared" ref="CD12:CE12" si="22">CD11/22600</f>
        <v>0.46360471568277184</v>
      </c>
      <c r="CE12" s="315">
        <f t="shared" si="22"/>
        <v>0.52917856964122867</v>
      </c>
      <c r="CF12" s="315">
        <f t="shared" ref="CF12:CG12" si="23">CF11/22600</f>
        <v>0.50829782760304132</v>
      </c>
      <c r="CG12" s="315">
        <f t="shared" si="23"/>
        <v>0.49548661255839799</v>
      </c>
      <c r="CH12" s="315">
        <f t="shared" ref="CH12" si="24">CH11/22600</f>
        <v>0.48919371470757417</v>
      </c>
    </row>
    <row r="13" spans="1:96" s="199" customFormat="1">
      <c r="A13" s="197"/>
      <c r="B13" s="197" t="s">
        <v>49</v>
      </c>
      <c r="C13" s="198">
        <f t="shared" ref="C13:T13" si="25">SUM(C7:C10)</f>
        <v>85.757612000000009</v>
      </c>
      <c r="D13" s="198">
        <f t="shared" si="25"/>
        <v>81.333900999999997</v>
      </c>
      <c r="E13" s="198">
        <f t="shared" si="25"/>
        <v>79.639566000000002</v>
      </c>
      <c r="F13" s="198">
        <f t="shared" si="25"/>
        <v>86.705891000000008</v>
      </c>
      <c r="G13" s="198">
        <f t="shared" si="25"/>
        <v>82.07502199999999</v>
      </c>
      <c r="H13" s="198">
        <f t="shared" si="25"/>
        <v>84.744775000000004</v>
      </c>
      <c r="I13" s="198">
        <f t="shared" si="25"/>
        <v>90.3</v>
      </c>
      <c r="J13" s="198">
        <f t="shared" si="25"/>
        <v>86.3</v>
      </c>
      <c r="K13" s="198">
        <f t="shared" si="25"/>
        <v>92.896999999999991</v>
      </c>
      <c r="L13" s="198">
        <f t="shared" si="25"/>
        <v>90.323999999999998</v>
      </c>
      <c r="M13" s="198">
        <f t="shared" si="25"/>
        <v>83.8</v>
      </c>
      <c r="N13" s="198">
        <f t="shared" si="25"/>
        <v>97.908999999999992</v>
      </c>
      <c r="O13" s="198">
        <f t="shared" si="25"/>
        <v>81.8</v>
      </c>
      <c r="P13" s="198">
        <f t="shared" si="25"/>
        <v>82.349000000000004</v>
      </c>
      <c r="Q13" s="198">
        <f t="shared" si="25"/>
        <v>84.6</v>
      </c>
      <c r="R13" s="198">
        <f t="shared" si="25"/>
        <v>84.234000000000009</v>
      </c>
      <c r="S13" s="198">
        <f t="shared" si="25"/>
        <v>89.6</v>
      </c>
      <c r="T13" s="198">
        <f t="shared" si="25"/>
        <v>78</v>
      </c>
      <c r="U13" s="198">
        <f>SUM(U7:U10)</f>
        <v>79</v>
      </c>
      <c r="V13" s="198">
        <f>SUM(V7:V10)</f>
        <v>80</v>
      </c>
      <c r="W13" s="198">
        <f>SUM(W7:W10)</f>
        <v>75.5</v>
      </c>
      <c r="X13" s="198">
        <f>SUM(X7:X10)</f>
        <v>89.2</v>
      </c>
      <c r="Y13" s="198">
        <f>SUM(Y7:Y10)</f>
        <v>90</v>
      </c>
      <c r="Z13" s="198">
        <f t="shared" ref="Z13:BP13" si="26">SUM(Z7:Z10)</f>
        <v>95.179000000000002</v>
      </c>
      <c r="AA13" s="198">
        <f t="shared" si="26"/>
        <v>86.111111111111114</v>
      </c>
      <c r="AB13" s="198">
        <f t="shared" si="26"/>
        <v>83.37777777777778</v>
      </c>
      <c r="AC13" s="198">
        <f t="shared" si="26"/>
        <v>78.711111111111109</v>
      </c>
      <c r="AD13" s="198">
        <f t="shared" si="26"/>
        <v>78.61333333333333</v>
      </c>
      <c r="AE13" s="198">
        <f t="shared" si="26"/>
        <v>78.111111111111114</v>
      </c>
      <c r="AF13" s="198">
        <f t="shared" si="26"/>
        <v>81.893333333333331</v>
      </c>
      <c r="AG13" s="198">
        <f t="shared" si="26"/>
        <v>84.331111111111113</v>
      </c>
      <c r="AH13" s="198">
        <f t="shared" si="26"/>
        <v>77.611111111111114</v>
      </c>
      <c r="AI13" s="198">
        <f t="shared" si="26"/>
        <v>61.9</v>
      </c>
      <c r="AJ13" s="198">
        <f t="shared" si="26"/>
        <v>70.7</v>
      </c>
      <c r="AK13" s="198">
        <f t="shared" si="26"/>
        <v>77.393827160493828</v>
      </c>
      <c r="AL13" s="198">
        <f t="shared" si="26"/>
        <v>85.203703703703709</v>
      </c>
      <c r="AM13" s="198">
        <f t="shared" si="26"/>
        <v>63.518518518518519</v>
      </c>
      <c r="AN13" s="198">
        <f t="shared" si="26"/>
        <v>71.148148148148152</v>
      </c>
      <c r="AO13" s="198">
        <f>SUM(AO7:AO10)</f>
        <v>87.407407407407405</v>
      </c>
      <c r="AP13" s="198">
        <f t="shared" si="26"/>
        <v>85.407407407407405</v>
      </c>
      <c r="AQ13" s="198">
        <f t="shared" si="26"/>
        <v>81.23456790123457</v>
      </c>
      <c r="AR13" s="198">
        <f t="shared" si="26"/>
        <v>82.320987654320987</v>
      </c>
      <c r="AS13" s="198">
        <f t="shared" si="26"/>
        <v>83.549382716049379</v>
      </c>
      <c r="AT13" s="198">
        <f t="shared" si="26"/>
        <v>85.864197530864203</v>
      </c>
      <c r="AU13" s="198">
        <f t="shared" si="26"/>
        <v>80.820987654320987</v>
      </c>
      <c r="AV13" s="198">
        <f t="shared" si="26"/>
        <v>82.888888888888886</v>
      </c>
      <c r="AW13" s="198">
        <f t="shared" si="26"/>
        <v>80.339506172839506</v>
      </c>
      <c r="AX13" s="198">
        <f t="shared" si="26"/>
        <v>87.407407407407391</v>
      </c>
      <c r="AY13" s="198">
        <f t="shared" si="26"/>
        <v>84.320987654320987</v>
      </c>
      <c r="AZ13" s="198">
        <f t="shared" si="26"/>
        <v>61.606172839506179</v>
      </c>
      <c r="BA13" s="198">
        <f t="shared" si="26"/>
        <v>85.588888888888874</v>
      </c>
      <c r="BB13" s="198">
        <f t="shared" si="26"/>
        <v>65.348148148148155</v>
      </c>
      <c r="BC13" s="198">
        <f t="shared" si="26"/>
        <v>56.088888888888889</v>
      </c>
      <c r="BD13" s="198">
        <f>SUM(BD7:BD10)</f>
        <v>61.049382716049379</v>
      </c>
      <c r="BE13" s="198">
        <f>SUM(BE7:BE10)</f>
        <v>66.574049382716041</v>
      </c>
      <c r="BF13" s="198">
        <f>SUM(BF7:BF10)</f>
        <v>78.259259259259267</v>
      </c>
      <c r="BG13" s="198">
        <f>SUM(BG7:BG10)</f>
        <v>77.716049382716051</v>
      </c>
      <c r="BH13" s="198">
        <f>SUM(BH7:BH10)</f>
        <v>82.981481481481467</v>
      </c>
      <c r="BI13" s="198">
        <f t="shared" si="26"/>
        <v>70.866419753086419</v>
      </c>
      <c r="BJ13" s="198">
        <f t="shared" si="26"/>
        <v>76.550246913580239</v>
      </c>
      <c r="BK13" s="198">
        <f t="shared" si="26"/>
        <v>83.408641975308626</v>
      </c>
      <c r="BL13" s="198">
        <f t="shared" si="26"/>
        <v>76.808641975308632</v>
      </c>
      <c r="BM13" s="198">
        <f t="shared" si="26"/>
        <v>83.753086419753089</v>
      </c>
      <c r="BN13" s="198">
        <f t="shared" si="26"/>
        <v>73.02098765432099</v>
      </c>
      <c r="BO13" s="198">
        <f t="shared" si="26"/>
        <v>83.753086419753089</v>
      </c>
      <c r="BP13" s="198">
        <f t="shared" si="26"/>
        <v>76.172839506172835</v>
      </c>
      <c r="BQ13" s="198">
        <f t="shared" ref="BQ13:BW13" si="27">SUM(BQ7:BQ10)</f>
        <v>67.677777777777777</v>
      </c>
      <c r="BR13" s="198">
        <f t="shared" si="27"/>
        <v>73.201234567901238</v>
      </c>
      <c r="BS13" s="198">
        <f t="shared" si="27"/>
        <v>69.599999999999994</v>
      </c>
      <c r="BT13" s="198">
        <f t="shared" si="27"/>
        <v>65.478395061728406</v>
      </c>
      <c r="BU13" s="198">
        <f t="shared" si="27"/>
        <v>70.391358024691357</v>
      </c>
      <c r="BV13" s="198">
        <f t="shared" si="27"/>
        <v>68.691358024691354</v>
      </c>
      <c r="BW13" s="198">
        <f t="shared" si="27"/>
        <v>69.938271604938279</v>
      </c>
      <c r="BX13" s="198">
        <f t="shared" ref="BX13:BY13" si="28">SUM(BX7:BX10)</f>
        <v>61.975308641975303</v>
      </c>
      <c r="BY13" s="198">
        <f t="shared" si="28"/>
        <v>68.395061728395063</v>
      </c>
      <c r="BZ13" s="198">
        <f t="shared" ref="BZ13:CA13" si="29">SUM(BZ7:BZ10)</f>
        <v>67.283950617283949</v>
      </c>
      <c r="CA13" s="198">
        <f t="shared" si="29"/>
        <v>65.308641975308632</v>
      </c>
      <c r="CB13" s="198">
        <f t="shared" ref="CB13:CC13" si="30">SUM(CB7:CB10)</f>
        <v>62.654320987654323</v>
      </c>
      <c r="CC13" s="198">
        <f t="shared" si="30"/>
        <v>65.308641975308632</v>
      </c>
      <c r="CD13" s="198">
        <f t="shared" ref="CD13:CE13" si="31">SUM(CD7:CD10)</f>
        <v>63.76543209876543</v>
      </c>
      <c r="CE13" s="198">
        <f t="shared" si="31"/>
        <v>65.740740740740733</v>
      </c>
      <c r="CF13" s="198">
        <f t="shared" ref="CF13:CG13" si="32">SUM(CF7:CF10)</f>
        <v>69.938271604938279</v>
      </c>
      <c r="CG13" s="198">
        <f t="shared" si="32"/>
        <v>67.283950617283949</v>
      </c>
      <c r="CH13" s="198">
        <f t="shared" ref="CH13" si="33">SUM(CH7:CH10)</f>
        <v>65.308641975308632</v>
      </c>
      <c r="CI13" s="200"/>
      <c r="CO13" s="458"/>
    </row>
    <row r="14" spans="1:96" s="199" customFormat="1">
      <c r="A14" s="197"/>
      <c r="B14" s="197" t="s">
        <v>64</v>
      </c>
      <c r="C14" s="198">
        <f t="shared" ref="C14:BN14" si="34">C6-C13</f>
        <v>-85.757612000000009</v>
      </c>
      <c r="D14" s="198">
        <f t="shared" si="34"/>
        <v>6.9172829000009983E-2</v>
      </c>
      <c r="E14" s="198">
        <f t="shared" si="34"/>
        <v>3.2836695919999954</v>
      </c>
      <c r="F14" s="198">
        <f t="shared" si="34"/>
        <v>1.4400650609999843</v>
      </c>
      <c r="G14" s="198">
        <f t="shared" si="34"/>
        <v>4.7921075090000045</v>
      </c>
      <c r="H14" s="198">
        <f t="shared" si="34"/>
        <v>1.0508554790000062</v>
      </c>
      <c r="I14" s="198">
        <f t="shared" si="34"/>
        <v>-0.11999999999999034</v>
      </c>
      <c r="J14" s="198">
        <f t="shared" si="34"/>
        <v>-5.7999999999992724E-2</v>
      </c>
      <c r="K14" s="198">
        <f t="shared" si="34"/>
        <v>-5.5529999999999973</v>
      </c>
      <c r="L14" s="198">
        <f t="shared" si="34"/>
        <v>1.4759999999999991</v>
      </c>
      <c r="M14" s="198">
        <f t="shared" si="34"/>
        <v>3.375</v>
      </c>
      <c r="N14" s="198">
        <f t="shared" si="34"/>
        <v>-9.5089999999999861</v>
      </c>
      <c r="O14" s="198">
        <f t="shared" si="34"/>
        <v>5.2580000000000098</v>
      </c>
      <c r="P14" s="198">
        <f t="shared" si="34"/>
        <v>-1.3560000000000088</v>
      </c>
      <c r="Q14" s="198">
        <f t="shared" si="34"/>
        <v>6</v>
      </c>
      <c r="R14" s="198">
        <f t="shared" si="34"/>
        <v>-7.4340000000000117</v>
      </c>
      <c r="S14" s="198">
        <f t="shared" si="34"/>
        <v>-2.6699999999999875</v>
      </c>
      <c r="T14" s="198">
        <f t="shared" si="34"/>
        <v>1.8610000000000042</v>
      </c>
      <c r="U14" s="198">
        <f t="shared" si="34"/>
        <v>-2.6460000000000008</v>
      </c>
      <c r="V14" s="198">
        <f t="shared" si="34"/>
        <v>2.4159999999999968</v>
      </c>
      <c r="W14" s="198">
        <f t="shared" si="34"/>
        <v>1.5900000000000034</v>
      </c>
      <c r="X14" s="198">
        <f t="shared" si="34"/>
        <v>-1.1270000000000095</v>
      </c>
      <c r="Y14" s="198">
        <f t="shared" si="34"/>
        <v>0.5</v>
      </c>
      <c r="Z14" s="198">
        <f t="shared" si="34"/>
        <v>-5.9630000000000081</v>
      </c>
      <c r="AA14" s="198">
        <f t="shared" si="34"/>
        <v>0.38888888888888573</v>
      </c>
      <c r="AB14" s="198">
        <f t="shared" si="34"/>
        <v>-8.1097777777777793</v>
      </c>
      <c r="AC14" s="198">
        <f t="shared" si="34"/>
        <v>3.2888888888888914</v>
      </c>
      <c r="AD14" s="198">
        <f t="shared" si="34"/>
        <v>-1.318333333333328</v>
      </c>
      <c r="AE14" s="198">
        <f t="shared" si="34"/>
        <v>4.637888888888881</v>
      </c>
      <c r="AF14" s="198">
        <f t="shared" si="34"/>
        <v>-2.3333333333326323E-2</v>
      </c>
      <c r="AG14" s="198">
        <f t="shared" si="34"/>
        <v>-4.2081111111111085</v>
      </c>
      <c r="AH14" s="198">
        <f t="shared" si="34"/>
        <v>4.8888888888888857</v>
      </c>
      <c r="AI14" s="198">
        <f t="shared" si="34"/>
        <v>11.07109090909092</v>
      </c>
      <c r="AJ14" s="198">
        <f t="shared" si="34"/>
        <v>11.819000000000003</v>
      </c>
      <c r="AK14" s="198">
        <f t="shared" si="34"/>
        <v>0.80617283950617491</v>
      </c>
      <c r="AL14" s="198">
        <f t="shared" si="34"/>
        <v>-5.2537037037037067</v>
      </c>
      <c r="AM14" s="198">
        <f t="shared" si="34"/>
        <v>6.4114814814814878</v>
      </c>
      <c r="AN14" s="198">
        <f t="shared" si="34"/>
        <v>-0.80414814814815827</v>
      </c>
      <c r="AO14" s="198">
        <f t="shared" si="34"/>
        <v>-3.4074074074074048</v>
      </c>
      <c r="AP14" s="198">
        <f t="shared" si="34"/>
        <v>-4.4074074074074048</v>
      </c>
      <c r="AQ14" s="198">
        <f t="shared" si="34"/>
        <v>-0.59756790123456938</v>
      </c>
      <c r="AR14" s="198">
        <f t="shared" si="34"/>
        <v>-4.3209876543209873</v>
      </c>
      <c r="AS14" s="198">
        <f t="shared" si="34"/>
        <v>0.8506172839506263</v>
      </c>
      <c r="AT14" s="198">
        <f t="shared" si="34"/>
        <v>-1.9701975308641977</v>
      </c>
      <c r="AU14" s="198">
        <f t="shared" si="34"/>
        <v>-0.1369876543209898</v>
      </c>
      <c r="AV14" s="198">
        <f t="shared" si="34"/>
        <v>-1.5888888888888886</v>
      </c>
      <c r="AW14" s="198">
        <f t="shared" si="34"/>
        <v>2.6604938271604937</v>
      </c>
      <c r="AX14" s="198">
        <f t="shared" si="34"/>
        <v>-1.8074074074073962</v>
      </c>
      <c r="AY14" s="198">
        <f t="shared" si="34"/>
        <v>-3.8209876543209873</v>
      </c>
      <c r="AZ14" s="198">
        <f t="shared" si="34"/>
        <v>8.193827160493818</v>
      </c>
      <c r="BA14" s="198">
        <f t="shared" si="34"/>
        <v>-4.7888888888888772</v>
      </c>
      <c r="BB14" s="198">
        <f t="shared" si="34"/>
        <v>-0.8481481481481552</v>
      </c>
      <c r="BC14" s="198">
        <f t="shared" si="34"/>
        <v>1.0751111111111129</v>
      </c>
      <c r="BD14" s="198">
        <f>BD6-BD13</f>
        <v>0.15061728395062346</v>
      </c>
      <c r="BE14" s="198">
        <f>BE6-BE13</f>
        <v>-0.37404938271603783</v>
      </c>
      <c r="BF14" s="198">
        <f>BF6-BF13</f>
        <v>-3.8002592592592634</v>
      </c>
      <c r="BG14" s="198">
        <f>BG6-BG13</f>
        <v>-1.1160493827160565</v>
      </c>
      <c r="BH14" s="198">
        <f>BH6-BH13</f>
        <v>-4.9104814814814688</v>
      </c>
      <c r="BI14" s="198">
        <f t="shared" si="34"/>
        <v>1.2125802469135749</v>
      </c>
      <c r="BJ14" s="198">
        <f t="shared" si="34"/>
        <v>2.4497530864197614</v>
      </c>
      <c r="BK14" s="198">
        <f t="shared" si="34"/>
        <v>-1.5240584122132077</v>
      </c>
      <c r="BL14" s="198">
        <f t="shared" si="34"/>
        <v>-2.7143003911368737</v>
      </c>
      <c r="BM14" s="198">
        <f t="shared" si="34"/>
        <v>-1.8064352279570812</v>
      </c>
      <c r="BN14" s="198">
        <f t="shared" si="34"/>
        <v>1.2990549808193066</v>
      </c>
      <c r="BO14" s="198">
        <f t="shared" ref="BO14:BW14" si="35">BO6-BO13</f>
        <v>-3.053086419753086</v>
      </c>
      <c r="BP14" s="198">
        <f t="shared" si="35"/>
        <v>4.5631643133558697</v>
      </c>
      <c r="BQ14" s="198">
        <f t="shared" si="35"/>
        <v>-6.0143596944403797</v>
      </c>
      <c r="BR14" s="198">
        <f t="shared" si="35"/>
        <v>-0.53123456790123669</v>
      </c>
      <c r="BS14" s="198">
        <f t="shared" si="35"/>
        <v>-1.3421928397578284</v>
      </c>
      <c r="BT14" s="198">
        <f t="shared" si="35"/>
        <v>0.83016288282156836</v>
      </c>
      <c r="BU14" s="198">
        <f t="shared" si="35"/>
        <v>-2.8300949382864928</v>
      </c>
      <c r="BV14" s="198">
        <f t="shared" si="35"/>
        <v>-0.74316710795461915</v>
      </c>
      <c r="BW14" s="198">
        <f t="shared" si="35"/>
        <v>1.5852630179941514</v>
      </c>
      <c r="BX14" s="198">
        <f t="shared" ref="BX14:BY14" si="36">BX6-BX13</f>
        <v>0.58603702665379132</v>
      </c>
      <c r="BY14" s="198">
        <f t="shared" si="36"/>
        <v>0.39587098817347055</v>
      </c>
      <c r="BZ14" s="198">
        <f t="shared" ref="BZ14:CA14" si="37">BZ6-BZ13</f>
        <v>-0.28040393940338504</v>
      </c>
      <c r="CA14" s="198">
        <f t="shared" si="37"/>
        <v>-0.29683671946519041</v>
      </c>
      <c r="CB14" s="198">
        <f t="shared" ref="CB14:CC14" si="38">CB6-CB13</f>
        <v>0.43888086264004755</v>
      </c>
      <c r="CC14" s="198">
        <f t="shared" si="38"/>
        <v>-0.10943339667112184</v>
      </c>
      <c r="CD14" s="198">
        <f t="shared" ref="CD14:CE14" si="39">CD6-CD13</f>
        <v>-1.095744157536501</v>
      </c>
      <c r="CE14" s="198">
        <f t="shared" si="39"/>
        <v>1.481969099461125</v>
      </c>
      <c r="CF14" s="198">
        <f t="shared" ref="CF14:CG14" si="40">CF6-CF13</f>
        <v>-0.47190477006303411</v>
      </c>
      <c r="CG14" s="198">
        <f t="shared" si="40"/>
        <v>-0.28953346000893987</v>
      </c>
      <c r="CH14" s="198">
        <f t="shared" ref="CH14" si="41">CH6-CH13</f>
        <v>-0.14221949142861945</v>
      </c>
    </row>
    <row r="15" spans="1:96">
      <c r="B15" s="126" t="s">
        <v>65</v>
      </c>
      <c r="C15" s="344">
        <f t="shared" ref="C15:BN15" si="42">C16+C17</f>
        <v>85.757612000000009</v>
      </c>
      <c r="D15" s="344">
        <f t="shared" si="42"/>
        <v>81.333900999999997</v>
      </c>
      <c r="E15" s="344">
        <f t="shared" si="42"/>
        <v>79.639566000000002</v>
      </c>
      <c r="F15" s="344">
        <f t="shared" si="42"/>
        <v>86.705891000000008</v>
      </c>
      <c r="G15" s="344">
        <f t="shared" si="42"/>
        <v>82.075022000000004</v>
      </c>
      <c r="H15" s="344">
        <f t="shared" si="42"/>
        <v>84.744775000000004</v>
      </c>
      <c r="I15" s="344">
        <f t="shared" si="42"/>
        <v>85.3</v>
      </c>
      <c r="J15" s="344">
        <f t="shared" si="42"/>
        <v>86.3</v>
      </c>
      <c r="K15" s="344">
        <f t="shared" si="42"/>
        <v>92.897000000000006</v>
      </c>
      <c r="L15" s="344">
        <f t="shared" si="42"/>
        <v>90.323999999999998</v>
      </c>
      <c r="M15" s="344">
        <f t="shared" si="42"/>
        <v>83.8</v>
      </c>
      <c r="N15" s="344">
        <f t="shared" si="42"/>
        <v>97.909000000000006</v>
      </c>
      <c r="O15" s="344">
        <f>O16+O17</f>
        <v>81.8</v>
      </c>
      <c r="P15" s="344">
        <f t="shared" si="42"/>
        <v>82.34899999999999</v>
      </c>
      <c r="Q15" s="344">
        <f t="shared" si="42"/>
        <v>84.6</v>
      </c>
      <c r="R15" s="344">
        <f t="shared" si="42"/>
        <v>84.234000000000009</v>
      </c>
      <c r="S15" s="344">
        <f t="shared" si="42"/>
        <v>89.6</v>
      </c>
      <c r="T15" s="344">
        <f t="shared" si="42"/>
        <v>78</v>
      </c>
      <c r="U15" s="344">
        <f t="shared" si="42"/>
        <v>79</v>
      </c>
      <c r="V15" s="344" t="e">
        <f t="shared" si="42"/>
        <v>#VALUE!</v>
      </c>
      <c r="W15" s="344">
        <f t="shared" si="42"/>
        <v>75.5</v>
      </c>
      <c r="X15" s="344">
        <f t="shared" si="42"/>
        <v>89.2</v>
      </c>
      <c r="Y15" s="344">
        <f t="shared" si="42"/>
        <v>90</v>
      </c>
      <c r="Z15" s="344">
        <f t="shared" si="42"/>
        <v>95.179000000000002</v>
      </c>
      <c r="AA15" s="344">
        <f>AA16+AA17</f>
        <v>86.111111111111114</v>
      </c>
      <c r="AB15" s="344">
        <f t="shared" ref="AB15:AR15" si="43">AB16+AB17</f>
        <v>83.377777777777766</v>
      </c>
      <c r="AC15" s="344">
        <f t="shared" si="43"/>
        <v>78.711111111111109</v>
      </c>
      <c r="AD15" s="344">
        <f t="shared" si="43"/>
        <v>78.61333333333333</v>
      </c>
      <c r="AE15" s="344">
        <f t="shared" si="43"/>
        <v>78.111111111111114</v>
      </c>
      <c r="AF15" s="344">
        <f t="shared" si="43"/>
        <v>81.893333333333331</v>
      </c>
      <c r="AG15" s="344">
        <f t="shared" si="43"/>
        <v>82.431111111111107</v>
      </c>
      <c r="AH15" s="344">
        <f t="shared" si="43"/>
        <v>77.611111111111114</v>
      </c>
      <c r="AI15" s="344">
        <f t="shared" si="43"/>
        <v>61.9</v>
      </c>
      <c r="AJ15" s="344">
        <f t="shared" si="43"/>
        <v>68.8</v>
      </c>
      <c r="AK15" s="344">
        <f t="shared" si="43"/>
        <v>75.493827160493822</v>
      </c>
      <c r="AL15" s="344">
        <f t="shared" si="43"/>
        <v>85.203703703703709</v>
      </c>
      <c r="AM15" s="344">
        <f t="shared" si="43"/>
        <v>63.518518518518519</v>
      </c>
      <c r="AN15" s="344">
        <f t="shared" si="43"/>
        <v>71.148148148148152</v>
      </c>
      <c r="AO15" s="344">
        <f t="shared" si="43"/>
        <v>87.407407407407405</v>
      </c>
      <c r="AP15" s="344">
        <f t="shared" si="43"/>
        <v>85.407407407407405</v>
      </c>
      <c r="AQ15" s="344">
        <f t="shared" si="43"/>
        <v>81.23456790123457</v>
      </c>
      <c r="AR15" s="344">
        <f t="shared" si="43"/>
        <v>82.320987654320987</v>
      </c>
      <c r="AS15" s="344">
        <f t="shared" si="42"/>
        <v>83.549382716049379</v>
      </c>
      <c r="AT15" s="344">
        <f t="shared" si="42"/>
        <v>85.864197530864203</v>
      </c>
      <c r="AU15" s="344">
        <f t="shared" si="42"/>
        <v>80.820987654320987</v>
      </c>
      <c r="AV15" s="344">
        <f t="shared" si="42"/>
        <v>82.888888888888886</v>
      </c>
      <c r="AW15" s="344">
        <f t="shared" si="42"/>
        <v>80.339506172839506</v>
      </c>
      <c r="AX15" s="344">
        <f t="shared" si="42"/>
        <v>87.407407407407391</v>
      </c>
      <c r="AY15" s="344">
        <f t="shared" si="42"/>
        <v>84.320987654320987</v>
      </c>
      <c r="AZ15" s="344">
        <f t="shared" si="42"/>
        <v>60.506172839506178</v>
      </c>
      <c r="BA15" s="344">
        <f t="shared" si="42"/>
        <v>82.48888888888888</v>
      </c>
      <c r="BB15" s="344">
        <f t="shared" si="42"/>
        <v>65.348148148148155</v>
      </c>
      <c r="BC15" s="344">
        <f t="shared" si="42"/>
        <v>56.088888888888889</v>
      </c>
      <c r="BD15" s="344">
        <f>BD16+BD17</f>
        <v>61.049382716049379</v>
      </c>
      <c r="BE15" s="344">
        <f>BE16+BE17</f>
        <v>66.574049382716041</v>
      </c>
      <c r="BF15" s="344">
        <f>BF16+BF17</f>
        <v>78.259259259259267</v>
      </c>
      <c r="BG15" s="344">
        <f>BG16+BG17</f>
        <v>77.716049382716051</v>
      </c>
      <c r="BH15" s="344">
        <f>BH16+BH17</f>
        <v>82.981481481481467</v>
      </c>
      <c r="BI15" s="344">
        <f t="shared" si="42"/>
        <v>70.866419753086419</v>
      </c>
      <c r="BJ15" s="344">
        <f t="shared" si="42"/>
        <v>76.550246913580239</v>
      </c>
      <c r="BK15" s="344">
        <f t="shared" si="42"/>
        <v>82.808641975308632</v>
      </c>
      <c r="BL15" s="344">
        <f t="shared" si="42"/>
        <v>76.808641975308632</v>
      </c>
      <c r="BM15" s="344">
        <f t="shared" si="42"/>
        <v>83.753086419753089</v>
      </c>
      <c r="BN15" s="344">
        <f t="shared" si="42"/>
        <v>73.02098765432099</v>
      </c>
      <c r="BO15" s="344">
        <f t="shared" ref="BO15:BW15" si="44">BO16+BO17</f>
        <v>83.753086419753089</v>
      </c>
      <c r="BP15" s="344">
        <f t="shared" si="44"/>
        <v>76.172839506172835</v>
      </c>
      <c r="BQ15" s="344">
        <f t="shared" si="44"/>
        <v>65.777777777777771</v>
      </c>
      <c r="BR15" s="344">
        <f t="shared" si="44"/>
        <v>71.901234567901241</v>
      </c>
      <c r="BS15" s="428">
        <f t="shared" si="44"/>
        <v>69</v>
      </c>
      <c r="BT15" s="428">
        <f t="shared" si="44"/>
        <v>63.728395061728399</v>
      </c>
      <c r="BU15" s="428">
        <f t="shared" si="44"/>
        <v>69.691358024691354</v>
      </c>
      <c r="BV15" s="428">
        <f t="shared" si="44"/>
        <v>68.691358024691354</v>
      </c>
      <c r="BW15" s="463">
        <f t="shared" si="44"/>
        <v>69.938271604938279</v>
      </c>
      <c r="BX15" s="463">
        <f t="shared" ref="BX15:BY15" si="45">BX16+BX17</f>
        <v>61.975308641975303</v>
      </c>
      <c r="BY15" s="527">
        <f t="shared" si="45"/>
        <v>68.395061728395063</v>
      </c>
      <c r="BZ15" s="527">
        <f t="shared" ref="BZ15:CA15" si="46">BZ16+BZ17</f>
        <v>67.283950617283949</v>
      </c>
      <c r="CA15" s="527">
        <f t="shared" si="46"/>
        <v>65.308641975308632</v>
      </c>
      <c r="CB15" s="527">
        <f t="shared" ref="CB15:CC15" si="47">CB16+CB17</f>
        <v>62.654320987654323</v>
      </c>
      <c r="CC15" s="637">
        <f t="shared" si="47"/>
        <v>65.308641975308632</v>
      </c>
      <c r="CD15" s="637">
        <f t="shared" ref="CD15:CE15" si="48">CD16+CD17</f>
        <v>63.76543209876543</v>
      </c>
      <c r="CE15" s="656">
        <f t="shared" si="48"/>
        <v>65.740740740740733</v>
      </c>
      <c r="CF15" s="656">
        <f t="shared" ref="CF15:CG15" si="49">CF16+CF17</f>
        <v>69.938271604938279</v>
      </c>
      <c r="CG15" s="656">
        <f t="shared" si="49"/>
        <v>67.283950617283949</v>
      </c>
      <c r="CH15" s="656">
        <f t="shared" ref="CH15" si="50">CH16+CH17</f>
        <v>65.308641975308632</v>
      </c>
    </row>
    <row r="16" spans="1:96">
      <c r="B16" s="126" t="s">
        <v>9</v>
      </c>
      <c r="C16" s="344">
        <f t="shared" ref="C16:Z16" si="51">C7</f>
        <v>53.985610000000001</v>
      </c>
      <c r="D16" s="344">
        <f t="shared" si="51"/>
        <v>45.941310999999999</v>
      </c>
      <c r="E16" s="344">
        <f t="shared" si="51"/>
        <v>46.670610000000003</v>
      </c>
      <c r="F16" s="344">
        <f t="shared" si="51"/>
        <v>49.345337000000001</v>
      </c>
      <c r="G16" s="344">
        <f t="shared" si="51"/>
        <v>50.110622999999997</v>
      </c>
      <c r="H16" s="344">
        <f t="shared" si="51"/>
        <v>50.597169999999998</v>
      </c>
      <c r="I16" s="344">
        <f t="shared" si="51"/>
        <v>52.5</v>
      </c>
      <c r="J16" s="344">
        <f t="shared" si="51"/>
        <v>52.5</v>
      </c>
      <c r="K16" s="344">
        <f t="shared" si="51"/>
        <v>52.5</v>
      </c>
      <c r="L16" s="344">
        <f t="shared" si="51"/>
        <v>55</v>
      </c>
      <c r="M16" s="344">
        <f t="shared" si="51"/>
        <v>58</v>
      </c>
      <c r="N16" s="344">
        <f t="shared" si="51"/>
        <v>55.648000000000003</v>
      </c>
      <c r="O16" s="344">
        <f>O7</f>
        <v>31</v>
      </c>
      <c r="P16" s="344">
        <f t="shared" si="51"/>
        <v>28.548999999999999</v>
      </c>
      <c r="Q16" s="344">
        <f t="shared" si="51"/>
        <v>30</v>
      </c>
      <c r="R16" s="344">
        <f t="shared" si="51"/>
        <v>26.234000000000002</v>
      </c>
      <c r="S16" s="344">
        <f t="shared" si="51"/>
        <v>21.6</v>
      </c>
      <c r="T16" s="344">
        <f t="shared" si="51"/>
        <v>4.5999999999999996</v>
      </c>
      <c r="U16" s="344">
        <f t="shared" si="51"/>
        <v>23</v>
      </c>
      <c r="V16" s="344">
        <f t="shared" si="51"/>
        <v>25</v>
      </c>
      <c r="W16" s="344">
        <f t="shared" si="51"/>
        <v>21.5</v>
      </c>
      <c r="X16" s="344">
        <f t="shared" si="51"/>
        <v>31.2</v>
      </c>
      <c r="Y16" s="344">
        <f t="shared" si="51"/>
        <v>34</v>
      </c>
      <c r="Z16" s="344">
        <f t="shared" si="51"/>
        <v>35.179000000000002</v>
      </c>
      <c r="AA16" s="344">
        <f>AA7</f>
        <v>31</v>
      </c>
      <c r="AB16" s="344">
        <f>AB7</f>
        <v>29.4</v>
      </c>
      <c r="AC16" s="344">
        <f>AC7+AC8</f>
        <v>78.711111111111109</v>
      </c>
      <c r="AD16" s="344">
        <f t="shared" ref="AD16:BP16" si="52">AD7+AD8</f>
        <v>81.11333333333333</v>
      </c>
      <c r="AE16" s="344">
        <f t="shared" si="52"/>
        <v>78.111111111111114</v>
      </c>
      <c r="AF16" s="344">
        <f t="shared" si="52"/>
        <v>81.893333333333331</v>
      </c>
      <c r="AG16" s="344">
        <f t="shared" si="52"/>
        <v>82.431111111111107</v>
      </c>
      <c r="AH16" s="344">
        <f t="shared" si="52"/>
        <v>77.611111111111114</v>
      </c>
      <c r="AI16" s="344">
        <f t="shared" si="52"/>
        <v>61.9</v>
      </c>
      <c r="AJ16" s="344">
        <f t="shared" si="52"/>
        <v>68.8</v>
      </c>
      <c r="AK16" s="344">
        <f t="shared" si="52"/>
        <v>75.493827160493822</v>
      </c>
      <c r="AL16" s="344">
        <f t="shared" si="52"/>
        <v>85.203703703703709</v>
      </c>
      <c r="AM16" s="344">
        <f t="shared" si="52"/>
        <v>63.518518518518519</v>
      </c>
      <c r="AN16" s="344">
        <f t="shared" si="52"/>
        <v>71.148148148148152</v>
      </c>
      <c r="AO16" s="344">
        <f>AO7+AO8</f>
        <v>87.407407407407405</v>
      </c>
      <c r="AP16" s="344">
        <f>AP7+AP8</f>
        <v>85.407407407407405</v>
      </c>
      <c r="AQ16" s="344">
        <f>AQ7+AQ8</f>
        <v>81.23456790123457</v>
      </c>
      <c r="AR16" s="344">
        <f>AR7+AR8</f>
        <v>82.320987654320987</v>
      </c>
      <c r="AS16" s="344">
        <f t="shared" si="52"/>
        <v>83.549382716049379</v>
      </c>
      <c r="AT16" s="344">
        <f t="shared" si="52"/>
        <v>85.864197530864203</v>
      </c>
      <c r="AU16" s="344">
        <f t="shared" si="52"/>
        <v>80.820987654320987</v>
      </c>
      <c r="AV16" s="344">
        <f t="shared" si="52"/>
        <v>82.888888888888886</v>
      </c>
      <c r="AW16" s="344">
        <f t="shared" si="52"/>
        <v>80.339506172839506</v>
      </c>
      <c r="AX16" s="344">
        <f t="shared" si="52"/>
        <v>87.407407407407391</v>
      </c>
      <c r="AY16" s="344">
        <f t="shared" si="52"/>
        <v>84.320987654320987</v>
      </c>
      <c r="AZ16" s="344">
        <f t="shared" si="52"/>
        <v>60.506172839506178</v>
      </c>
      <c r="BA16" s="344">
        <f t="shared" si="52"/>
        <v>82.48888888888888</v>
      </c>
      <c r="BB16" s="344">
        <f t="shared" si="52"/>
        <v>65.348148148148155</v>
      </c>
      <c r="BC16" s="344">
        <f t="shared" si="52"/>
        <v>56.088888888888889</v>
      </c>
      <c r="BD16" s="344">
        <f>BD7+BD8</f>
        <v>61.049382716049379</v>
      </c>
      <c r="BE16" s="344">
        <f>BE7+BE8</f>
        <v>66.574049382716041</v>
      </c>
      <c r="BF16" s="344">
        <f>BF7+BF8</f>
        <v>78.259259259259267</v>
      </c>
      <c r="BG16" s="344">
        <f>BG7+BG8</f>
        <v>77.716049382716051</v>
      </c>
      <c r="BH16" s="344">
        <f>BH7+BH8</f>
        <v>82.981481481481467</v>
      </c>
      <c r="BI16" s="344">
        <f t="shared" si="52"/>
        <v>70.866419753086419</v>
      </c>
      <c r="BJ16" s="344">
        <f t="shared" si="52"/>
        <v>76.550246913580239</v>
      </c>
      <c r="BK16" s="344">
        <f t="shared" si="52"/>
        <v>82.808641975308632</v>
      </c>
      <c r="BL16" s="344">
        <f t="shared" si="52"/>
        <v>76.808641975308632</v>
      </c>
      <c r="BM16" s="344">
        <f t="shared" si="52"/>
        <v>83.753086419753089</v>
      </c>
      <c r="BN16" s="344">
        <f t="shared" si="52"/>
        <v>73.02098765432099</v>
      </c>
      <c r="BO16" s="344">
        <f t="shared" si="52"/>
        <v>83.753086419753089</v>
      </c>
      <c r="BP16" s="344">
        <f t="shared" si="52"/>
        <v>76.172839506172835</v>
      </c>
      <c r="BQ16" s="344">
        <f t="shared" ref="BQ16:BW16" si="53">BQ7+BQ8</f>
        <v>65.777777777777771</v>
      </c>
      <c r="BR16" s="344">
        <f t="shared" si="53"/>
        <v>71.901234567901241</v>
      </c>
      <c r="BS16" s="428">
        <f t="shared" si="53"/>
        <v>69</v>
      </c>
      <c r="BT16" s="428">
        <f t="shared" si="53"/>
        <v>63.728395061728399</v>
      </c>
      <c r="BU16" s="428">
        <f t="shared" si="53"/>
        <v>69.691358024691354</v>
      </c>
      <c r="BV16" s="428">
        <f t="shared" si="53"/>
        <v>68.691358024691354</v>
      </c>
      <c r="BW16" s="463">
        <f t="shared" si="53"/>
        <v>69.938271604938279</v>
      </c>
      <c r="BX16" s="463">
        <f t="shared" ref="BX16:BY16" si="54">BX7+BX8</f>
        <v>61.975308641975303</v>
      </c>
      <c r="BY16" s="527">
        <f t="shared" si="54"/>
        <v>68.395061728395063</v>
      </c>
      <c r="BZ16" s="527">
        <f t="shared" ref="BZ16:CA16" si="55">BZ7+BZ8</f>
        <v>67.283950617283949</v>
      </c>
      <c r="CA16" s="527">
        <f t="shared" si="55"/>
        <v>65.308641975308632</v>
      </c>
      <c r="CB16" s="527">
        <f t="shared" ref="CB16:CC16" si="56">CB7+CB8</f>
        <v>62.654320987654323</v>
      </c>
      <c r="CC16" s="637">
        <f t="shared" si="56"/>
        <v>65.308641975308632</v>
      </c>
      <c r="CD16" s="637">
        <f t="shared" ref="CD16:CE16" si="57">CD7+CD8</f>
        <v>63.76543209876543</v>
      </c>
      <c r="CE16" s="656">
        <f t="shared" si="57"/>
        <v>65.740740740740733</v>
      </c>
      <c r="CF16" s="656">
        <f t="shared" ref="CF16:CG16" si="58">CF7+CF8</f>
        <v>69.938271604938279</v>
      </c>
      <c r="CG16" s="656">
        <f t="shared" si="58"/>
        <v>67.283950617283949</v>
      </c>
      <c r="CH16" s="656">
        <f t="shared" ref="CH16" si="59">CH7+CH8</f>
        <v>65.308641975308632</v>
      </c>
      <c r="CL16" s="207" t="s">
        <v>238</v>
      </c>
    </row>
    <row r="17" spans="1:90" ht="15" thickBot="1">
      <c r="B17" s="126" t="s">
        <v>66</v>
      </c>
      <c r="C17" s="344">
        <f t="shared" ref="C17:Z17" si="60">C8+C9+C10</f>
        <v>31.772002000000004</v>
      </c>
      <c r="D17" s="344">
        <f t="shared" si="60"/>
        <v>35.392589999999998</v>
      </c>
      <c r="E17" s="344">
        <f t="shared" si="60"/>
        <v>32.968956000000006</v>
      </c>
      <c r="F17" s="344">
        <f t="shared" si="60"/>
        <v>37.360554</v>
      </c>
      <c r="G17" s="344">
        <f t="shared" si="60"/>
        <v>31.964399000000004</v>
      </c>
      <c r="H17" s="344">
        <f t="shared" si="60"/>
        <v>34.147604999999999</v>
      </c>
      <c r="I17" s="344">
        <f>I8+I9</f>
        <v>32.799999999999997</v>
      </c>
      <c r="J17" s="344">
        <f t="shared" si="60"/>
        <v>33.799999999999997</v>
      </c>
      <c r="K17" s="344">
        <f t="shared" si="60"/>
        <v>40.397000000000006</v>
      </c>
      <c r="L17" s="344">
        <f t="shared" si="60"/>
        <v>35.323999999999998</v>
      </c>
      <c r="M17" s="344">
        <f t="shared" si="60"/>
        <v>25.8</v>
      </c>
      <c r="N17" s="344">
        <f t="shared" si="60"/>
        <v>42.261000000000003</v>
      </c>
      <c r="O17" s="344">
        <f>O8+O9+O10</f>
        <v>50.8</v>
      </c>
      <c r="P17" s="344">
        <f t="shared" si="60"/>
        <v>53.8</v>
      </c>
      <c r="Q17" s="344">
        <f t="shared" si="60"/>
        <v>54.599999999999994</v>
      </c>
      <c r="R17" s="344">
        <f t="shared" si="60"/>
        <v>58</v>
      </c>
      <c r="S17" s="344">
        <f t="shared" si="60"/>
        <v>68</v>
      </c>
      <c r="T17" s="344">
        <f t="shared" si="60"/>
        <v>73.400000000000006</v>
      </c>
      <c r="U17" s="344">
        <f t="shared" si="60"/>
        <v>56</v>
      </c>
      <c r="V17" s="344" t="e">
        <f t="shared" si="60"/>
        <v>#VALUE!</v>
      </c>
      <c r="W17" s="344">
        <f t="shared" si="60"/>
        <v>54</v>
      </c>
      <c r="X17" s="344">
        <f t="shared" si="60"/>
        <v>58</v>
      </c>
      <c r="Y17" s="344">
        <f t="shared" si="60"/>
        <v>56</v>
      </c>
      <c r="Z17" s="344">
        <f t="shared" si="60"/>
        <v>60</v>
      </c>
      <c r="AA17" s="344">
        <f>AA8+AA9+AA10</f>
        <v>55.111111111111114</v>
      </c>
      <c r="AB17" s="344">
        <f>AB8+AB9+AB10</f>
        <v>53.977777777777774</v>
      </c>
      <c r="AC17" s="344">
        <f>AC9</f>
        <v>0</v>
      </c>
      <c r="AD17" s="344">
        <f t="shared" ref="AD17:BP17" si="61">AD9</f>
        <v>-2.5</v>
      </c>
      <c r="AE17" s="344">
        <f t="shared" si="61"/>
        <v>0</v>
      </c>
      <c r="AF17" s="344">
        <f t="shared" si="61"/>
        <v>0</v>
      </c>
      <c r="AG17" s="344">
        <f t="shared" si="61"/>
        <v>0</v>
      </c>
      <c r="AH17" s="344">
        <f t="shared" si="61"/>
        <v>0</v>
      </c>
      <c r="AI17" s="344">
        <f t="shared" si="61"/>
        <v>0</v>
      </c>
      <c r="AJ17" s="344">
        <f t="shared" si="61"/>
        <v>0</v>
      </c>
      <c r="AK17" s="344">
        <f t="shared" si="61"/>
        <v>0</v>
      </c>
      <c r="AL17" s="344">
        <f t="shared" si="61"/>
        <v>0</v>
      </c>
      <c r="AM17" s="344">
        <f t="shared" si="61"/>
        <v>0</v>
      </c>
      <c r="AN17" s="344">
        <f t="shared" si="61"/>
        <v>0</v>
      </c>
      <c r="AO17" s="344">
        <f>AO9</f>
        <v>0</v>
      </c>
      <c r="AP17" s="344">
        <f>AP9</f>
        <v>0</v>
      </c>
      <c r="AQ17" s="344">
        <f>AQ9</f>
        <v>0</v>
      </c>
      <c r="AR17" s="344">
        <f>AR9</f>
        <v>0</v>
      </c>
      <c r="AS17" s="344">
        <f t="shared" si="61"/>
        <v>0</v>
      </c>
      <c r="AT17" s="344">
        <f t="shared" si="61"/>
        <v>0</v>
      </c>
      <c r="AU17" s="344">
        <f t="shared" si="61"/>
        <v>0</v>
      </c>
      <c r="AV17" s="344">
        <f t="shared" si="61"/>
        <v>0</v>
      </c>
      <c r="AW17" s="344">
        <f t="shared" si="61"/>
        <v>0</v>
      </c>
      <c r="AX17" s="344">
        <f t="shared" si="61"/>
        <v>0</v>
      </c>
      <c r="AY17" s="344">
        <f t="shared" si="61"/>
        <v>0</v>
      </c>
      <c r="AZ17" s="344">
        <f t="shared" si="61"/>
        <v>0</v>
      </c>
      <c r="BA17" s="344">
        <f t="shared" si="61"/>
        <v>0</v>
      </c>
      <c r="BB17" s="344">
        <f t="shared" si="61"/>
        <v>0</v>
      </c>
      <c r="BC17" s="344">
        <f t="shared" si="61"/>
        <v>0</v>
      </c>
      <c r="BD17" s="344">
        <f>BD9</f>
        <v>0</v>
      </c>
      <c r="BE17" s="344">
        <f>BE9</f>
        <v>0</v>
      </c>
      <c r="BF17" s="344">
        <f>BF9</f>
        <v>0</v>
      </c>
      <c r="BG17" s="344">
        <f>BG9</f>
        <v>0</v>
      </c>
      <c r="BH17" s="344">
        <f>BH9</f>
        <v>0</v>
      </c>
      <c r="BI17" s="344">
        <f t="shared" si="61"/>
        <v>0</v>
      </c>
      <c r="BJ17" s="344">
        <f t="shared" si="61"/>
        <v>0</v>
      </c>
      <c r="BK17" s="344">
        <f>BK9</f>
        <v>0</v>
      </c>
      <c r="BL17" s="344">
        <f t="shared" si="61"/>
        <v>0</v>
      </c>
      <c r="BM17" s="344">
        <f t="shared" si="61"/>
        <v>0</v>
      </c>
      <c r="BN17" s="344">
        <f t="shared" si="61"/>
        <v>0</v>
      </c>
      <c r="BO17" s="344">
        <f t="shared" si="61"/>
        <v>0</v>
      </c>
      <c r="BP17" s="344">
        <f t="shared" si="61"/>
        <v>0</v>
      </c>
      <c r="BQ17" s="344">
        <f t="shared" ref="BQ17:BW17" si="62">BQ9</f>
        <v>0</v>
      </c>
      <c r="BR17" s="344">
        <f t="shared" si="62"/>
        <v>0</v>
      </c>
      <c r="BS17" s="428">
        <f t="shared" si="62"/>
        <v>0</v>
      </c>
      <c r="BT17" s="428">
        <f t="shared" si="62"/>
        <v>0</v>
      </c>
      <c r="BU17" s="428">
        <f t="shared" si="62"/>
        <v>0</v>
      </c>
      <c r="BV17" s="428">
        <f t="shared" si="62"/>
        <v>0</v>
      </c>
      <c r="BW17" s="463">
        <f t="shared" si="62"/>
        <v>0</v>
      </c>
      <c r="BX17" s="463">
        <f t="shared" ref="BX17:BY17" si="63">BX9</f>
        <v>0</v>
      </c>
      <c r="BY17" s="527">
        <f t="shared" si="63"/>
        <v>0</v>
      </c>
      <c r="BZ17" s="527">
        <f t="shared" ref="BZ17:CA17" si="64">BZ9</f>
        <v>0</v>
      </c>
      <c r="CA17" s="527">
        <f t="shared" si="64"/>
        <v>0</v>
      </c>
      <c r="CB17" s="527">
        <f t="shared" ref="CB17:CC17" si="65">CB9</f>
        <v>0</v>
      </c>
      <c r="CC17" s="637">
        <f t="shared" si="65"/>
        <v>0</v>
      </c>
      <c r="CD17" s="637">
        <f t="shared" ref="CD17:CE17" si="66">CD9</f>
        <v>0</v>
      </c>
      <c r="CE17" s="656">
        <f t="shared" si="66"/>
        <v>0</v>
      </c>
      <c r="CF17" s="656">
        <f t="shared" ref="CF17:CG17" si="67">CF9</f>
        <v>0</v>
      </c>
      <c r="CG17" s="656">
        <f t="shared" si="67"/>
        <v>0</v>
      </c>
      <c r="CH17" s="656">
        <f t="shared" ref="CH17" si="68">CH9</f>
        <v>0</v>
      </c>
    </row>
    <row r="18" spans="1:90" ht="15" thickBot="1">
      <c r="C18" s="344"/>
      <c r="D18" s="344"/>
      <c r="E18" s="344"/>
      <c r="F18" s="344"/>
      <c r="G18" s="344"/>
      <c r="H18" s="344"/>
      <c r="I18" s="344"/>
      <c r="J18" s="344"/>
      <c r="K18" s="344"/>
      <c r="L18" s="344"/>
      <c r="M18" s="344"/>
      <c r="N18" s="344"/>
      <c r="O18" s="344"/>
      <c r="P18" s="344"/>
      <c r="Q18" s="344"/>
      <c r="R18" s="344"/>
      <c r="S18" s="344"/>
      <c r="T18" s="344"/>
      <c r="U18" s="344"/>
      <c r="V18" s="344"/>
      <c r="W18" s="344"/>
      <c r="X18" s="344"/>
      <c r="Y18" s="344"/>
      <c r="Z18" s="344"/>
      <c r="AA18" s="344"/>
      <c r="AB18" s="344"/>
      <c r="AC18" s="344"/>
      <c r="AD18" s="344"/>
      <c r="AE18" s="344"/>
      <c r="AF18" s="344"/>
      <c r="AG18" s="344"/>
      <c r="AH18" s="344"/>
      <c r="AI18" s="344"/>
      <c r="AJ18" s="344"/>
      <c r="AK18" s="344"/>
      <c r="AL18" s="344"/>
      <c r="AM18" s="344"/>
      <c r="AN18" s="344"/>
      <c r="AO18" s="344"/>
      <c r="AP18" s="344"/>
      <c r="AQ18" s="344"/>
      <c r="AR18" s="344"/>
      <c r="AS18" s="344"/>
      <c r="AT18" s="344"/>
      <c r="AU18" s="344"/>
      <c r="AV18" s="344"/>
      <c r="AW18" s="344"/>
      <c r="AX18" s="344"/>
      <c r="AY18" s="344"/>
      <c r="AZ18" s="344"/>
      <c r="BA18" s="344"/>
      <c r="BB18" s="344"/>
      <c r="BC18" s="203">
        <f>BC6*0.648</f>
        <v>37.042272000000004</v>
      </c>
      <c r="BD18" s="203">
        <f>BD6*0.648</f>
        <v>39.657600000000002</v>
      </c>
      <c r="BE18" s="344"/>
      <c r="BF18" s="344"/>
      <c r="BG18" s="344"/>
      <c r="BH18" s="344"/>
      <c r="BI18" s="344"/>
      <c r="BJ18" s="344"/>
      <c r="BK18" s="344"/>
      <c r="BL18" s="344"/>
      <c r="BM18" s="344"/>
      <c r="BN18" s="344"/>
      <c r="BO18" s="344"/>
      <c r="BP18" s="344"/>
      <c r="BQ18" s="344"/>
      <c r="BR18" s="344"/>
      <c r="BS18" s="428"/>
      <c r="BT18" s="428"/>
      <c r="BU18" s="428"/>
      <c r="BV18" s="428"/>
      <c r="BW18" s="463"/>
      <c r="BX18" s="463"/>
      <c r="BY18" s="527"/>
      <c r="BZ18" s="527"/>
      <c r="CA18" s="527"/>
      <c r="CB18" s="527"/>
      <c r="CC18" s="637"/>
      <c r="CD18" s="637"/>
      <c r="CE18" s="656"/>
      <c r="CF18" s="656"/>
      <c r="CG18" s="656"/>
      <c r="CH18" s="656"/>
    </row>
    <row r="19" spans="1:90" ht="15" thickBot="1">
      <c r="A19" s="201" t="s">
        <v>56</v>
      </c>
      <c r="B19" s="201" t="s">
        <v>67</v>
      </c>
      <c r="C19" s="202">
        <f t="shared" ref="C19:BN20" si="69">C7*0.648</f>
        <v>34.982675280000002</v>
      </c>
      <c r="D19" s="202">
        <f t="shared" si="69"/>
        <v>29.769969528000001</v>
      </c>
      <c r="E19" s="202">
        <f t="shared" si="69"/>
        <v>30.242555280000005</v>
      </c>
      <c r="F19" s="202">
        <f t="shared" si="69"/>
        <v>31.975778376000001</v>
      </c>
      <c r="G19" s="202">
        <f t="shared" si="69"/>
        <v>32.471683704</v>
      </c>
      <c r="H19" s="202">
        <f t="shared" si="69"/>
        <v>32.786966159999999</v>
      </c>
      <c r="I19" s="203">
        <f t="shared" si="69"/>
        <v>34.020000000000003</v>
      </c>
      <c r="J19" s="203">
        <f t="shared" si="69"/>
        <v>34.020000000000003</v>
      </c>
      <c r="K19" s="203">
        <f t="shared" si="69"/>
        <v>34.020000000000003</v>
      </c>
      <c r="L19" s="203">
        <f t="shared" si="69"/>
        <v>35.64</v>
      </c>
      <c r="M19" s="203">
        <f t="shared" si="69"/>
        <v>37.584000000000003</v>
      </c>
      <c r="N19" s="203">
        <f t="shared" si="69"/>
        <v>36.059904000000003</v>
      </c>
      <c r="O19" s="203">
        <f t="shared" si="69"/>
        <v>20.088000000000001</v>
      </c>
      <c r="P19" s="203">
        <f t="shared" si="69"/>
        <v>18.499752000000001</v>
      </c>
      <c r="Q19" s="203">
        <f t="shared" si="69"/>
        <v>19.440000000000001</v>
      </c>
      <c r="R19" s="203">
        <f t="shared" si="69"/>
        <v>16.999632000000002</v>
      </c>
      <c r="S19" s="203">
        <f t="shared" si="69"/>
        <v>13.996800000000002</v>
      </c>
      <c r="T19" s="203">
        <f t="shared" si="69"/>
        <v>2.9807999999999999</v>
      </c>
      <c r="U19" s="203">
        <f t="shared" si="69"/>
        <v>14.904</v>
      </c>
      <c r="V19" s="203">
        <f t="shared" si="69"/>
        <v>16.2</v>
      </c>
      <c r="W19" s="203">
        <f t="shared" si="69"/>
        <v>13.932</v>
      </c>
      <c r="X19" s="203">
        <f t="shared" si="69"/>
        <v>20.217600000000001</v>
      </c>
      <c r="Y19" s="203">
        <f t="shared" si="69"/>
        <v>22.032</v>
      </c>
      <c r="Z19" s="203">
        <f t="shared" si="69"/>
        <v>22.795992000000002</v>
      </c>
      <c r="AA19" s="203">
        <f t="shared" si="69"/>
        <v>20.088000000000001</v>
      </c>
      <c r="AB19" s="203">
        <f t="shared" si="69"/>
        <v>19.051199999999998</v>
      </c>
      <c r="AC19" s="203">
        <f t="shared" si="69"/>
        <v>15.292800000000002</v>
      </c>
      <c r="AD19" s="203">
        <f t="shared" si="69"/>
        <v>18.001440000000002</v>
      </c>
      <c r="AE19" s="203">
        <f t="shared" si="69"/>
        <v>14.904</v>
      </c>
      <c r="AF19" s="203">
        <f t="shared" si="69"/>
        <v>18.506879999999999</v>
      </c>
      <c r="AG19" s="203">
        <f t="shared" si="69"/>
        <v>17.70336</v>
      </c>
      <c r="AH19" s="203">
        <f t="shared" si="69"/>
        <v>14.58</v>
      </c>
      <c r="AI19" s="203">
        <f t="shared" si="69"/>
        <v>9.7200000000000006</v>
      </c>
      <c r="AJ19" s="203">
        <f t="shared" si="69"/>
        <v>15.422400000000001</v>
      </c>
      <c r="AK19" s="203">
        <f t="shared" si="69"/>
        <v>23.000000000000004</v>
      </c>
      <c r="AL19" s="203">
        <f t="shared" si="69"/>
        <v>19.5</v>
      </c>
      <c r="AM19" s="203">
        <f t="shared" si="69"/>
        <v>12</v>
      </c>
      <c r="AN19" s="203">
        <f t="shared" si="69"/>
        <v>15.000000000000002</v>
      </c>
      <c r="AO19" s="203">
        <f t="shared" si="69"/>
        <v>21</v>
      </c>
      <c r="AP19" s="203">
        <f t="shared" si="69"/>
        <v>21</v>
      </c>
      <c r="AQ19" s="203">
        <f t="shared" si="69"/>
        <v>17</v>
      </c>
      <c r="AR19" s="203">
        <f t="shared" si="69"/>
        <v>19</v>
      </c>
      <c r="AS19" s="203">
        <f t="shared" si="69"/>
        <v>18.5</v>
      </c>
      <c r="AT19" s="203">
        <f t="shared" si="69"/>
        <v>20</v>
      </c>
      <c r="AU19" s="203">
        <f t="shared" si="69"/>
        <v>19</v>
      </c>
      <c r="AV19" s="203">
        <f t="shared" si="69"/>
        <v>18</v>
      </c>
      <c r="AW19" s="203">
        <f t="shared" si="69"/>
        <v>17.5</v>
      </c>
      <c r="AX19" s="203">
        <f t="shared" si="69"/>
        <v>20.999999999999993</v>
      </c>
      <c r="AY19" s="225">
        <f t="shared" si="69"/>
        <v>19</v>
      </c>
      <c r="AZ19" s="225">
        <f t="shared" si="69"/>
        <v>5.8</v>
      </c>
      <c r="BA19" s="203">
        <f t="shared" si="69"/>
        <v>25.2</v>
      </c>
      <c r="BB19" s="203">
        <f t="shared" si="69"/>
        <v>15.000000000000002</v>
      </c>
      <c r="BC19" s="203">
        <f t="shared" si="69"/>
        <v>9</v>
      </c>
      <c r="BD19" s="203">
        <f t="shared" si="69"/>
        <v>5</v>
      </c>
      <c r="BE19" s="203">
        <f t="shared" si="69"/>
        <v>5</v>
      </c>
      <c r="BF19" s="203">
        <f t="shared" si="69"/>
        <v>15.000000000000002</v>
      </c>
      <c r="BG19" s="203">
        <f t="shared" si="69"/>
        <v>23.000000000000004</v>
      </c>
      <c r="BH19" s="203">
        <f t="shared" si="69"/>
        <v>25.499999999999996</v>
      </c>
      <c r="BI19" s="203">
        <f t="shared" si="69"/>
        <v>20</v>
      </c>
      <c r="BJ19" s="203">
        <f t="shared" si="69"/>
        <v>22</v>
      </c>
      <c r="BK19" s="203">
        <f t="shared" si="69"/>
        <v>24.5</v>
      </c>
      <c r="BL19" s="203">
        <f t="shared" si="69"/>
        <v>24.5</v>
      </c>
      <c r="BM19" s="203">
        <f t="shared" si="69"/>
        <v>26</v>
      </c>
      <c r="BN19" s="597">
        <f t="shared" si="69"/>
        <v>19</v>
      </c>
      <c r="BO19" s="597">
        <f t="shared" ref="BO19:BV20" si="70">BO7*0.648</f>
        <v>26</v>
      </c>
      <c r="BP19" s="597">
        <f t="shared" si="70"/>
        <v>22</v>
      </c>
      <c r="BQ19" s="597">
        <f t="shared" ref="BQ19:BW19" si="71">BQ7*0.648</f>
        <v>18</v>
      </c>
      <c r="BR19" s="597">
        <f>BR7*0.648</f>
        <v>19.7</v>
      </c>
      <c r="BS19" s="597">
        <f t="shared" si="71"/>
        <v>16.5</v>
      </c>
      <c r="BT19" s="597">
        <f>BT7*0.648</f>
        <v>12</v>
      </c>
      <c r="BU19" s="597">
        <f t="shared" si="71"/>
        <v>16</v>
      </c>
      <c r="BV19" s="597">
        <f t="shared" si="71"/>
        <v>16</v>
      </c>
      <c r="BW19" s="597">
        <f t="shared" si="71"/>
        <v>23.000000000000004</v>
      </c>
      <c r="BX19" s="597">
        <f t="shared" ref="BX19:BY19" si="72">BX7*0.648</f>
        <v>20</v>
      </c>
      <c r="BY19" s="597">
        <f t="shared" si="72"/>
        <v>22</v>
      </c>
      <c r="BZ19" s="597">
        <f t="shared" ref="BZ19:CA19" si="73">BZ7*0.648</f>
        <v>22</v>
      </c>
      <c r="CA19" s="597">
        <f t="shared" si="73"/>
        <v>20</v>
      </c>
      <c r="CB19" s="597">
        <f t="shared" ref="CB19:CC19" si="74">CB7*0.648</f>
        <v>19</v>
      </c>
      <c r="CC19" s="597">
        <f t="shared" si="74"/>
        <v>20</v>
      </c>
      <c r="CD19" s="597">
        <f t="shared" ref="CD19:CE19" si="75">CD7*0.648</f>
        <v>19</v>
      </c>
      <c r="CE19" s="597">
        <f t="shared" si="75"/>
        <v>21</v>
      </c>
      <c r="CF19" s="597">
        <f t="shared" ref="CF19:CG19" si="76">CF7*0.648</f>
        <v>23.000000000000004</v>
      </c>
      <c r="CG19" s="597">
        <f t="shared" si="76"/>
        <v>22</v>
      </c>
      <c r="CH19" s="597">
        <f t="shared" ref="CH19" si="77">CH7*0.648</f>
        <v>20</v>
      </c>
    </row>
    <row r="20" spans="1:90" ht="15" thickBot="1">
      <c r="H20" s="344"/>
      <c r="I20" s="344"/>
      <c r="J20" s="344"/>
      <c r="K20" s="344"/>
      <c r="L20" s="344"/>
      <c r="M20" s="344"/>
      <c r="N20" s="344"/>
      <c r="O20" s="344"/>
      <c r="P20" s="344">
        <v>2500</v>
      </c>
      <c r="Q20" s="344">
        <v>1500</v>
      </c>
      <c r="R20" s="344"/>
      <c r="S20" s="344"/>
      <c r="T20" s="344"/>
      <c r="U20" s="344"/>
      <c r="V20" s="344"/>
      <c r="W20" s="344"/>
      <c r="X20" s="344"/>
      <c r="Y20" s="344"/>
      <c r="Z20" s="344"/>
      <c r="AA20" s="344"/>
      <c r="AB20" s="344"/>
      <c r="AC20" s="344"/>
      <c r="AD20" s="344"/>
      <c r="AE20" s="344"/>
      <c r="AF20" s="344"/>
      <c r="AG20" s="344"/>
      <c r="AH20" s="344"/>
      <c r="AI20" s="344"/>
      <c r="AJ20" s="344"/>
      <c r="AK20" s="344"/>
      <c r="AL20" s="344"/>
      <c r="AM20" s="344"/>
      <c r="AN20" s="344"/>
      <c r="AO20" s="344"/>
      <c r="AP20" s="344"/>
      <c r="AQ20" s="344"/>
      <c r="AR20" s="344"/>
      <c r="AS20" s="344"/>
      <c r="AT20" s="344"/>
      <c r="AU20" s="344"/>
      <c r="AV20" s="344"/>
      <c r="AW20" s="344"/>
      <c r="AX20" s="344"/>
      <c r="AY20" s="226" t="s">
        <v>74</v>
      </c>
      <c r="AZ20" s="226" t="s">
        <v>77</v>
      </c>
      <c r="BA20" s="344"/>
      <c r="BB20" s="344"/>
      <c r="BC20" s="203">
        <f t="shared" si="69"/>
        <v>27.345600000000001</v>
      </c>
      <c r="BD20" s="203">
        <f t="shared" si="69"/>
        <v>34.559999999999995</v>
      </c>
      <c r="BE20" s="203">
        <f t="shared" si="69"/>
        <v>38.139983999999998</v>
      </c>
      <c r="BF20" s="203">
        <f t="shared" si="69"/>
        <v>35.712000000000003</v>
      </c>
      <c r="BG20" s="203">
        <f t="shared" si="69"/>
        <v>27.36</v>
      </c>
      <c r="BH20" s="203">
        <f t="shared" si="69"/>
        <v>28.271999999999998</v>
      </c>
      <c r="BI20" s="203">
        <f t="shared" si="69"/>
        <v>25.92144</v>
      </c>
      <c r="BJ20" s="203">
        <f t="shared" si="69"/>
        <v>27.604559999999999</v>
      </c>
      <c r="BK20" s="203">
        <f t="shared" si="69"/>
        <v>29.16</v>
      </c>
      <c r="BL20" s="203">
        <f t="shared" si="69"/>
        <v>25.272000000000002</v>
      </c>
      <c r="BM20" s="203">
        <f t="shared" si="69"/>
        <v>28.271999999999998</v>
      </c>
      <c r="BN20" s="597">
        <f t="shared" si="69"/>
        <v>28.317600000000002</v>
      </c>
      <c r="BO20" s="597">
        <f t="shared" si="70"/>
        <v>28.271999999999998</v>
      </c>
      <c r="BP20" s="597">
        <f t="shared" si="70"/>
        <v>27.36</v>
      </c>
      <c r="BQ20" s="597">
        <f t="shared" si="70"/>
        <v>24.624000000000002</v>
      </c>
      <c r="BR20" s="597">
        <f>BR8*0.648</f>
        <v>26.892000000000007</v>
      </c>
      <c r="BS20" s="597">
        <f t="shared" si="70"/>
        <v>28.212000000000003</v>
      </c>
      <c r="BT20" s="597">
        <f t="shared" si="70"/>
        <v>29.296000000000003</v>
      </c>
      <c r="BU20" s="597">
        <f t="shared" si="70"/>
        <v>29.16</v>
      </c>
      <c r="BV20" s="597">
        <f t="shared" si="70"/>
        <v>28.512</v>
      </c>
      <c r="BW20" s="597">
        <f t="shared" ref="BW20:CB20" si="78">BW8*0.648</f>
        <v>22.32</v>
      </c>
      <c r="BX20" s="597">
        <f t="shared" si="78"/>
        <v>20.16</v>
      </c>
      <c r="BY20" s="597">
        <f t="shared" si="78"/>
        <v>22.32</v>
      </c>
      <c r="BZ20" s="597">
        <f t="shared" si="78"/>
        <v>21.6</v>
      </c>
      <c r="CA20" s="597">
        <f t="shared" si="78"/>
        <v>22.32</v>
      </c>
      <c r="CB20" s="597">
        <f t="shared" si="78"/>
        <v>21.6</v>
      </c>
      <c r="CC20" s="597">
        <f t="shared" ref="CC20:CD20" si="79">CC8*0.648</f>
        <v>22.32</v>
      </c>
      <c r="CD20" s="597">
        <f t="shared" si="79"/>
        <v>22.32</v>
      </c>
      <c r="CE20" s="597">
        <f t="shared" ref="CE20:CF20" si="80">CE8*0.648</f>
        <v>21.6</v>
      </c>
      <c r="CF20" s="597">
        <f t="shared" si="80"/>
        <v>22.32</v>
      </c>
      <c r="CG20" s="597">
        <f t="shared" ref="CG20:CH20" si="81">CG8*0.648</f>
        <v>21.6</v>
      </c>
      <c r="CH20" s="597">
        <f t="shared" si="81"/>
        <v>22.32</v>
      </c>
    </row>
    <row r="21" spans="1:90">
      <c r="AI21" s="126">
        <v>8.8000000000000007</v>
      </c>
      <c r="AN21" s="126" t="s">
        <v>0</v>
      </c>
      <c r="AQ21" s="126" t="s">
        <v>43</v>
      </c>
      <c r="BL21" s="527"/>
      <c r="BM21" s="527"/>
      <c r="BN21" s="527"/>
      <c r="BO21" s="527"/>
      <c r="BP21" s="527"/>
      <c r="BQ21" s="527"/>
      <c r="BR21" s="527"/>
      <c r="BS21" s="527"/>
      <c r="BT21" s="527"/>
      <c r="BU21" s="527"/>
      <c r="BV21" s="527"/>
    </row>
    <row r="22" spans="1:90">
      <c r="A22" s="212" t="s">
        <v>202</v>
      </c>
      <c r="B22" s="207" t="s">
        <v>205</v>
      </c>
      <c r="AM22" s="126">
        <v>79.371857142857138</v>
      </c>
      <c r="AN22" s="126" t="s">
        <v>68</v>
      </c>
      <c r="AO22" s="126">
        <v>1</v>
      </c>
      <c r="AP22" s="126">
        <v>4</v>
      </c>
      <c r="AQ22" s="126" t="s">
        <v>54</v>
      </c>
      <c r="BT22" s="126">
        <f>SUM(BT23:BT24)</f>
        <v>78.629629629629619</v>
      </c>
      <c r="BU22" s="208"/>
    </row>
    <row r="23" spans="1:90">
      <c r="A23" s="598" t="s">
        <v>203</v>
      </c>
      <c r="B23" s="207" t="s">
        <v>204</v>
      </c>
      <c r="AI23" s="126">
        <f>5000/0.648</f>
        <v>7716.049382716049</v>
      </c>
      <c r="AM23" s="344">
        <v>77.8</v>
      </c>
      <c r="AO23" s="344"/>
      <c r="AP23" s="344"/>
      <c r="AQ23" s="344"/>
      <c r="AY23" s="344">
        <f t="shared" ref="AY23:BH23" si="82">AY8+AY7</f>
        <v>84.320987654320987</v>
      </c>
      <c r="AZ23" s="344">
        <f t="shared" si="82"/>
        <v>60.506172839506178</v>
      </c>
      <c r="BA23" s="344">
        <f t="shared" si="82"/>
        <v>82.48888888888888</v>
      </c>
      <c r="BB23" s="344">
        <f t="shared" si="82"/>
        <v>65.348148148148155</v>
      </c>
      <c r="BC23" s="344">
        <f t="shared" si="82"/>
        <v>56.088888888888889</v>
      </c>
      <c r="BD23" s="344">
        <f t="shared" si="82"/>
        <v>61.049382716049379</v>
      </c>
      <c r="BE23" s="344">
        <f t="shared" si="82"/>
        <v>66.574049382716041</v>
      </c>
      <c r="BF23" s="344">
        <f t="shared" si="82"/>
        <v>78.259259259259267</v>
      </c>
      <c r="BG23" s="344">
        <f t="shared" si="82"/>
        <v>77.716049382716051</v>
      </c>
      <c r="BH23" s="344">
        <f t="shared" si="82"/>
        <v>82.981481481481467</v>
      </c>
      <c r="BI23" s="344">
        <v>37.037037037037038</v>
      </c>
      <c r="BJ23" s="344">
        <f>4/$BI$25*BI23</f>
        <v>1.8365472910927461</v>
      </c>
      <c r="BK23" s="463">
        <f>BI23-BJ23</f>
        <v>35.200489745944289</v>
      </c>
      <c r="BL23" s="463">
        <f>BK23*0.648</f>
        <v>22.809917355371901</v>
      </c>
      <c r="BP23" s="126">
        <v>37.037037037037038</v>
      </c>
      <c r="BQ23" s="126">
        <f>BP23*-20/$BP$25</f>
        <v>-9.1827364554637292</v>
      </c>
      <c r="BR23" s="126">
        <f>BP23+BQ23</f>
        <v>27.854300581573309</v>
      </c>
      <c r="BS23" s="126">
        <f>BR23*0.648</f>
        <v>18.049586776859506</v>
      </c>
      <c r="BT23" s="126">
        <v>35</v>
      </c>
      <c r="BU23" s="208"/>
    </row>
    <row r="24" spans="1:90">
      <c r="A24" s="628" t="s">
        <v>214</v>
      </c>
      <c r="B24" s="207" t="s">
        <v>215</v>
      </c>
      <c r="BF24" s="428">
        <f>BF6*0.648</f>
        <v>48.249432000000006</v>
      </c>
      <c r="BI24" s="126">
        <v>43.629629629629626</v>
      </c>
      <c r="BJ24" s="454">
        <f>4/$BI$25*BI24</f>
        <v>2.1634527089072546</v>
      </c>
      <c r="BK24" s="463">
        <f>BI24-BJ24</f>
        <v>41.466176920722368</v>
      </c>
      <c r="BL24" s="463"/>
      <c r="BN24" s="126">
        <f>38.1*0.648</f>
        <v>24.688800000000001</v>
      </c>
      <c r="BP24" s="126">
        <v>43.629629629629626</v>
      </c>
      <c r="BQ24" s="126">
        <f>BP24*-20/$BP$25</f>
        <v>-10.817263544536273</v>
      </c>
      <c r="BR24" s="126">
        <f>BP24+BQ24</f>
        <v>32.812366085093352</v>
      </c>
      <c r="BT24" s="126">
        <v>43.629629629629626</v>
      </c>
      <c r="BU24" s="208"/>
      <c r="CL24" s="674"/>
    </row>
    <row r="25" spans="1:90">
      <c r="Z25" s="126">
        <v>31</v>
      </c>
      <c r="AA25" s="126">
        <v>30</v>
      </c>
      <c r="AB25" s="126">
        <v>31</v>
      </c>
      <c r="AC25" s="126">
        <v>31</v>
      </c>
      <c r="AD25" s="126">
        <v>28</v>
      </c>
      <c r="AE25" s="126">
        <v>31</v>
      </c>
      <c r="AW25" s="196" t="s">
        <v>69</v>
      </c>
      <c r="AX25" s="196"/>
      <c r="AY25" s="196"/>
      <c r="AZ25" s="196"/>
      <c r="BB25" s="196" t="s">
        <v>116</v>
      </c>
      <c r="BF25" s="428">
        <f>BF19+BF20</f>
        <v>50.712000000000003</v>
      </c>
      <c r="BG25" s="428">
        <f>BG19+BG20</f>
        <v>50.36</v>
      </c>
      <c r="BH25" s="428">
        <f>BH19+BH20</f>
        <v>53.771999999999991</v>
      </c>
      <c r="BI25" s="428">
        <f>SUM(BI23:BI24)</f>
        <v>80.666666666666657</v>
      </c>
      <c r="BJ25" s="428"/>
      <c r="BL25" s="126">
        <f>2*0.648</f>
        <v>1.296</v>
      </c>
      <c r="BP25" s="126">
        <f>SUM(BP23:BP24)</f>
        <v>80.666666666666657</v>
      </c>
      <c r="BT25" s="126">
        <v>1.8</v>
      </c>
    </row>
    <row r="26" spans="1:90">
      <c r="Z26" s="126">
        <v>80</v>
      </c>
      <c r="AA26" s="126">
        <v>68</v>
      </c>
      <c r="AB26" s="126">
        <v>72</v>
      </c>
      <c r="AC26" s="126">
        <v>72</v>
      </c>
      <c r="AD26" s="126">
        <v>65</v>
      </c>
      <c r="AE26" s="126">
        <v>73</v>
      </c>
      <c r="AW26" s="196" t="s">
        <v>0</v>
      </c>
      <c r="AX26" s="204">
        <v>200</v>
      </c>
      <c r="AY26" s="204" t="s">
        <v>43</v>
      </c>
      <c r="AZ26" s="205" t="s">
        <v>70</v>
      </c>
      <c r="BB26" s="196" t="s">
        <v>0</v>
      </c>
      <c r="BC26" s="204">
        <v>250</v>
      </c>
      <c r="BD26" s="204" t="s">
        <v>43</v>
      </c>
      <c r="BE26" s="205" t="s">
        <v>115</v>
      </c>
      <c r="BK26" s="206"/>
      <c r="BL26" s="206"/>
      <c r="BM26" s="206"/>
      <c r="BN26" s="206"/>
      <c r="BO26" s="206"/>
      <c r="BP26" s="206"/>
      <c r="BQ26" s="206"/>
      <c r="BR26" s="206"/>
      <c r="BS26" s="206"/>
      <c r="BT26" s="206">
        <f>BQ6-1.8</f>
        <v>59.8634180833374</v>
      </c>
      <c r="BU26" s="206"/>
      <c r="BV26" s="206"/>
      <c r="BW26" s="206"/>
      <c r="BX26" s="206"/>
      <c r="BY26" s="206"/>
      <c r="BZ26" s="206"/>
      <c r="CA26" s="206"/>
      <c r="CB26" s="206"/>
      <c r="CC26" s="206"/>
      <c r="CD26" s="206"/>
      <c r="CE26" s="206"/>
      <c r="CF26" s="206"/>
      <c r="CG26" s="206"/>
      <c r="CH26" s="206"/>
    </row>
    <row r="27" spans="1:90">
      <c r="Z27" s="126">
        <f t="shared" ref="Z27:AE27" si="83">Z26*1000</f>
        <v>80000</v>
      </c>
      <c r="AA27" s="126">
        <f t="shared" si="83"/>
        <v>68000</v>
      </c>
      <c r="AB27" s="126">
        <f t="shared" si="83"/>
        <v>72000</v>
      </c>
      <c r="AC27" s="126">
        <f t="shared" si="83"/>
        <v>72000</v>
      </c>
      <c r="AD27" s="126">
        <f t="shared" si="83"/>
        <v>65000</v>
      </c>
      <c r="AE27" s="126">
        <f t="shared" si="83"/>
        <v>73000</v>
      </c>
      <c r="AW27" s="196" t="s">
        <v>68</v>
      </c>
      <c r="AX27" s="204">
        <v>640</v>
      </c>
      <c r="AY27" s="204" t="s">
        <v>54</v>
      </c>
      <c r="AZ27" s="205" t="s">
        <v>71</v>
      </c>
      <c r="BB27" s="196" t="s">
        <v>68</v>
      </c>
      <c r="BC27" s="346">
        <f>380/0.648</f>
        <v>586.41975308641975</v>
      </c>
      <c r="BD27" s="204" t="s">
        <v>54</v>
      </c>
      <c r="BE27" s="205" t="s">
        <v>71</v>
      </c>
      <c r="BG27" s="346">
        <f>38*24*366/0.648/1000</f>
        <v>515.11111111111109</v>
      </c>
      <c r="BH27" s="204" t="s">
        <v>54</v>
      </c>
      <c r="BI27" s="465">
        <v>20</v>
      </c>
      <c r="BJ27" s="465">
        <v>18.5</v>
      </c>
      <c r="BK27" s="465">
        <v>22.5</v>
      </c>
      <c r="BR27" s="633">
        <v>20.2</v>
      </c>
      <c r="BS27" s="633">
        <f>BR27-BR19</f>
        <v>0.5</v>
      </c>
    </row>
    <row r="28" spans="1:90">
      <c r="Z28" s="206">
        <f t="shared" ref="Z28:AE28" si="84">Z25*720</f>
        <v>22320</v>
      </c>
      <c r="AA28" s="206">
        <f t="shared" si="84"/>
        <v>21600</v>
      </c>
      <c r="AB28" s="206">
        <f t="shared" si="84"/>
        <v>22320</v>
      </c>
      <c r="AC28" s="206">
        <f t="shared" si="84"/>
        <v>22320</v>
      </c>
      <c r="AD28" s="206">
        <f t="shared" si="84"/>
        <v>20160</v>
      </c>
      <c r="AE28" s="206">
        <f t="shared" si="84"/>
        <v>22320</v>
      </c>
      <c r="AS28" s="207"/>
      <c r="BI28" s="465">
        <v>40.002222222222223</v>
      </c>
      <c r="BJ28" s="465">
        <v>40.599629629629625</v>
      </c>
      <c r="BK28" s="465">
        <v>42</v>
      </c>
      <c r="BR28" s="126">
        <v>28.771200000000004</v>
      </c>
      <c r="BS28" s="656">
        <f>BR28-BR20</f>
        <v>1.8791999999999973</v>
      </c>
    </row>
    <row r="29" spans="1:90">
      <c r="Z29" s="206">
        <f t="shared" ref="Z29:AE29" si="85">Z27-Z28</f>
        <v>57680</v>
      </c>
      <c r="AA29" s="206">
        <f t="shared" si="85"/>
        <v>46400</v>
      </c>
      <c r="AB29" s="206">
        <f t="shared" si="85"/>
        <v>49680</v>
      </c>
      <c r="AC29" s="206">
        <f t="shared" si="85"/>
        <v>49680</v>
      </c>
      <c r="AD29" s="206">
        <f t="shared" si="85"/>
        <v>44840</v>
      </c>
      <c r="AE29" s="206">
        <f t="shared" si="85"/>
        <v>50680</v>
      </c>
      <c r="AM29" s="344">
        <v>16</v>
      </c>
      <c r="AN29" s="344"/>
      <c r="AO29" s="344"/>
      <c r="AP29" s="344"/>
      <c r="AQ29" s="344"/>
      <c r="AR29" s="344"/>
      <c r="AS29" s="344"/>
      <c r="AT29" s="344"/>
      <c r="AU29" s="344"/>
      <c r="AV29" s="344"/>
      <c r="AW29" s="344"/>
      <c r="AX29" s="344"/>
      <c r="AY29" s="344"/>
      <c r="AZ29" s="344"/>
      <c r="BA29" s="344"/>
      <c r="BB29" s="344"/>
      <c r="BC29" s="344"/>
      <c r="BD29" s="344"/>
      <c r="BE29" s="344"/>
      <c r="BF29" s="344"/>
      <c r="BG29" s="344"/>
      <c r="BH29" s="344"/>
      <c r="BI29" s="344"/>
      <c r="BJ29" s="344"/>
      <c r="BK29" s="344"/>
      <c r="BL29" s="344"/>
      <c r="BM29" s="344"/>
      <c r="BW29" s="463"/>
      <c r="BX29" s="463"/>
      <c r="BY29" s="527"/>
      <c r="BZ29" s="527"/>
      <c r="CA29" s="527"/>
      <c r="CB29" s="527"/>
      <c r="CC29" s="637"/>
      <c r="CD29" s="637"/>
      <c r="CE29" s="656"/>
      <c r="CF29" s="656"/>
      <c r="CG29" s="656"/>
      <c r="CH29" s="656"/>
    </row>
    <row r="30" spans="1:90">
      <c r="Z30" s="206">
        <v>80000</v>
      </c>
      <c r="AA30" s="206">
        <v>68000</v>
      </c>
      <c r="AB30" s="206">
        <v>72000</v>
      </c>
      <c r="AC30" s="206">
        <v>72000</v>
      </c>
      <c r="AD30" s="206">
        <v>65000</v>
      </c>
      <c r="AE30" s="206">
        <v>73000</v>
      </c>
      <c r="AX30" s="236" t="s">
        <v>78</v>
      </c>
      <c r="AY30" s="127">
        <v>77.541738095238088</v>
      </c>
      <c r="AZ30" s="127">
        <v>72.94177463254114</v>
      </c>
      <c r="BA30" s="127">
        <v>82.342019420294847</v>
      </c>
      <c r="BB30" s="127">
        <v>82.342019420294847</v>
      </c>
      <c r="BC30" s="127">
        <v>73.662688686701856</v>
      </c>
      <c r="BD30" s="127">
        <v>82.342019420294847</v>
      </c>
      <c r="BE30" s="127">
        <v>82.342019420294847</v>
      </c>
      <c r="BF30" s="127">
        <v>81.632019420294853</v>
      </c>
      <c r="BG30" s="127">
        <v>81.602019420294852</v>
      </c>
      <c r="BH30" s="127">
        <v>81.632019420294853</v>
      </c>
      <c r="BI30" s="127">
        <v>81.602019420294852</v>
      </c>
      <c r="BJ30" s="127">
        <v>81.632019420294853</v>
      </c>
      <c r="BK30" s="127">
        <v>81.632019420294853</v>
      </c>
      <c r="BL30" s="127">
        <v>81.632019420294853</v>
      </c>
      <c r="BM30" s="127">
        <v>81.632019420294853</v>
      </c>
      <c r="BN30" s="127">
        <v>81.632019420294853</v>
      </c>
      <c r="BO30" s="127">
        <v>81.632019420294853</v>
      </c>
      <c r="BP30" s="127">
        <v>81.632019420294853</v>
      </c>
      <c r="BQ30" s="127">
        <v>81.632019420294853</v>
      </c>
      <c r="BR30" s="127">
        <v>81.632019420294853</v>
      </c>
      <c r="BS30" s="127">
        <v>81.632019420294853</v>
      </c>
      <c r="BT30" s="127">
        <v>81.632019420294853</v>
      </c>
      <c r="BU30" s="127"/>
      <c r="BV30" s="127"/>
      <c r="BW30" s="127"/>
      <c r="BX30" s="127"/>
      <c r="BY30" s="127"/>
      <c r="BZ30" s="127"/>
      <c r="CA30" s="127"/>
      <c r="CB30" s="127"/>
      <c r="CC30" s="127"/>
      <c r="CD30" s="127"/>
      <c r="CE30" s="127"/>
      <c r="CF30" s="127"/>
      <c r="CG30" s="127"/>
      <c r="CH30" s="127"/>
    </row>
    <row r="31" spans="1:90">
      <c r="AM31" s="206"/>
      <c r="AN31" s="206"/>
      <c r="AO31" s="206"/>
      <c r="AP31" s="206"/>
      <c r="AQ31" s="206"/>
      <c r="AR31" s="206"/>
      <c r="AS31" s="206"/>
      <c r="AT31" s="206"/>
      <c r="AU31" s="206"/>
      <c r="AV31" s="206"/>
      <c r="AW31" s="206"/>
      <c r="AX31" s="236" t="s">
        <v>79</v>
      </c>
      <c r="AY31" s="127">
        <f t="shared" ref="AY31:BP31" si="86">AY30-(50*AY4/1000)</f>
        <v>75.991738095238091</v>
      </c>
      <c r="AZ31" s="127">
        <f t="shared" si="86"/>
        <v>71.491774632541137</v>
      </c>
      <c r="BA31" s="127">
        <f t="shared" si="86"/>
        <v>80.792019420294849</v>
      </c>
      <c r="BB31" s="127">
        <f t="shared" si="86"/>
        <v>80.842019420294847</v>
      </c>
      <c r="BC31" s="127">
        <f t="shared" si="86"/>
        <v>72.112688686701858</v>
      </c>
      <c r="BD31" s="127">
        <f t="shared" si="86"/>
        <v>80.842019420294847</v>
      </c>
      <c r="BE31" s="127">
        <f t="shared" si="86"/>
        <v>80.792019420294849</v>
      </c>
      <c r="BF31" s="127">
        <f t="shared" si="86"/>
        <v>80.082019420294856</v>
      </c>
      <c r="BG31" s="127">
        <f t="shared" si="86"/>
        <v>80.102019420294852</v>
      </c>
      <c r="BH31" s="127">
        <f t="shared" si="86"/>
        <v>80.082019420294856</v>
      </c>
      <c r="BI31" s="127">
        <f t="shared" si="86"/>
        <v>80.102019420294852</v>
      </c>
      <c r="BJ31" s="127">
        <f t="shared" si="86"/>
        <v>80.082019420294856</v>
      </c>
      <c r="BK31" s="127">
        <f t="shared" si="86"/>
        <v>80.082019420294856</v>
      </c>
      <c r="BL31" s="127">
        <f t="shared" si="86"/>
        <v>80.232019420294847</v>
      </c>
      <c r="BM31" s="127">
        <f t="shared" si="86"/>
        <v>80.082019420294856</v>
      </c>
      <c r="BN31" s="127">
        <f t="shared" si="86"/>
        <v>80.132019420294853</v>
      </c>
      <c r="BO31" s="127">
        <f t="shared" si="86"/>
        <v>80.082019420294856</v>
      </c>
      <c r="BP31" s="127">
        <f t="shared" si="86"/>
        <v>80.132019420294853</v>
      </c>
      <c r="BQ31" s="127">
        <f t="shared" ref="BQ31:BT31" si="87">BQ30-(50*BQ4/1000)</f>
        <v>80.082019420294856</v>
      </c>
      <c r="BR31" s="127">
        <f t="shared" si="87"/>
        <v>80.082019420294856</v>
      </c>
      <c r="BS31" s="127">
        <f t="shared" si="87"/>
        <v>80.132019420294853</v>
      </c>
      <c r="BT31" s="127">
        <f t="shared" si="87"/>
        <v>80.082019420294856</v>
      </c>
      <c r="BU31" s="127"/>
      <c r="BV31" s="127"/>
      <c r="BW31" s="127"/>
      <c r="BX31" s="127"/>
      <c r="BY31" s="127"/>
      <c r="BZ31" s="127"/>
      <c r="CA31" s="127"/>
      <c r="CB31" s="127"/>
      <c r="CC31" s="127"/>
      <c r="CD31" s="127"/>
      <c r="CE31" s="127"/>
      <c r="CF31" s="127"/>
      <c r="CG31" s="127"/>
      <c r="CH31" s="127"/>
      <c r="CI31" s="208"/>
    </row>
    <row r="32" spans="1:90">
      <c r="AM32" s="206"/>
      <c r="AN32" s="206"/>
      <c r="AO32" s="206"/>
      <c r="AP32" s="206"/>
      <c r="AQ32" s="206"/>
      <c r="AR32" s="206"/>
      <c r="AS32" s="206"/>
      <c r="AT32" s="206"/>
      <c r="AU32" s="206"/>
      <c r="AV32" s="206"/>
      <c r="AW32" s="206"/>
      <c r="AX32" s="206"/>
      <c r="AY32" s="206"/>
      <c r="AZ32" s="206"/>
      <c r="BA32" s="206"/>
      <c r="BB32" s="206"/>
      <c r="BC32" s="206"/>
      <c r="BD32" s="206"/>
      <c r="BE32" s="206"/>
      <c r="BF32" s="206"/>
      <c r="BG32" s="206"/>
      <c r="BH32" s="206"/>
      <c r="BI32" s="206"/>
      <c r="BJ32" s="206"/>
      <c r="BK32" s="206"/>
      <c r="BL32" s="206"/>
      <c r="BM32" s="206"/>
      <c r="BN32" s="206"/>
      <c r="BO32" s="206"/>
      <c r="BP32" s="206"/>
      <c r="BQ32" s="206"/>
      <c r="BR32" s="206"/>
      <c r="BS32" s="206"/>
      <c r="BT32" s="206"/>
      <c r="BU32" s="206"/>
      <c r="BV32" s="206"/>
      <c r="BW32" s="206"/>
      <c r="BX32" s="206"/>
      <c r="BY32" s="206"/>
      <c r="BZ32" s="206"/>
      <c r="CA32" s="206"/>
      <c r="CB32" s="206"/>
      <c r="CC32" s="206"/>
      <c r="CD32" s="206"/>
      <c r="CE32" s="206"/>
      <c r="CF32" s="206"/>
      <c r="CG32" s="206"/>
      <c r="CH32" s="206"/>
      <c r="CI32" s="208"/>
    </row>
    <row r="33" spans="39:87">
      <c r="AT33" s="206"/>
      <c r="AU33" s="206"/>
      <c r="AV33" s="206"/>
      <c r="AW33" s="206"/>
      <c r="AX33" s="206"/>
      <c r="AY33" s="206"/>
      <c r="BK33" s="503"/>
      <c r="BL33" s="503"/>
      <c r="BM33" s="503"/>
      <c r="BN33" s="503"/>
      <c r="BO33" s="503"/>
      <c r="BP33" s="503"/>
      <c r="BQ33" s="637">
        <f>(BQ8*1000)/24/BQ4</f>
        <v>51.075268817204297</v>
      </c>
    </row>
    <row r="34" spans="39:87">
      <c r="AM34" s="206"/>
      <c r="AN34" s="206"/>
      <c r="AO34" s="206"/>
      <c r="AP34" s="206"/>
      <c r="AQ34" s="206"/>
      <c r="AR34" s="206"/>
      <c r="AS34" s="206"/>
      <c r="AT34" s="206"/>
      <c r="AU34" s="206"/>
      <c r="AV34" s="206"/>
      <c r="AW34" s="206"/>
      <c r="AX34" s="206"/>
      <c r="AY34" s="127">
        <f>15/0.648</f>
        <v>23.148148148148149</v>
      </c>
      <c r="AZ34" s="206"/>
      <c r="BA34" s="206"/>
      <c r="BB34" s="206"/>
      <c r="BC34" s="206"/>
      <c r="BD34" s="206"/>
      <c r="BE34" s="206"/>
      <c r="BF34" s="206"/>
      <c r="BG34" s="206"/>
      <c r="BH34" s="206"/>
      <c r="BI34" s="206"/>
      <c r="BJ34" s="206"/>
      <c r="BK34" s="206"/>
      <c r="BL34" s="206"/>
      <c r="BM34" s="206"/>
      <c r="BN34" s="206"/>
      <c r="BO34" s="206"/>
      <c r="BP34" s="206"/>
      <c r="BQ34" s="206"/>
      <c r="BR34" s="206"/>
      <c r="BS34" s="206"/>
      <c r="BT34" s="206"/>
      <c r="BU34" s="206"/>
      <c r="BV34" s="206"/>
      <c r="BW34" s="206"/>
      <c r="BX34" s="206"/>
      <c r="BY34" s="206"/>
      <c r="BZ34" s="206"/>
      <c r="CA34" s="206"/>
      <c r="CB34" s="206"/>
      <c r="CC34" s="206"/>
      <c r="CD34" s="206"/>
      <c r="CE34" s="206"/>
      <c r="CF34" s="206"/>
      <c r="CG34" s="206"/>
      <c r="CH34" s="206"/>
    </row>
    <row r="35" spans="39:87">
      <c r="AY35" s="344">
        <f>AY7-AY34</f>
        <v>6.1728395061728385</v>
      </c>
      <c r="BK35" s="504"/>
      <c r="BL35" s="504"/>
      <c r="BM35" s="504"/>
      <c r="BN35" s="504"/>
      <c r="BO35" s="504"/>
      <c r="BP35" s="504"/>
      <c r="BQ35" s="454"/>
      <c r="BR35" s="454"/>
      <c r="BS35" s="454"/>
      <c r="BT35" s="454"/>
      <c r="BU35" s="454"/>
      <c r="BV35" s="454"/>
      <c r="BW35" s="463"/>
      <c r="BX35" s="463"/>
      <c r="BY35" s="527"/>
      <c r="BZ35" s="527"/>
      <c r="CA35" s="527"/>
      <c r="CB35" s="527"/>
      <c r="CC35" s="637"/>
      <c r="CD35" s="637"/>
      <c r="CE35" s="656"/>
      <c r="CF35" s="656"/>
      <c r="CG35" s="656"/>
      <c r="CH35" s="656"/>
    </row>
    <row r="36" spans="39:87">
      <c r="BK36" s="454"/>
      <c r="BL36" s="454"/>
      <c r="BM36" s="454"/>
      <c r="BN36" s="454"/>
      <c r="BO36" s="454"/>
      <c r="BP36" s="454"/>
      <c r="BQ36" s="454"/>
      <c r="BR36" s="454"/>
      <c r="BS36" s="454"/>
      <c r="BT36" s="454"/>
      <c r="BU36" s="208"/>
      <c r="BV36" s="454"/>
      <c r="BW36" s="463"/>
      <c r="BX36" s="463"/>
      <c r="BY36" s="527"/>
      <c r="BZ36" s="527"/>
      <c r="CA36" s="527"/>
      <c r="CB36" s="527"/>
      <c r="CC36" s="637"/>
      <c r="CD36" s="637"/>
      <c r="CE36" s="656"/>
      <c r="CF36" s="656"/>
      <c r="CG36" s="656"/>
      <c r="CH36" s="656"/>
    </row>
    <row r="37" spans="39:87">
      <c r="AM37" s="206"/>
      <c r="AN37" s="206"/>
      <c r="AO37" s="206"/>
      <c r="AP37" s="206"/>
      <c r="AQ37" s="206"/>
      <c r="AR37" s="206"/>
      <c r="AS37" s="206"/>
      <c r="AT37" s="206"/>
      <c r="AU37" s="206"/>
      <c r="AV37" s="206"/>
      <c r="AW37" s="206"/>
      <c r="AX37" s="206"/>
      <c r="AY37" s="206"/>
      <c r="AZ37" s="206"/>
      <c r="BA37" s="206"/>
      <c r="BB37" s="206"/>
      <c r="BC37" s="206"/>
      <c r="BD37" s="206"/>
      <c r="BE37" s="206"/>
      <c r="BF37" s="206"/>
      <c r="BG37" s="206"/>
      <c r="BH37" s="206"/>
      <c r="BI37" s="206"/>
      <c r="BJ37" s="206"/>
      <c r="BK37" s="206"/>
      <c r="BL37" s="206"/>
      <c r="BM37" s="206"/>
      <c r="BN37" s="206"/>
      <c r="BO37" s="206"/>
      <c r="BP37" s="206"/>
      <c r="BQ37" s="206"/>
      <c r="BR37" s="206"/>
      <c r="BS37" s="206"/>
      <c r="BT37" s="206"/>
      <c r="BU37" s="206"/>
      <c r="BV37" s="206"/>
      <c r="BW37" s="206"/>
      <c r="BX37" s="206"/>
      <c r="BY37" s="206"/>
      <c r="BZ37" s="206"/>
      <c r="CA37" s="206"/>
      <c r="CB37" s="206"/>
      <c r="CC37" s="206"/>
      <c r="CD37" s="206"/>
      <c r="CE37" s="206"/>
      <c r="CF37" s="206"/>
      <c r="CG37" s="206"/>
      <c r="CH37" s="206"/>
      <c r="CI37" s="208"/>
    </row>
  </sheetData>
  <mergeCells count="3">
    <mergeCell ref="A3:B3"/>
    <mergeCell ref="A7:A10"/>
    <mergeCell ref="A11:A12"/>
  </mergeCells>
  <conditionalFormatting sqref="CM7">
    <cfRule type="cellIs" dxfId="0" priority="2" operator="lessThan">
      <formula>250</formula>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C2</vt:lpstr>
      <vt:lpstr>LR monthly</vt:lpstr>
      <vt:lpstr>C3LPG</vt:lpstr>
      <vt:lpstr>NGL</vt:lpstr>
    </vt:vector>
  </TitlesOfParts>
  <Company>PTTPLC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Quantumuser</dc:creator>
  <cp:lastModifiedBy>Chalida</cp:lastModifiedBy>
  <dcterms:created xsi:type="dcterms:W3CDTF">2019-05-28T06:56:10Z</dcterms:created>
  <dcterms:modified xsi:type="dcterms:W3CDTF">2021-12-20T06:15:32Z</dcterms:modified>
</cp:coreProperties>
</file>