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530234\Desktop\"/>
    </mc:Choice>
  </mc:AlternateContent>
  <bookViews>
    <workbookView xWindow="0" yWindow="0" windowWidth="19920" windowHeight="9192" tabRatio="966"/>
  </bookViews>
  <sheets>
    <sheet name="C2" sheetId="129" r:id="rId1"/>
    <sheet name="LR monthly" sheetId="56" r:id="rId2"/>
    <sheet name="C3LPG" sheetId="50" r:id="rId3"/>
    <sheet name="NGL" sheetId="111" r:id="rId4"/>
  </sheets>
  <externalReferences>
    <externalReference r:id="rId5"/>
    <externalReference r:id="rId6"/>
    <externalReference r:id="rId7"/>
    <externalReference r:id="rId8"/>
    <externalReference r:id="rId9"/>
    <externalReference r:id="rId10"/>
  </externalReferences>
  <definedNames>
    <definedName name="\d" localSheetId="0">'[1]ESSO-ESSO (incre.)'!#REF!</definedName>
    <definedName name="\d" localSheetId="2">'[1]ESSO-ESSO (incre.)'!#REF!</definedName>
    <definedName name="\d" localSheetId="3">'[1]ESSO-ESSO (incre.)'!#REF!</definedName>
    <definedName name="\d">'[1]ESSO-ESSO (incre.)'!#REF!</definedName>
    <definedName name="\e" localSheetId="0">'[1]ESSO-ESSO (incre.)'!#REF!</definedName>
    <definedName name="\e" localSheetId="2">'[1]ESSO-ESSO (incre.)'!#REF!</definedName>
    <definedName name="\e" localSheetId="3">'[1]ESSO-ESSO (incre.)'!#REF!</definedName>
    <definedName name="\e">'[1]ESSO-ESSO (incre.)'!#REF!</definedName>
    <definedName name="\f" localSheetId="0">'[1]ESSO-ESSO (incre.)'!#REF!</definedName>
    <definedName name="\f" localSheetId="2">'[1]ESSO-ESSO (incre.)'!#REF!</definedName>
    <definedName name="\f" localSheetId="3">'[1]ESSO-ESSO (incre.)'!#REF!</definedName>
    <definedName name="\f">'[1]ESSO-ESSO (incre.)'!#REF!</definedName>
    <definedName name="\O" localSheetId="0">#REF!</definedName>
    <definedName name="\O" localSheetId="2">#REF!</definedName>
    <definedName name="\O" localSheetId="3">#REF!</definedName>
    <definedName name="\O">#REF!</definedName>
    <definedName name="\P" localSheetId="0">#REF!</definedName>
    <definedName name="\P" localSheetId="2">#REF!</definedName>
    <definedName name="\P" localSheetId="3">#REF!</definedName>
    <definedName name="\P">#REF!</definedName>
    <definedName name="__123Graph_A" hidden="1">[2]AGP!$BI$93:$BO$93</definedName>
    <definedName name="__123Graph_B" hidden="1">[2]AGP!$BI$97:$BO$97</definedName>
    <definedName name="__123Graph_C" hidden="1">[2]AGP!$BI$98:$BO$98</definedName>
    <definedName name="__123Graph_D" hidden="1">[2]AGP!$BI$99:$BO$99</definedName>
    <definedName name="__123Graph_X" localSheetId="0" hidden="1">[2]AGP!#REF!</definedName>
    <definedName name="__123Graph_X" localSheetId="2" hidden="1">[2]AGP!#REF!</definedName>
    <definedName name="__123Graph_X" localSheetId="3" hidden="1">[2]AGP!#REF!</definedName>
    <definedName name="__123Graph_X" hidden="1">[2]AGP!#REF!</definedName>
    <definedName name="__SCR1" localSheetId="0">#REF!</definedName>
    <definedName name="__SCR1" localSheetId="2">#REF!</definedName>
    <definedName name="__SCR1" localSheetId="3">#REF!</definedName>
    <definedName name="__SCR1">#REF!</definedName>
    <definedName name="_1B" localSheetId="0">#REF!</definedName>
    <definedName name="_1B" localSheetId="2">#REF!</definedName>
    <definedName name="_1B" localSheetId="3">#REF!</definedName>
    <definedName name="_1B">#REF!</definedName>
    <definedName name="_1E" localSheetId="0">#REF!</definedName>
    <definedName name="_1E" localSheetId="2">#REF!</definedName>
    <definedName name="_1E" localSheetId="3">#REF!</definedName>
    <definedName name="_1E">#REF!</definedName>
    <definedName name="_1M" localSheetId="0">#REF!</definedName>
    <definedName name="_1M" localSheetId="2">#REF!</definedName>
    <definedName name="_1M" localSheetId="3">#REF!</definedName>
    <definedName name="_1M">#REF!</definedName>
    <definedName name="_1U" localSheetId="0">#REF!</definedName>
    <definedName name="_1U" localSheetId="2">#REF!</definedName>
    <definedName name="_1U" localSheetId="3">#REF!</definedName>
    <definedName name="_1U">#REF!</definedName>
    <definedName name="_2U" localSheetId="0">#REF!</definedName>
    <definedName name="_2U" localSheetId="2">#REF!</definedName>
    <definedName name="_2U" localSheetId="3">#REF!</definedName>
    <definedName name="_2U">#REF!</definedName>
    <definedName name="_3U" localSheetId="0">#REF!</definedName>
    <definedName name="_3U" localSheetId="2">#REF!</definedName>
    <definedName name="_3U" localSheetId="3">#REF!</definedName>
    <definedName name="_3U">#REF!</definedName>
    <definedName name="_4U" localSheetId="0">#REF!</definedName>
    <definedName name="_4U" localSheetId="2">#REF!</definedName>
    <definedName name="_4U" localSheetId="3">#REF!</definedName>
    <definedName name="_4U">#REF!</definedName>
    <definedName name="_Fill" localSheetId="0" hidden="1">#REF!</definedName>
    <definedName name="_Fill" localSheetId="2" hidden="1">#REF!</definedName>
    <definedName name="_Fill" localSheetId="3" hidden="1">#REF!</definedName>
    <definedName name="_Fill" hidden="1">#REF!</definedName>
    <definedName name="_MO1" localSheetId="0">#REF!</definedName>
    <definedName name="_MO1" localSheetId="2">#REF!</definedName>
    <definedName name="_MO1" localSheetId="3">#REF!</definedName>
    <definedName name="_MO1">#REF!</definedName>
    <definedName name="_MO10" localSheetId="0">#REF!</definedName>
    <definedName name="_MO10" localSheetId="2">#REF!</definedName>
    <definedName name="_MO10" localSheetId="3">#REF!</definedName>
    <definedName name="_MO10">#REF!</definedName>
    <definedName name="_MO11" localSheetId="0">#REF!</definedName>
    <definedName name="_MO11" localSheetId="2">#REF!</definedName>
    <definedName name="_MO11" localSheetId="3">#REF!</definedName>
    <definedName name="_MO11">#REF!</definedName>
    <definedName name="_MO12" localSheetId="0">#REF!</definedName>
    <definedName name="_MO12" localSheetId="2">#REF!</definedName>
    <definedName name="_MO12" localSheetId="3">#REF!</definedName>
    <definedName name="_MO12">#REF!</definedName>
    <definedName name="_MO2" localSheetId="0">#REF!</definedName>
    <definedName name="_MO2" localSheetId="2">#REF!</definedName>
    <definedName name="_MO2" localSheetId="3">#REF!</definedName>
    <definedName name="_MO2">#REF!</definedName>
    <definedName name="_MO3" localSheetId="0">#REF!</definedName>
    <definedName name="_MO3" localSheetId="2">#REF!</definedName>
    <definedName name="_MO3" localSheetId="3">#REF!</definedName>
    <definedName name="_MO3">#REF!</definedName>
    <definedName name="_MO4" localSheetId="0">#REF!</definedName>
    <definedName name="_MO4" localSheetId="2">#REF!</definedName>
    <definedName name="_MO4" localSheetId="3">#REF!</definedName>
    <definedName name="_MO4">#REF!</definedName>
    <definedName name="_MO5" localSheetId="0">#REF!</definedName>
    <definedName name="_MO5" localSheetId="2">#REF!</definedName>
    <definedName name="_MO5" localSheetId="3">#REF!</definedName>
    <definedName name="_MO5">#REF!</definedName>
    <definedName name="_MO6" localSheetId="0">#REF!</definedName>
    <definedName name="_MO6" localSheetId="2">#REF!</definedName>
    <definedName name="_MO6" localSheetId="3">#REF!</definedName>
    <definedName name="_MO6">#REF!</definedName>
    <definedName name="_MO7" localSheetId="0">#REF!</definedName>
    <definedName name="_MO7" localSheetId="2">#REF!</definedName>
    <definedName name="_MO7" localSheetId="3">#REF!</definedName>
    <definedName name="_MO7">#REF!</definedName>
    <definedName name="_MO8" localSheetId="0">#REF!</definedName>
    <definedName name="_MO8" localSheetId="2">#REF!</definedName>
    <definedName name="_MO8" localSheetId="3">#REF!</definedName>
    <definedName name="_MO8">#REF!</definedName>
    <definedName name="_MO9" localSheetId="0">#REF!</definedName>
    <definedName name="_MO9" localSheetId="2">#REF!</definedName>
    <definedName name="_MO9" localSheetId="3">#REF!</definedName>
    <definedName name="_MO9">#REF!</definedName>
    <definedName name="_SCR1" localSheetId="0">#REF!</definedName>
    <definedName name="_SCR1" localSheetId="2">#REF!</definedName>
    <definedName name="_SCR1" localSheetId="3">#REF!</definedName>
    <definedName name="_SCR1">#REF!</definedName>
    <definedName name="a" localSheetId="0">[3]Purchase!#REF!</definedName>
    <definedName name="a" localSheetId="2">[3]Purchase!#REF!</definedName>
    <definedName name="a" localSheetId="3">[3]Purchase!#REF!</definedName>
    <definedName name="a">[3]Purchase!#REF!</definedName>
    <definedName name="ALL_IDX" localSheetId="0">#REF!</definedName>
    <definedName name="ALL_IDX" localSheetId="2">#REF!</definedName>
    <definedName name="ALL_IDX" localSheetId="3">#REF!</definedName>
    <definedName name="ALL_IDX">#REF!</definedName>
    <definedName name="Apr" localSheetId="0">#REF!</definedName>
    <definedName name="Apr" localSheetId="2">#REF!</definedName>
    <definedName name="Apr" localSheetId="3">#REF!</definedName>
    <definedName name="Apr">#REF!</definedName>
    <definedName name="AprSun1" localSheetId="0">DATEVALUE("4/1/"&amp;'C2'!TheYear)-WEEKDAY(DATEVALUE("4/1/"&amp;'C2'!TheYear))+1</definedName>
    <definedName name="AprSun1" localSheetId="2">DATEVALUE("4/1/"&amp;'C3LPG'!TheYear)-WEEKDAY(DATEVALUE("4/1/"&amp;'C3LPG'!TheYear))+1</definedName>
    <definedName name="AprSun1" localSheetId="3">DATEVALUE("4/1/"&amp;NGL!TheYear)-WEEKDAY(DATEVALUE("4/1/"&amp;NGL!TheYear))+1</definedName>
    <definedName name="AprSun1">DATEVALUE("4/1/"&amp;TheYear)-WEEKDAY(DATEVALUE("4/1/"&amp;TheYear))+1</definedName>
    <definedName name="Aug" localSheetId="0">#REF!</definedName>
    <definedName name="Aug" localSheetId="2">#REF!</definedName>
    <definedName name="Aug" localSheetId="3">#REF!</definedName>
    <definedName name="Aug">#REF!</definedName>
    <definedName name="AugSun1" localSheetId="0">DATEVALUE("8/1/"&amp;'C2'!TheYear)-WEEKDAY(DATEVALUE("8/1/"&amp;'C2'!TheYear))+1</definedName>
    <definedName name="AugSun1" localSheetId="2">DATEVALUE("8/1/"&amp;'C3LPG'!TheYear)-WEEKDAY(DATEVALUE("8/1/"&amp;'C3LPG'!TheYear))+1</definedName>
    <definedName name="AugSun1" localSheetId="3">DATEVALUE("8/1/"&amp;NGL!TheYear)-WEEKDAY(DATEVALUE("8/1/"&amp;NGL!TheYear))+1</definedName>
    <definedName name="AugSun1">DATEVALUE("8/1/"&amp;TheYear)-WEEKDAY(DATEVALUE("8/1/"&amp;TheYear))+1</definedName>
    <definedName name="bb">[4]level_all!$E$3:$K$15</definedName>
    <definedName name="BLG">[4]level_all!$FH$2:$FQ$15</definedName>
    <definedName name="ca" localSheetId="0">[3]Purchase!#REF!</definedName>
    <definedName name="ca" localSheetId="2">[3]Purchase!#REF!</definedName>
    <definedName name="ca" localSheetId="3">[3]Purchase!#REF!</definedName>
    <definedName name="ca">[3]Purchase!#REF!</definedName>
    <definedName name="CASE2" localSheetId="0">#REF!</definedName>
    <definedName name="CASE2" localSheetId="2">#REF!</definedName>
    <definedName name="CASE2" localSheetId="3">#REF!</definedName>
    <definedName name="CASE2">#REF!</definedName>
    <definedName name="ccc" localSheetId="0">[3]Purchase!#REF!</definedName>
    <definedName name="ccc" localSheetId="2">[3]Purchase!#REF!</definedName>
    <definedName name="ccc" localSheetId="3">[3]Purchase!#REF!</definedName>
    <definedName name="ccc">[3]Purchase!#REF!</definedName>
    <definedName name="CLB">[4]level_all!$DQ$2:$DZ$15</definedName>
    <definedName name="CRUDE" localSheetId="0">#REF!</definedName>
    <definedName name="CRUDE" localSheetId="2">#REF!</definedName>
    <definedName name="CRUDE" localSheetId="3">#REF!</definedName>
    <definedName name="CRUDE">#REF!</definedName>
    <definedName name="Customercode">[5]Invent.!$B$7:$B$4500</definedName>
    <definedName name="DDD" localSheetId="0">#REF!</definedName>
    <definedName name="DDD" localSheetId="2">#REF!</definedName>
    <definedName name="DDD" localSheetId="3">#REF!</definedName>
    <definedName name="DDD">#REF!</definedName>
    <definedName name="Dec" localSheetId="0">#REF!</definedName>
    <definedName name="Dec" localSheetId="2">#REF!</definedName>
    <definedName name="Dec" localSheetId="3">#REF!</definedName>
    <definedName name="Dec">#REF!</definedName>
    <definedName name="DecSun1" localSheetId="0">DATEVALUE("12/1/"&amp;'C2'!TheYear)-WEEKDAY(DATEVALUE("12/1/"&amp;'C2'!TheYear))+1</definedName>
    <definedName name="DecSun1" localSheetId="2">DATEVALUE("12/1/"&amp;'C3LPG'!TheYear)-WEEKDAY(DATEVALUE("12/1/"&amp;'C3LPG'!TheYear))+1</definedName>
    <definedName name="DecSun1" localSheetId="3">DATEVALUE("12/1/"&amp;NGL!TheYear)-WEEKDAY(DATEVALUE("12/1/"&amp;NGL!TheYear))+1</definedName>
    <definedName name="DecSun1">DATEVALUE("12/1/"&amp;TheYear)-WEEKDAY(DATEVALUE("12/1/"&amp;TheYear))+1</definedName>
    <definedName name="Dry_Test" localSheetId="0">#REF!</definedName>
    <definedName name="Dry_Test" localSheetId="2">#REF!</definedName>
    <definedName name="Dry_Test" localSheetId="3">#REF!</definedName>
    <definedName name="Dry_Test">#REF!</definedName>
    <definedName name="dsfrgt" localSheetId="0">#REF!</definedName>
    <definedName name="dsfrgt" localSheetId="2">#REF!</definedName>
    <definedName name="dsfrgt" localSheetId="3">#REF!</definedName>
    <definedName name="dsfrgt">#REF!</definedName>
    <definedName name="Feb" localSheetId="0">#REF!</definedName>
    <definedName name="Feb" localSheetId="2">#REF!</definedName>
    <definedName name="Feb" localSheetId="3">#REF!</definedName>
    <definedName name="Feb">#REF!</definedName>
    <definedName name="FebSun1" localSheetId="0">DATEVALUE("2/1/"&amp;'C2'!TheYear)-WEEKDAY(DATEVALUE("2/1/"&amp;'C2'!TheYear))+1</definedName>
    <definedName name="FebSun1" localSheetId="2">DATEVALUE("2/1/"&amp;'C3LPG'!TheYear)-WEEKDAY(DATEVALUE("2/1/"&amp;'C3LPG'!TheYear))+1</definedName>
    <definedName name="FebSun1" localSheetId="3">DATEVALUE("2/1/"&amp;NGL!TheYear)-WEEKDAY(DATEVALUE("2/1/"&amp;NGL!TheYear))+1</definedName>
    <definedName name="FebSun1">DATEVALUE("2/1/"&amp;TheYear)-WEEKDAY(DATEVALUE("2/1/"&amp;TheYear))+1</definedName>
    <definedName name="GAS" localSheetId="0">#REF!</definedName>
    <definedName name="GAS" localSheetId="2">#REF!</definedName>
    <definedName name="GAS" localSheetId="3">#REF!</definedName>
    <definedName name="GAS">#REF!</definedName>
    <definedName name="GROWTH_Y_o_Y" localSheetId="0">#REF!</definedName>
    <definedName name="GROWTH_Y_o_Y" localSheetId="2">#REF!</definedName>
    <definedName name="GROWTH_Y_o_Y" localSheetId="3">#REF!</definedName>
    <definedName name="GROWTH_Y_o_Y">#REF!</definedName>
    <definedName name="HEAD" localSheetId="0">#REF!</definedName>
    <definedName name="HEAD" localSheetId="2">#REF!</definedName>
    <definedName name="HEAD" localSheetId="3">#REF!</definedName>
    <definedName name="HEAD">#REF!</definedName>
    <definedName name="I1U" localSheetId="0">#REF!</definedName>
    <definedName name="I1U" localSheetId="2">#REF!</definedName>
    <definedName name="I1U" localSheetId="3">#REF!</definedName>
    <definedName name="I1U">#REF!</definedName>
    <definedName name="I2U" localSheetId="0">#REF!</definedName>
    <definedName name="I2U" localSheetId="2">#REF!</definedName>
    <definedName name="I2U" localSheetId="3">#REF!</definedName>
    <definedName name="I2U">#REF!</definedName>
    <definedName name="IBK" localSheetId="0">#REF!</definedName>
    <definedName name="IBK" localSheetId="2">#REF!</definedName>
    <definedName name="IBK" localSheetId="3">#REF!</definedName>
    <definedName name="IBK">#REF!</definedName>
    <definedName name="IDX" localSheetId="0">#REF!</definedName>
    <definedName name="IDX" localSheetId="2">#REF!</definedName>
    <definedName name="IDX" localSheetId="3">#REF!</definedName>
    <definedName name="IDX">#REF!</definedName>
    <definedName name="IM" localSheetId="0">#REF!</definedName>
    <definedName name="IM" localSheetId="2">#REF!</definedName>
    <definedName name="IM" localSheetId="3">#REF!</definedName>
    <definedName name="IM">#REF!</definedName>
    <definedName name="Inputcode">[5]Invent.!$B$3:$BS$3</definedName>
    <definedName name="Jan" localSheetId="0">#REF!</definedName>
    <definedName name="Jan" localSheetId="2">#REF!</definedName>
    <definedName name="Jan" localSheetId="3">#REF!</definedName>
    <definedName name="Jan">#REF!</definedName>
    <definedName name="JanSun1" localSheetId="0">DATEVALUE("1/1/"&amp;'C2'!TheYear)-WEEKDAY(DATEVALUE("1/1/"&amp;'C2'!TheYear))+1</definedName>
    <definedName name="JanSun1" localSheetId="2">DATEVALUE("1/1/"&amp;'C3LPG'!TheYear)-WEEKDAY(DATEVALUE("1/1/"&amp;'C3LPG'!TheYear))+1</definedName>
    <definedName name="JanSun1" localSheetId="3">DATEVALUE("1/1/"&amp;NGL!TheYear)-WEEKDAY(DATEVALUE("1/1/"&amp;NGL!TheYear))+1</definedName>
    <definedName name="JanSun1">DATEVALUE("1/1/"&amp;TheYear)-WEEKDAY(DATEVALUE("1/1/"&amp;TheYear))+1</definedName>
    <definedName name="JDA" localSheetId="0">#REF!</definedName>
    <definedName name="JDA" localSheetId="2">#REF!</definedName>
    <definedName name="JDA" localSheetId="3">#REF!</definedName>
    <definedName name="JDA">#REF!</definedName>
    <definedName name="Jul" localSheetId="0">#REF!</definedName>
    <definedName name="Jul" localSheetId="2">#REF!</definedName>
    <definedName name="Jul" localSheetId="3">#REF!</definedName>
    <definedName name="Jul">#REF!</definedName>
    <definedName name="JulSun1" localSheetId="0">DATEVALUE("7/1/"&amp;'C2'!TheYear)-WEEKDAY(DATEVALUE("7/1/"&amp;'C2'!TheYear))+1</definedName>
    <definedName name="JulSun1" localSheetId="2">DATEVALUE("7/1/"&amp;'C3LPG'!TheYear)-WEEKDAY(DATEVALUE("7/1/"&amp;'C3LPG'!TheYear))+1</definedName>
    <definedName name="JulSun1" localSheetId="3">DATEVALUE("7/1/"&amp;NGL!TheYear)-WEEKDAY(DATEVALUE("7/1/"&amp;NGL!TheYear))+1</definedName>
    <definedName name="JulSun1">DATEVALUE("7/1/"&amp;TheYear)-WEEKDAY(DATEVALUE("7/1/"&amp;TheYear))+1</definedName>
    <definedName name="Jun" localSheetId="0">#REF!</definedName>
    <definedName name="Jun" localSheetId="2">#REF!</definedName>
    <definedName name="Jun" localSheetId="3">#REF!</definedName>
    <definedName name="Jun">#REF!</definedName>
    <definedName name="JunSun1" localSheetId="0">DATEVALUE("6/1/"&amp;'C2'!TheYear)-WEEKDAY(DATEVALUE("6/1/"&amp;'C2'!TheYear))+1</definedName>
    <definedName name="JunSun1" localSheetId="2">DATEVALUE("6/1/"&amp;'C3LPG'!TheYear)-WEEKDAY(DATEVALUE("6/1/"&amp;'C3LPG'!TheYear))+1</definedName>
    <definedName name="JunSun1" localSheetId="3">DATEVALUE("6/1/"&amp;NGL!TheYear)-WEEKDAY(DATEVALUE("6/1/"&amp;NGL!TheYear))+1</definedName>
    <definedName name="JunSun1">DATEVALUE("6/1/"&amp;TheYear)-WEEKDAY(DATEVALUE("6/1/"&amp;TheYear))+1</definedName>
    <definedName name="khl">[4]level_all!$BB$2:$BK$15</definedName>
    <definedName name="kkc">[4]level_all!$BO$2:$BX$15</definedName>
    <definedName name="krd">[4]level_all!$CC$2:$CL$15</definedName>
    <definedName name="Lost_seal" localSheetId="0">#REF!</definedName>
    <definedName name="Lost_seal" localSheetId="2">#REF!</definedName>
    <definedName name="Lost_seal" localSheetId="3">#REF!</definedName>
    <definedName name="Lost_seal">#REF!</definedName>
    <definedName name="Mar" localSheetId="0">#REF!</definedName>
    <definedName name="Mar" localSheetId="2">#REF!</definedName>
    <definedName name="Mar" localSheetId="3">#REF!</definedName>
    <definedName name="Mar">#REF!</definedName>
    <definedName name="MarSun1" localSheetId="0">DATEVALUE("3/1/"&amp;'C2'!TheYear)-WEEKDAY(DATEVALUE("3/1/"&amp;'C2'!TheYear))+1</definedName>
    <definedName name="MarSun1" localSheetId="2">DATEVALUE("3/1/"&amp;'C3LPG'!TheYear)-WEEKDAY(DATEVALUE("3/1/"&amp;'C3LPG'!TheYear))+1</definedName>
    <definedName name="MarSun1" localSheetId="3">DATEVALUE("3/1/"&amp;NGL!TheYear)-WEEKDAY(DATEVALUE("3/1/"&amp;NGL!TheYear))+1</definedName>
    <definedName name="MarSun1">DATEVALUE("3/1/"&amp;TheYear)-WEEKDAY(DATEVALUE("3/1/"&amp;TheYear))+1</definedName>
    <definedName name="May" localSheetId="0">#REF!</definedName>
    <definedName name="May" localSheetId="2">#REF!</definedName>
    <definedName name="May" localSheetId="3">#REF!</definedName>
    <definedName name="May">#REF!</definedName>
    <definedName name="MaySun1" localSheetId="0">DATEVALUE("5/1/"&amp;'C2'!TheYear)-WEEKDAY(DATEVALUE("5/1/"&amp;'C2'!TheYear))+1</definedName>
    <definedName name="MaySun1" localSheetId="2">DATEVALUE("5/1/"&amp;'C3LPG'!TheYear)-WEEKDAY(DATEVALUE("5/1/"&amp;'C3LPG'!TheYear))+1</definedName>
    <definedName name="MaySun1" localSheetId="3">DATEVALUE("5/1/"&amp;NGL!TheYear)-WEEKDAY(DATEVALUE("5/1/"&amp;NGL!TheYear))+1</definedName>
    <definedName name="MaySun1">DATEVALUE("5/1/"&amp;TheYear)-WEEKDAY(DATEVALUE("5/1/"&amp;TheYear))+1</definedName>
    <definedName name="mng">[4]level_all!$AC$2:$AL$15</definedName>
    <definedName name="MonRange" localSheetId="0">#REF!</definedName>
    <definedName name="MonRange" localSheetId="2">#REF!</definedName>
    <definedName name="MonRange" localSheetId="3">#REF!</definedName>
    <definedName name="MonRange">#REF!</definedName>
    <definedName name="Nov" localSheetId="0">#REF!</definedName>
    <definedName name="Nov" localSheetId="2">#REF!</definedName>
    <definedName name="Nov" localSheetId="3">#REF!</definedName>
    <definedName name="Nov">#REF!</definedName>
    <definedName name="NovSun1" localSheetId="0">DATEVALUE("11/1/"&amp;'C2'!TheYear)-WEEKDAY(DATEVALUE("11/1/"&amp;'C2'!TheYear))+1</definedName>
    <definedName name="NovSun1" localSheetId="2">DATEVALUE("11/1/"&amp;'C3LPG'!TheYear)-WEEKDAY(DATEVALUE("11/1/"&amp;'C3LPG'!TheYear))+1</definedName>
    <definedName name="NovSun1" localSheetId="3">DATEVALUE("11/1/"&amp;NGL!TheYear)-WEEKDAY(DATEVALUE("11/1/"&amp;NGL!TheYear))+1</definedName>
    <definedName name="NovSun1">DATEVALUE("11/1/"&amp;TheYear)-WEEKDAY(DATEVALUE("11/1/"&amp;TheYear))+1</definedName>
    <definedName name="NP">[4]level_all!$EG$2:$EP$15</definedName>
    <definedName name="Oct" localSheetId="0">#REF!</definedName>
    <definedName name="Oct" localSheetId="2">#REF!</definedName>
    <definedName name="Oct" localSheetId="3">#REF!</definedName>
    <definedName name="Oct">#REF!</definedName>
    <definedName name="OctSun1" localSheetId="0">DATEVALUE("10/1/"&amp;'C2'!TheYear)-WEEKDAY(DATEVALUE("10/1/"&amp;'C2'!TheYear))+1</definedName>
    <definedName name="OctSun1" localSheetId="2">DATEVALUE("10/1/"&amp;'C3LPG'!TheYear)-WEEKDAY(DATEVALUE("10/1/"&amp;'C3LPG'!TheYear))+1</definedName>
    <definedName name="OctSun1" localSheetId="3">DATEVALUE("10/1/"&amp;NGL!TheYear)-WEEKDAY(DATEVALUE("10/1/"&amp;NGL!TheYear))+1</definedName>
    <definedName name="OctSun1">DATEVALUE("10/1/"&amp;TheYear)-WEEKDAY(DATEVALUE("10/1/"&amp;TheYear))+1</definedName>
    <definedName name="OneStepChart" localSheetId="0">[6]!OneStepChart</definedName>
    <definedName name="OneStepChart" localSheetId="2">[6]!OneStepChart</definedName>
    <definedName name="OneStepChart" localSheetId="3">[6]!OneStepChart</definedName>
    <definedName name="OneStepChart">[6]!OneStepChart</definedName>
    <definedName name="outad" localSheetId="0">#REF!</definedName>
    <definedName name="outad" localSheetId="2">#REF!</definedName>
    <definedName name="outad" localSheetId="3">#REF!</definedName>
    <definedName name="outad">#REF!</definedName>
    <definedName name="PAGE2" localSheetId="0">#REF!</definedName>
    <definedName name="PAGE2" localSheetId="2">#REF!</definedName>
    <definedName name="PAGE2" localSheetId="3">#REF!</definedName>
    <definedName name="PAGE2">#REF!</definedName>
    <definedName name="pool3" localSheetId="0">[3]Purchase!#REF!</definedName>
    <definedName name="pool3" localSheetId="2">[3]Purchase!#REF!</definedName>
    <definedName name="pool3" localSheetId="3">[3]Purchase!#REF!</definedName>
    <definedName name="pool3">[3]Purchase!#REF!</definedName>
    <definedName name="Pressure_not_stabilized" localSheetId="0">#REF!</definedName>
    <definedName name="Pressure_not_stabilized" localSheetId="2">#REF!</definedName>
    <definedName name="Pressure_not_stabilized" localSheetId="3">#REF!</definedName>
    <definedName name="Pressure_not_stabilized">#REF!</definedName>
    <definedName name="_xlnm.Print_Area" localSheetId="0">#REF!</definedName>
    <definedName name="_xlnm.Print_Area" localSheetId="2">#REF!</definedName>
    <definedName name="_xlnm.Print_Area" localSheetId="3">#REF!</definedName>
    <definedName name="_xlnm.Print_Area">#REF!</definedName>
    <definedName name="PRINT_AREA_MI" localSheetId="0">#REF!</definedName>
    <definedName name="PRINT_AREA_MI" localSheetId="2">#REF!</definedName>
    <definedName name="PRINT_AREA_MI" localSheetId="3">#REF!</definedName>
    <definedName name="PRINT_AREA_MI">#REF!</definedName>
    <definedName name="Q" localSheetId="0">[3]Purchase!#REF!</definedName>
    <definedName name="Q" localSheetId="2">[3]Purchase!#REF!</definedName>
    <definedName name="Q" localSheetId="3">[3]Purchase!#REF!</definedName>
    <definedName name="Q">[3]Purchase!#REF!</definedName>
    <definedName name="RPB">[4]level_all!$ER$2:$EZ$15</definedName>
    <definedName name="S234gal." localSheetId="0">#REF!</definedName>
    <definedName name="S234gal." localSheetId="2">#REF!</definedName>
    <definedName name="S234gal." localSheetId="3">#REF!</definedName>
    <definedName name="S234gal.">#REF!</definedName>
    <definedName name="S6gal." localSheetId="0">#REF!</definedName>
    <definedName name="S6gal." localSheetId="2">#REF!</definedName>
    <definedName name="S6gal." localSheetId="3">#REF!</definedName>
    <definedName name="S6gal.">#REF!</definedName>
    <definedName name="SALES" localSheetId="0">#REF!</definedName>
    <definedName name="SALES" localSheetId="2">#REF!</definedName>
    <definedName name="SALES" localSheetId="3">#REF!</definedName>
    <definedName name="SALES">#REF!</definedName>
    <definedName name="Seal_Failure" localSheetId="0">#REF!</definedName>
    <definedName name="Seal_Failure" localSheetId="2">#REF!</definedName>
    <definedName name="Seal_Failure" localSheetId="3">#REF!</definedName>
    <definedName name="Seal_Failure">#REF!</definedName>
    <definedName name="Sep" localSheetId="0">#REF!</definedName>
    <definedName name="Sep" localSheetId="2">#REF!</definedName>
    <definedName name="Sep" localSheetId="3">#REF!</definedName>
    <definedName name="Sep">#REF!</definedName>
    <definedName name="SepSun1" localSheetId="0">DATEVALUE("9/1/"&amp;'C2'!TheYear)-WEEKDAY(DATEVALUE("9/1/"&amp;'C2'!TheYear))+1</definedName>
    <definedName name="SepSun1" localSheetId="2">DATEVALUE("9/1/"&amp;'C3LPG'!TheYear)-WEEKDAY(DATEVALUE("9/1/"&amp;'C3LPG'!TheYear))+1</definedName>
    <definedName name="SepSun1" localSheetId="3">DATEVALUE("9/1/"&amp;NGL!TheYear)-WEEKDAY(DATEVALUE("9/1/"&amp;NGL!TheYear))+1</definedName>
    <definedName name="SepSun1">DATEVALUE("9/1/"&amp;TheYear)-WEEKDAY(DATEVALUE("9/1/"&amp;TheYear))+1</definedName>
    <definedName name="sfsdfd" localSheetId="0">#REF!</definedName>
    <definedName name="sfsdfd" localSheetId="2">#REF!</definedName>
    <definedName name="sfsdfd" localSheetId="3">#REF!</definedName>
    <definedName name="sfsdfd">#REF!</definedName>
    <definedName name="sk">[4]level_all!$N$2:$U$15</definedName>
    <definedName name="SNR">[4]level_all!$AO$2:$AX$15</definedName>
    <definedName name="SRD">[4]level_all!$DD$2:$DM$15</definedName>
    <definedName name="su" localSheetId="0">#REF!</definedName>
    <definedName name="su" localSheetId="2">#REF!</definedName>
    <definedName name="su" localSheetId="3">#REF!</definedName>
    <definedName name="su">#REF!</definedName>
    <definedName name="Supercharged_?" localSheetId="0">#REF!</definedName>
    <definedName name="Supercharged_?" localSheetId="2">#REF!</definedName>
    <definedName name="Supercharged_?" localSheetId="3">#REF!</definedName>
    <definedName name="Supercharged_?">#REF!</definedName>
    <definedName name="suree" localSheetId="0">#REF!</definedName>
    <definedName name="suree" localSheetId="2">#REF!</definedName>
    <definedName name="suree" localSheetId="3">#REF!</definedName>
    <definedName name="suree">#REF!</definedName>
    <definedName name="TheYear" localSheetId="0">#REF!</definedName>
    <definedName name="TheYear" localSheetId="2">#REF!</definedName>
    <definedName name="TheYear" localSheetId="3">#REF!</definedName>
    <definedName name="TheYear">#REF!</definedName>
    <definedName name="UNIT__Bbtu" localSheetId="0">#REF!</definedName>
    <definedName name="UNIT__Bbtu" localSheetId="2">#REF!</definedName>
    <definedName name="UNIT__Bbtu" localSheetId="3">#REF!</definedName>
    <definedName name="UNIT__Bbtu">#REF!</definedName>
    <definedName name="UNIT__Bbtu_d" localSheetId="0">#REF!</definedName>
    <definedName name="UNIT__Bbtu_d" localSheetId="2">#REF!</definedName>
    <definedName name="UNIT__Bbtu_d" localSheetId="3">#REF!</definedName>
    <definedName name="UNIT__Bbtu_d">#REF!</definedName>
    <definedName name="UR">[4]level_all!$CP$2:$CY$15</definedName>
    <definedName name="VOLUME" localSheetId="0">#REF!</definedName>
    <definedName name="VOLUME" localSheetId="2">#REF!</definedName>
    <definedName name="VOLUME" localSheetId="3">#REF!</definedName>
    <definedName name="VOLUME">#REF!</definedName>
    <definedName name="WATER" localSheetId="0">#REF!</definedName>
    <definedName name="WATER" localSheetId="2">#REF!</definedName>
    <definedName name="WATER" localSheetId="3">#REF!</definedName>
    <definedName name="WATER">#REF!</definedName>
    <definedName name="WH" localSheetId="0">#REF!</definedName>
    <definedName name="WH" localSheetId="2">#REF!</definedName>
    <definedName name="WH" localSheetId="3">#REF!</definedName>
    <definedName name="WH">#REF!</definedName>
    <definedName name="wrn.A." hidden="1">{#N/A,#N/A,TRUE,"mng";#N/A,#N/A,TRUE,"snr";#N/A,#N/A,TRUE,"khl";#N/A,#N/A,TRUE,"kkc";#N/A,#N/A,TRUE,"krd";#N/A,#N/A,TRUE,"ur";#N/A,#N/A,TRUE,"srd";#N/A,#N/A,TRUE,"clb";#N/A,#N/A,TRUE,"np";#N/A,#N/A,TRUE,"rpb";#N/A,#N/A,TRUE,"blg"}</definedName>
    <definedName name="x" localSheetId="0">[3]Purchase!#REF!</definedName>
    <definedName name="x" localSheetId="2">[3]Purchase!#REF!</definedName>
    <definedName name="x" localSheetId="3">[3]Purchase!#REF!</definedName>
    <definedName name="x">[3]Purchase!#REF!</definedName>
    <definedName name="xxx" localSheetId="0">[3]Purchase!#REF!</definedName>
    <definedName name="xxx" localSheetId="2">[3]Purchase!#REF!</definedName>
    <definedName name="xxx" localSheetId="3">[3]Purchase!#REF!</definedName>
    <definedName name="xxx">[3]Purchase!#REF!</definedName>
    <definedName name="ZeroRef">[5]Invent.!$B$6</definedName>
    <definedName name="น้ำระบาย" localSheetId="0">#REF!</definedName>
    <definedName name="น้ำระบาย" localSheetId="2">#REF!</definedName>
    <definedName name="น้ำระบาย" localSheetId="3">#REF!</definedName>
    <definedName name="น้ำระบาย">#REF!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61" i="50" l="1"/>
  <c r="AG161" i="50"/>
  <c r="AH161" i="50"/>
  <c r="AI161" i="50"/>
  <c r="AJ161" i="50"/>
  <c r="V33" i="56" l="1"/>
  <c r="AF104" i="50" l="1"/>
  <c r="AQ107" i="50" s="1"/>
  <c r="AE102" i="50"/>
  <c r="AD8" i="50" l="1"/>
  <c r="AD98" i="50" l="1"/>
  <c r="AE98" i="50"/>
  <c r="AE161" i="50" l="1"/>
  <c r="BP7" i="111"/>
  <c r="BT22" i="111" l="1"/>
  <c r="BT26" i="111"/>
  <c r="BQ7" i="111"/>
  <c r="BU22" i="111" l="1"/>
  <c r="BU24" i="111" s="1"/>
  <c r="BV24" i="111" s="1"/>
  <c r="BU23" i="111" l="1"/>
  <c r="BV23" i="111" s="1"/>
  <c r="AF44" i="56" l="1"/>
  <c r="AF43" i="56"/>
  <c r="AF42" i="56"/>
  <c r="AF39" i="56"/>
  <c r="AF37" i="56"/>
  <c r="AF23" i="56"/>
  <c r="AF20" i="56"/>
  <c r="AF13" i="56"/>
  <c r="AF6" i="56"/>
  <c r="AF5" i="56"/>
  <c r="AF4" i="56"/>
  <c r="AF3" i="56" l="1"/>
  <c r="AF19" i="56"/>
  <c r="AF18" i="56" s="1"/>
  <c r="U33" i="56" l="1"/>
  <c r="CA7" i="111" l="1"/>
  <c r="BZ7" i="111"/>
  <c r="BY7" i="111"/>
  <c r="BX7" i="111"/>
  <c r="BW7" i="111"/>
  <c r="BT7" i="111"/>
  <c r="BR7" i="111"/>
  <c r="AD99" i="50" l="1"/>
  <c r="AC93" i="50" l="1"/>
  <c r="AD101" i="50" l="1"/>
  <c r="AD161" i="50" l="1"/>
  <c r="T33" i="56"/>
  <c r="AO177" i="50" l="1"/>
  <c r="AO176" i="50"/>
  <c r="AO175" i="50"/>
  <c r="AO174" i="50"/>
  <c r="AO173" i="50"/>
  <c r="AO172" i="50"/>
  <c r="AO171" i="50"/>
  <c r="AO168" i="50"/>
  <c r="AO166" i="50"/>
  <c r="AF12" i="56" s="1"/>
  <c r="AO164" i="50"/>
  <c r="AF10" i="56" s="1"/>
  <c r="AO158" i="50"/>
  <c r="AO157" i="50"/>
  <c r="AO182" i="50" s="1"/>
  <c r="AO153" i="50"/>
  <c r="AO135" i="50"/>
  <c r="AO91" i="50" s="1"/>
  <c r="AO102" i="50"/>
  <c r="AO162" i="50" s="1"/>
  <c r="AO98" i="50"/>
  <c r="AO97" i="50"/>
  <c r="AO96" i="50"/>
  <c r="AO94" i="50"/>
  <c r="AO84" i="50"/>
  <c r="AO87" i="50" s="1"/>
  <c r="AO78" i="50"/>
  <c r="AO81" i="50" s="1"/>
  <c r="AO76" i="50"/>
  <c r="AO75" i="50"/>
  <c r="AO74" i="50"/>
  <c r="AO73" i="50"/>
  <c r="AO72" i="50"/>
  <c r="AO68" i="50"/>
  <c r="AO67" i="50"/>
  <c r="AO65" i="50"/>
  <c r="AO56" i="50"/>
  <c r="AO69" i="50" s="1"/>
  <c r="AO54" i="50"/>
  <c r="AO52" i="50"/>
  <c r="AO41" i="50"/>
  <c r="AO34" i="50"/>
  <c r="AO27" i="50"/>
  <c r="AO21" i="50"/>
  <c r="AO13" i="50"/>
  <c r="CA31" i="111"/>
  <c r="CA17" i="111"/>
  <c r="CA8" i="111"/>
  <c r="CA20" i="111" s="1"/>
  <c r="CA2" i="111"/>
  <c r="AO178" i="50" l="1"/>
  <c r="AO161" i="50"/>
  <c r="AO181" i="50"/>
  <c r="AO160" i="50"/>
  <c r="AF8" i="56" s="1"/>
  <c r="AO90" i="50"/>
  <c r="CA16" i="111"/>
  <c r="CA15" i="111" s="1"/>
  <c r="AO85" i="50"/>
  <c r="AO92" i="50"/>
  <c r="CA13" i="111"/>
  <c r="CA14" i="111" s="1"/>
  <c r="AO77" i="50"/>
  <c r="AO95" i="50"/>
  <c r="AO53" i="50" s="1"/>
  <c r="AO163" i="50"/>
  <c r="AO167" i="50"/>
  <c r="AO183" i="50"/>
  <c r="AO180" i="50"/>
  <c r="AO165" i="50"/>
  <c r="AF11" i="56" s="1"/>
  <c r="AO169" i="50"/>
  <c r="AO170" i="50" s="1"/>
  <c r="AO185" i="50" s="1"/>
  <c r="AO79" i="50"/>
  <c r="AO82" i="50" s="1"/>
  <c r="AO80" i="50" s="1"/>
  <c r="AO83" i="50" s="1"/>
  <c r="AO19" i="50"/>
  <c r="CA19" i="111"/>
  <c r="AF22" i="56" l="1"/>
  <c r="AF21" i="56" s="1"/>
  <c r="AF17" i="56"/>
  <c r="AF16" i="56" s="1"/>
  <c r="AF9" i="56"/>
  <c r="AF7" i="56" s="1"/>
  <c r="AO88" i="50"/>
  <c r="AO86" i="50"/>
  <c r="AO89" i="50" s="1"/>
  <c r="AO179" i="50"/>
  <c r="S31" i="129" l="1"/>
  <c r="S23" i="129"/>
  <c r="S24" i="129" s="1"/>
  <c r="S25" i="129" s="1"/>
  <c r="S21" i="129"/>
  <c r="S10" i="129"/>
  <c r="S8" i="129"/>
  <c r="S16" i="129" s="1"/>
  <c r="S4" i="129"/>
  <c r="S2" i="129"/>
  <c r="S19" i="129" l="1"/>
  <c r="S28" i="129" s="1"/>
  <c r="S18" i="129"/>
  <c r="S38" i="129"/>
  <c r="S33" i="129" s="1"/>
  <c r="S36" i="129" s="1"/>
  <c r="S26" i="129" l="1"/>
  <c r="S27" i="129" s="1"/>
  <c r="S29" i="129"/>
  <c r="S37" i="129"/>
  <c r="S32" i="129" l="1"/>
  <c r="S39" i="129"/>
  <c r="S35" i="129" l="1"/>
  <c r="S34" i="129"/>
  <c r="S41" i="129" l="1"/>
  <c r="S42" i="129"/>
  <c r="AB101" i="50" l="1"/>
  <c r="AB8" i="50" l="1"/>
  <c r="AB103" i="50" l="1"/>
  <c r="BN6" i="111" l="1"/>
  <c r="BO7" i="111"/>
  <c r="AB104" i="50" l="1"/>
  <c r="BN7" i="111" l="1"/>
  <c r="AA135" i="50" l="1"/>
  <c r="AB135" i="50"/>
  <c r="AC135" i="50"/>
  <c r="AD135" i="50"/>
  <c r="AE135" i="50"/>
  <c r="AF135" i="50"/>
  <c r="AG135" i="50"/>
  <c r="AH135" i="50"/>
  <c r="AI135" i="50"/>
  <c r="AJ135" i="50"/>
  <c r="AK135" i="50"/>
  <c r="AL135" i="50"/>
  <c r="AM135" i="50"/>
  <c r="AN135" i="50"/>
  <c r="AE44" i="56" l="1"/>
  <c r="AE43" i="56"/>
  <c r="AE42" i="56"/>
  <c r="AE39" i="56"/>
  <c r="AE37" i="56"/>
  <c r="AE23" i="56"/>
  <c r="AE20" i="56"/>
  <c r="AE13" i="56"/>
  <c r="AE6" i="56"/>
  <c r="AE19" i="56" s="1"/>
  <c r="AE5" i="56"/>
  <c r="AE4" i="56"/>
  <c r="AE3" i="56" l="1"/>
  <c r="AE18" i="56"/>
  <c r="C59" i="50" l="1"/>
  <c r="C58" i="50"/>
  <c r="C57" i="50"/>
  <c r="C56" i="50"/>
  <c r="C29" i="129" l="1"/>
  <c r="BV7" i="111" l="1"/>
  <c r="BU7" i="111"/>
  <c r="BZ31" i="111"/>
  <c r="BZ17" i="111"/>
  <c r="BZ8" i="111"/>
  <c r="BZ20" i="111" s="1"/>
  <c r="BZ2" i="111"/>
  <c r="AN180" i="50"/>
  <c r="AN177" i="50"/>
  <c r="AN176" i="50"/>
  <c r="AN175" i="50"/>
  <c r="AN174" i="50"/>
  <c r="AN173" i="50"/>
  <c r="AN172" i="50"/>
  <c r="AN171" i="50"/>
  <c r="AN168" i="50"/>
  <c r="AN166" i="50"/>
  <c r="AE12" i="56" s="1"/>
  <c r="AN165" i="50"/>
  <c r="AE11" i="56" s="1"/>
  <c r="AN164" i="50"/>
  <c r="AE10" i="56" s="1"/>
  <c r="AN158" i="50"/>
  <c r="AN183" i="50" s="1"/>
  <c r="AN157" i="50"/>
  <c r="AN182" i="50" s="1"/>
  <c r="AN153" i="50"/>
  <c r="AN102" i="50"/>
  <c r="AN162" i="50" s="1"/>
  <c r="AN98" i="50"/>
  <c r="AN97" i="50"/>
  <c r="AN96" i="50"/>
  <c r="AN94" i="50"/>
  <c r="AN91" i="50"/>
  <c r="AN90" i="50"/>
  <c r="AN84" i="50"/>
  <c r="AN85" i="50" s="1"/>
  <c r="AN78" i="50"/>
  <c r="AN81" i="50" s="1"/>
  <c r="AN76" i="50"/>
  <c r="AN75" i="50"/>
  <c r="AN74" i="50"/>
  <c r="AN73" i="50"/>
  <c r="AN72" i="50"/>
  <c r="AN68" i="50"/>
  <c r="AN67" i="50"/>
  <c r="AN65" i="50"/>
  <c r="AN56" i="50"/>
  <c r="AN69" i="50" s="1"/>
  <c r="AN54" i="50"/>
  <c r="AN52" i="50"/>
  <c r="AN41" i="50"/>
  <c r="AN34" i="50"/>
  <c r="AN27" i="50"/>
  <c r="AN21" i="50"/>
  <c r="AN13" i="50"/>
  <c r="AN161" i="50" l="1"/>
  <c r="AN178" i="50"/>
  <c r="AN160" i="50"/>
  <c r="AE8" i="56" s="1"/>
  <c r="AE9" i="56"/>
  <c r="AE22" i="56"/>
  <c r="AE21" i="56" s="1"/>
  <c r="AE17" i="56"/>
  <c r="AE16" i="56" s="1"/>
  <c r="AN95" i="50"/>
  <c r="AN53" i="50" s="1"/>
  <c r="AN167" i="50"/>
  <c r="AN92" i="50"/>
  <c r="AN77" i="50"/>
  <c r="AN169" i="50"/>
  <c r="AN170" i="50" s="1"/>
  <c r="AN185" i="50" s="1"/>
  <c r="BZ13" i="111"/>
  <c r="BZ16" i="111"/>
  <c r="BZ15" i="111" s="1"/>
  <c r="BZ19" i="111"/>
  <c r="AN79" i="50"/>
  <c r="AN82" i="50" s="1"/>
  <c r="AN80" i="50" s="1"/>
  <c r="AN83" i="50" s="1"/>
  <c r="AN87" i="50"/>
  <c r="AN19" i="50"/>
  <c r="AN86" i="50"/>
  <c r="AN89" i="50" s="1"/>
  <c r="AN88" i="50"/>
  <c r="AN181" i="50"/>
  <c r="AN163" i="50"/>
  <c r="AE7" i="56" l="1"/>
  <c r="AN179" i="50"/>
  <c r="BZ14" i="111"/>
  <c r="R31" i="129" l="1"/>
  <c r="R23" i="129"/>
  <c r="R24" i="129" s="1"/>
  <c r="R21" i="129"/>
  <c r="R10" i="129"/>
  <c r="R8" i="129"/>
  <c r="R4" i="129"/>
  <c r="R2" i="129"/>
  <c r="R38" i="129" l="1"/>
  <c r="R33" i="129" s="1"/>
  <c r="R36" i="129" s="1"/>
  <c r="R16" i="129"/>
  <c r="R19" i="129" s="1"/>
  <c r="R28" i="129" s="1"/>
  <c r="R29" i="129" s="1"/>
  <c r="R25" i="129"/>
  <c r="AA59" i="50"/>
  <c r="R18" i="129" l="1"/>
  <c r="R26" i="129"/>
  <c r="R27" i="129" s="1"/>
  <c r="R37" i="129"/>
  <c r="R32" i="129" l="1"/>
  <c r="R39" i="129"/>
  <c r="R35" i="129" l="1"/>
  <c r="R34" i="129"/>
  <c r="R41" i="129" l="1"/>
  <c r="R42" i="129"/>
  <c r="AM98" i="50" l="1"/>
  <c r="AL98" i="50"/>
  <c r="AK98" i="50"/>
  <c r="AA33" i="56"/>
  <c r="AD44" i="56" l="1"/>
  <c r="AD43" i="56"/>
  <c r="AD42" i="56"/>
  <c r="AD39" i="56"/>
  <c r="AD37" i="56"/>
  <c r="AD23" i="56"/>
  <c r="AD20" i="56"/>
  <c r="AD13" i="56"/>
  <c r="AD6" i="56"/>
  <c r="AD19" i="56" s="1"/>
  <c r="AD5" i="56"/>
  <c r="AD4" i="56"/>
  <c r="AD18" i="56" l="1"/>
  <c r="AD3" i="56"/>
  <c r="AA121" i="50" l="1"/>
  <c r="S33" i="56" l="1"/>
  <c r="AA104" i="50" l="1"/>
  <c r="AQ104" i="50" l="1"/>
  <c r="AI102" i="50"/>
  <c r="AA98" i="50" l="1"/>
  <c r="AA97" i="50"/>
  <c r="AA17" i="50" l="1"/>
  <c r="Q31" i="129" l="1"/>
  <c r="P31" i="129"/>
  <c r="O31" i="129"/>
  <c r="N31" i="129"/>
  <c r="M31" i="129"/>
  <c r="L31" i="129"/>
  <c r="K31" i="129"/>
  <c r="J31" i="129"/>
  <c r="I31" i="129"/>
  <c r="H31" i="129"/>
  <c r="G31" i="129"/>
  <c r="F31" i="129"/>
  <c r="E31" i="129"/>
  <c r="D31" i="129"/>
  <c r="C31" i="129"/>
  <c r="D24" i="129"/>
  <c r="D25" i="129" s="1"/>
  <c r="C24" i="129"/>
  <c r="Q23" i="129"/>
  <c r="Q24" i="129" s="1"/>
  <c r="P23" i="129"/>
  <c r="P24" i="129" s="1"/>
  <c r="P25" i="129" s="1"/>
  <c r="O23" i="129"/>
  <c r="O24" i="129" s="1"/>
  <c r="N23" i="129"/>
  <c r="N24" i="129" s="1"/>
  <c r="N25" i="129" s="1"/>
  <c r="M23" i="129"/>
  <c r="M24" i="129" s="1"/>
  <c r="L23" i="129"/>
  <c r="L24" i="129" s="1"/>
  <c r="L25" i="129" s="1"/>
  <c r="K23" i="129"/>
  <c r="K24" i="129" s="1"/>
  <c r="K25" i="129" s="1"/>
  <c r="J23" i="129"/>
  <c r="J24" i="129" s="1"/>
  <c r="I23" i="129"/>
  <c r="I24" i="129" s="1"/>
  <c r="H23" i="129"/>
  <c r="H24" i="129" s="1"/>
  <c r="H28" i="129" s="1"/>
  <c r="H29" i="129" s="1"/>
  <c r="G23" i="129"/>
  <c r="G24" i="129" s="1"/>
  <c r="F23" i="129"/>
  <c r="F24" i="129" s="1"/>
  <c r="F25" i="129" s="1"/>
  <c r="E23" i="129"/>
  <c r="A23" i="129"/>
  <c r="A25" i="129" s="1"/>
  <c r="Q21" i="129"/>
  <c r="P21" i="129"/>
  <c r="O21" i="129"/>
  <c r="N21" i="129"/>
  <c r="M21" i="129"/>
  <c r="L21" i="129"/>
  <c r="K21" i="129"/>
  <c r="J21" i="129"/>
  <c r="I21" i="129"/>
  <c r="H21" i="129"/>
  <c r="G21" i="129"/>
  <c r="F21" i="129"/>
  <c r="E21" i="129"/>
  <c r="D21" i="129"/>
  <c r="C21" i="129"/>
  <c r="Q10" i="129"/>
  <c r="P10" i="129"/>
  <c r="O10" i="129"/>
  <c r="N10" i="129"/>
  <c r="M10" i="129"/>
  <c r="L10" i="129"/>
  <c r="K10" i="129"/>
  <c r="J10" i="129"/>
  <c r="I10" i="129"/>
  <c r="H10" i="129"/>
  <c r="G10" i="129"/>
  <c r="F10" i="129"/>
  <c r="E10" i="129"/>
  <c r="D10" i="129"/>
  <c r="C10" i="129"/>
  <c r="U9" i="129"/>
  <c r="Q8" i="129"/>
  <c r="Q38" i="129" s="1"/>
  <c r="Q33" i="129" s="1"/>
  <c r="Q36" i="129" s="1"/>
  <c r="P8" i="129"/>
  <c r="O8" i="129"/>
  <c r="O38" i="129" s="1"/>
  <c r="O33" i="129" s="1"/>
  <c r="O36" i="129" s="1"/>
  <c r="N8" i="129"/>
  <c r="N38" i="129" s="1"/>
  <c r="N33" i="129" s="1"/>
  <c r="N36" i="129" s="1"/>
  <c r="M8" i="129"/>
  <c r="L8" i="129"/>
  <c r="L38" i="129" s="1"/>
  <c r="L33" i="129" s="1"/>
  <c r="L36" i="129" s="1"/>
  <c r="K8" i="129"/>
  <c r="K38" i="129" s="1"/>
  <c r="K33" i="129" s="1"/>
  <c r="K36" i="129" s="1"/>
  <c r="J8" i="129"/>
  <c r="I8" i="129"/>
  <c r="H8" i="129"/>
  <c r="G8" i="129"/>
  <c r="G38" i="129" s="1"/>
  <c r="G33" i="129" s="1"/>
  <c r="G36" i="129" s="1"/>
  <c r="F8" i="129"/>
  <c r="F38" i="129" s="1"/>
  <c r="F33" i="129" s="1"/>
  <c r="F36" i="129" s="1"/>
  <c r="E8" i="129"/>
  <c r="E38" i="129" s="1"/>
  <c r="E33" i="129" s="1"/>
  <c r="E36" i="129" s="1"/>
  <c r="D8" i="129"/>
  <c r="D38" i="129" s="1"/>
  <c r="D33" i="129" s="1"/>
  <c r="D36" i="129" s="1"/>
  <c r="C8" i="129"/>
  <c r="A8" i="129"/>
  <c r="U7" i="129"/>
  <c r="Q4" i="129"/>
  <c r="P4" i="129"/>
  <c r="O4" i="129"/>
  <c r="N4" i="129"/>
  <c r="M4" i="129"/>
  <c r="L4" i="129"/>
  <c r="K4" i="129"/>
  <c r="J4" i="129"/>
  <c r="I4" i="129"/>
  <c r="H4" i="129"/>
  <c r="G4" i="129"/>
  <c r="F4" i="129"/>
  <c r="E4" i="129"/>
  <c r="D4" i="129"/>
  <c r="C4" i="129"/>
  <c r="Q2" i="129"/>
  <c r="P2" i="129"/>
  <c r="O2" i="129"/>
  <c r="N2" i="129"/>
  <c r="M2" i="129"/>
  <c r="L2" i="129"/>
  <c r="K2" i="129"/>
  <c r="J2" i="129"/>
  <c r="I2" i="129"/>
  <c r="H2" i="129"/>
  <c r="G2" i="129"/>
  <c r="F2" i="129"/>
  <c r="E2" i="129"/>
  <c r="D2" i="129"/>
  <c r="C2" i="129"/>
  <c r="M38" i="129" l="1"/>
  <c r="M33" i="129" s="1"/>
  <c r="M36" i="129" s="1"/>
  <c r="J38" i="129"/>
  <c r="J33" i="129" s="1"/>
  <c r="J36" i="129" s="1"/>
  <c r="H38" i="129"/>
  <c r="H33" i="129" s="1"/>
  <c r="H36" i="129" s="1"/>
  <c r="P38" i="129"/>
  <c r="P33" i="129" s="1"/>
  <c r="P36" i="129" s="1"/>
  <c r="I38" i="129"/>
  <c r="I33" i="129" s="1"/>
  <c r="I36" i="129" s="1"/>
  <c r="H37" i="129"/>
  <c r="H32" i="129" s="1"/>
  <c r="D28" i="129"/>
  <c r="A24" i="129"/>
  <c r="Q16" i="129"/>
  <c r="Q18" i="129" s="1"/>
  <c r="H25" i="129"/>
  <c r="H26" i="129"/>
  <c r="H27" i="129" s="1"/>
  <c r="N16" i="129"/>
  <c r="J16" i="129"/>
  <c r="F16" i="129"/>
  <c r="F28" i="129"/>
  <c r="M16" i="129"/>
  <c r="I16" i="129"/>
  <c r="E16" i="129"/>
  <c r="P16" i="129"/>
  <c r="L16" i="129"/>
  <c r="H16" i="129"/>
  <c r="O16" i="129"/>
  <c r="K16" i="129"/>
  <c r="G16" i="129"/>
  <c r="G28" i="129"/>
  <c r="G29" i="129" s="1"/>
  <c r="G25" i="129"/>
  <c r="I25" i="129"/>
  <c r="M25" i="129"/>
  <c r="Q25" i="129"/>
  <c r="E24" i="129"/>
  <c r="J25" i="129"/>
  <c r="O25" i="129"/>
  <c r="F26" i="129" l="1"/>
  <c r="F27" i="129" s="1"/>
  <c r="F29" i="129"/>
  <c r="D26" i="129"/>
  <c r="D27" i="129" s="1"/>
  <c r="D29" i="129"/>
  <c r="Q19" i="129"/>
  <c r="Q28" i="129" s="1"/>
  <c r="H35" i="129"/>
  <c r="H41" i="129" s="1"/>
  <c r="H34" i="129"/>
  <c r="D37" i="129"/>
  <c r="D39" i="129" s="1"/>
  <c r="H39" i="129"/>
  <c r="K18" i="129"/>
  <c r="K19" i="129"/>
  <c r="K28" i="129" s="1"/>
  <c r="K29" i="129" s="1"/>
  <c r="P18" i="129"/>
  <c r="P19" i="129"/>
  <c r="P28" i="129" s="1"/>
  <c r="P29" i="129" s="1"/>
  <c r="N18" i="129"/>
  <c r="N19" i="129"/>
  <c r="N28" i="129" s="1"/>
  <c r="N29" i="129" s="1"/>
  <c r="O18" i="129"/>
  <c r="O19" i="129"/>
  <c r="O28" i="129" s="1"/>
  <c r="O29" i="129" s="1"/>
  <c r="E18" i="129"/>
  <c r="E19" i="129"/>
  <c r="H18" i="129"/>
  <c r="H19" i="129"/>
  <c r="I18" i="129"/>
  <c r="I19" i="129"/>
  <c r="I28" i="129" s="1"/>
  <c r="F18" i="129"/>
  <c r="F19" i="129"/>
  <c r="F37" i="129"/>
  <c r="F39" i="129" s="1"/>
  <c r="G18" i="129"/>
  <c r="G19" i="129"/>
  <c r="L18" i="129"/>
  <c r="L19" i="129"/>
  <c r="L28" i="129" s="1"/>
  <c r="M18" i="129"/>
  <c r="M19" i="129"/>
  <c r="M28" i="129" s="1"/>
  <c r="J19" i="129"/>
  <c r="J28" i="129" s="1"/>
  <c r="J29" i="129" s="1"/>
  <c r="J18" i="129"/>
  <c r="G26" i="129"/>
  <c r="G27" i="129" s="1"/>
  <c r="G37" i="129"/>
  <c r="E25" i="129"/>
  <c r="E28" i="129"/>
  <c r="E29" i="129" s="1"/>
  <c r="BY31" i="111"/>
  <c r="BY17" i="111"/>
  <c r="BY8" i="111"/>
  <c r="BY20" i="111" s="1"/>
  <c r="BY2" i="111"/>
  <c r="AM177" i="50"/>
  <c r="AM176" i="50"/>
  <c r="AM175" i="50"/>
  <c r="AM174" i="50"/>
  <c r="AM173" i="50"/>
  <c r="AM172" i="50"/>
  <c r="AM171" i="50"/>
  <c r="AM168" i="50"/>
  <c r="AM166" i="50"/>
  <c r="AD12" i="56" s="1"/>
  <c r="AM164" i="50"/>
  <c r="AD10" i="56" s="1"/>
  <c r="AM158" i="50"/>
  <c r="AM183" i="50" s="1"/>
  <c r="AM157" i="50"/>
  <c r="AM182" i="50" s="1"/>
  <c r="AM153" i="50"/>
  <c r="AM180" i="50"/>
  <c r="AM102" i="50"/>
  <c r="AM162" i="50" s="1"/>
  <c r="AM97" i="50"/>
  <c r="AM96" i="50"/>
  <c r="AM94" i="50"/>
  <c r="AM84" i="50"/>
  <c r="AM87" i="50" s="1"/>
  <c r="AM78" i="50"/>
  <c r="AM81" i="50" s="1"/>
  <c r="AM76" i="50"/>
  <c r="AM75" i="50"/>
  <c r="AM74" i="50"/>
  <c r="AM73" i="50"/>
  <c r="AM72" i="50"/>
  <c r="AM68" i="50"/>
  <c r="AM67" i="50"/>
  <c r="AM65" i="50"/>
  <c r="AM56" i="50"/>
  <c r="AM69" i="50" s="1"/>
  <c r="AM54" i="50"/>
  <c r="AM52" i="50"/>
  <c r="AM41" i="50"/>
  <c r="AM34" i="50"/>
  <c r="AM27" i="50"/>
  <c r="AM21" i="50"/>
  <c r="AM13" i="50"/>
  <c r="AM161" i="50" l="1"/>
  <c r="AM178" i="50"/>
  <c r="H42" i="129"/>
  <c r="AM160" i="50"/>
  <c r="I26" i="129"/>
  <c r="I27" i="129" s="1"/>
  <c r="I29" i="129"/>
  <c r="L26" i="129"/>
  <c r="L27" i="129" s="1"/>
  <c r="L29" i="129"/>
  <c r="M37" i="129"/>
  <c r="M32" i="129" s="1"/>
  <c r="M29" i="129"/>
  <c r="Q37" i="129"/>
  <c r="Q39" i="129" s="1"/>
  <c r="Q29" i="129"/>
  <c r="Q26" i="129"/>
  <c r="Q27" i="129" s="1"/>
  <c r="D32" i="129"/>
  <c r="D35" i="129" s="1"/>
  <c r="D41" i="129" s="1"/>
  <c r="I37" i="129"/>
  <c r="I39" i="129" s="1"/>
  <c r="M26" i="129"/>
  <c r="M27" i="129" s="1"/>
  <c r="AM91" i="50"/>
  <c r="AM167" i="50"/>
  <c r="L37" i="129"/>
  <c r="L39" i="129" s="1"/>
  <c r="F32" i="129"/>
  <c r="O26" i="129"/>
  <c r="O27" i="129" s="1"/>
  <c r="O37" i="129"/>
  <c r="E26" i="129"/>
  <c r="E37" i="129"/>
  <c r="J26" i="129"/>
  <c r="J27" i="129" s="1"/>
  <c r="J37" i="129"/>
  <c r="K26" i="129"/>
  <c r="K27" i="129" s="1"/>
  <c r="K37" i="129"/>
  <c r="N26" i="129"/>
  <c r="N27" i="129" s="1"/>
  <c r="N37" i="129"/>
  <c r="P26" i="129"/>
  <c r="P27" i="129" s="1"/>
  <c r="P37" i="129"/>
  <c r="G39" i="129"/>
  <c r="G32" i="129"/>
  <c r="AM92" i="50"/>
  <c r="AM77" i="50"/>
  <c r="AM79" i="50"/>
  <c r="AM82" i="50" s="1"/>
  <c r="AM80" i="50" s="1"/>
  <c r="AM83" i="50" s="1"/>
  <c r="AM163" i="50"/>
  <c r="AM165" i="50"/>
  <c r="AD11" i="56" s="1"/>
  <c r="AD9" i="56" s="1"/>
  <c r="BY13" i="111"/>
  <c r="BY14" i="111" s="1"/>
  <c r="BY16" i="111"/>
  <c r="BY15" i="111" s="1"/>
  <c r="BY19" i="111"/>
  <c r="AM169" i="50"/>
  <c r="AM170" i="50" s="1"/>
  <c r="AM185" i="50" s="1"/>
  <c r="AM85" i="50"/>
  <c r="AD8" i="56"/>
  <c r="AM181" i="50"/>
  <c r="AM19" i="50"/>
  <c r="AM90" i="50"/>
  <c r="AM95" i="50"/>
  <c r="AD7" i="56" l="1"/>
  <c r="M39" i="129"/>
  <c r="Q32" i="129"/>
  <c r="Q35" i="129" s="1"/>
  <c r="Q41" i="129" s="1"/>
  <c r="AD17" i="56"/>
  <c r="AD16" i="56" s="1"/>
  <c r="AD22" i="56"/>
  <c r="AD21" i="56" s="1"/>
  <c r="M35" i="129"/>
  <c r="M41" i="129" s="1"/>
  <c r="M34" i="129"/>
  <c r="F35" i="129"/>
  <c r="F41" i="129" s="1"/>
  <c r="F34" i="129"/>
  <c r="G35" i="129"/>
  <c r="G41" i="129" s="1"/>
  <c r="G34" i="129"/>
  <c r="I32" i="129"/>
  <c r="L32" i="129"/>
  <c r="E27" i="129"/>
  <c r="U26" i="129"/>
  <c r="K32" i="129"/>
  <c r="K39" i="129"/>
  <c r="O39" i="129"/>
  <c r="O32" i="129"/>
  <c r="J39" i="129"/>
  <c r="J32" i="129"/>
  <c r="N39" i="129"/>
  <c r="N32" i="129"/>
  <c r="E32" i="129"/>
  <c r="E39" i="129"/>
  <c r="P32" i="129"/>
  <c r="P39" i="129"/>
  <c r="AM179" i="50"/>
  <c r="AM86" i="50"/>
  <c r="AM89" i="50" s="1"/>
  <c r="AM88" i="50"/>
  <c r="AM53" i="50"/>
  <c r="Q34" i="129" l="1"/>
  <c r="G42" i="129"/>
  <c r="M42" i="129"/>
  <c r="Q42" i="129"/>
  <c r="F42" i="129"/>
  <c r="P35" i="129"/>
  <c r="P41" i="129" s="1"/>
  <c r="P34" i="129"/>
  <c r="J35" i="129"/>
  <c r="J41" i="129" s="1"/>
  <c r="J34" i="129"/>
  <c r="E35" i="129"/>
  <c r="E41" i="129" s="1"/>
  <c r="E34" i="129"/>
  <c r="K35" i="129"/>
  <c r="K41" i="129" s="1"/>
  <c r="K34" i="129"/>
  <c r="L35" i="129"/>
  <c r="L41" i="129" s="1"/>
  <c r="L34" i="129"/>
  <c r="N35" i="129"/>
  <c r="N41" i="129" s="1"/>
  <c r="N34" i="129"/>
  <c r="O35" i="129"/>
  <c r="O41" i="129" s="1"/>
  <c r="O34" i="129"/>
  <c r="I35" i="129"/>
  <c r="I42" i="129" s="1"/>
  <c r="I34" i="129"/>
  <c r="AQ105" i="50"/>
  <c r="AQ55" i="50"/>
  <c r="E42" i="129" l="1"/>
  <c r="P42" i="129"/>
  <c r="L42" i="129"/>
  <c r="K42" i="129"/>
  <c r="J42" i="129"/>
  <c r="N42" i="129"/>
  <c r="O42" i="129"/>
  <c r="I41" i="129"/>
  <c r="Z107" i="50"/>
  <c r="AQ100" i="50" l="1"/>
  <c r="Z121" i="50" l="1"/>
  <c r="AA56" i="50" l="1"/>
  <c r="AB56" i="50"/>
  <c r="AC56" i="50"/>
  <c r="AD56" i="50"/>
  <c r="AE56" i="50"/>
  <c r="AF56" i="50"/>
  <c r="AG56" i="50"/>
  <c r="AH56" i="50"/>
  <c r="AI56" i="50"/>
  <c r="AJ56" i="50"/>
  <c r="AK56" i="50"/>
  <c r="AL56" i="50"/>
  <c r="AL34" i="50" l="1"/>
  <c r="AK34" i="50"/>
  <c r="AJ34" i="50"/>
  <c r="AI34" i="50"/>
  <c r="AH34" i="50"/>
  <c r="AG34" i="50"/>
  <c r="AF34" i="50"/>
  <c r="AE34" i="50"/>
  <c r="AD34" i="50"/>
  <c r="AC34" i="50"/>
  <c r="AB34" i="50"/>
  <c r="AA34" i="50"/>
  <c r="Z34" i="50"/>
  <c r="Q33" i="50"/>
  <c r="P33" i="50"/>
  <c r="O33" i="50"/>
  <c r="N33" i="50"/>
  <c r="M33" i="50"/>
  <c r="L33" i="50"/>
  <c r="AL27" i="50"/>
  <c r="AK27" i="50"/>
  <c r="AJ27" i="50"/>
  <c r="AI27" i="50"/>
  <c r="AH27" i="50"/>
  <c r="AG27" i="50"/>
  <c r="AF27" i="50"/>
  <c r="AE27" i="50"/>
  <c r="AD27" i="50"/>
  <c r="AC27" i="50"/>
  <c r="AB27" i="50"/>
  <c r="AA27" i="50"/>
  <c r="Z27" i="50"/>
  <c r="Q26" i="50"/>
  <c r="P26" i="50"/>
  <c r="O26" i="50"/>
  <c r="N26" i="50"/>
  <c r="M26" i="50"/>
  <c r="L26" i="50"/>
  <c r="Z155" i="50" l="1"/>
  <c r="Z62" i="50"/>
  <c r="BS7" i="111" l="1"/>
  <c r="BX8" i="111"/>
  <c r="BW8" i="111"/>
  <c r="BV8" i="111"/>
  <c r="BU8" i="111"/>
  <c r="BS8" i="111"/>
  <c r="BR8" i="111"/>
  <c r="BO8" i="111"/>
  <c r="BP8" i="111"/>
  <c r="AL102" i="50"/>
  <c r="AK102" i="50"/>
  <c r="AJ102" i="50"/>
  <c r="AF102" i="50"/>
  <c r="AD102" i="50"/>
  <c r="AC44" i="56" l="1"/>
  <c r="AC43" i="56"/>
  <c r="AC42" i="56"/>
  <c r="AC39" i="56"/>
  <c r="AC37" i="56"/>
  <c r="AC23" i="56"/>
  <c r="AC20" i="56"/>
  <c r="AC13" i="56"/>
  <c r="AC6" i="56"/>
  <c r="AC19" i="56" s="1"/>
  <c r="AC5" i="56"/>
  <c r="AC4" i="56"/>
  <c r="AC3" i="56" l="1"/>
  <c r="AC18" i="56"/>
  <c r="AE162" i="50" l="1"/>
  <c r="AE160" i="50" s="1"/>
  <c r="V8" i="56" s="1"/>
  <c r="AH162" i="50"/>
  <c r="AH160" i="50" s="1"/>
  <c r="AI162" i="50"/>
  <c r="AI160" i="50" s="1"/>
  <c r="AK162" i="50"/>
  <c r="AL162" i="50"/>
  <c r="AJ162" i="50"/>
  <c r="AG162" i="50"/>
  <c r="AG160" i="50" s="1"/>
  <c r="AF162" i="50"/>
  <c r="AF160" i="50" s="1"/>
  <c r="AD162" i="50"/>
  <c r="AD160" i="50" s="1"/>
  <c r="U8" i="56" s="1"/>
  <c r="AC162" i="50"/>
  <c r="AQ17" i="50" l="1"/>
  <c r="Z103" i="50"/>
  <c r="Z162" i="50" l="1"/>
  <c r="AB162" i="50" l="1"/>
  <c r="AQ93" i="50" l="1"/>
  <c r="Z111" i="50" l="1"/>
  <c r="BM7" i="111" l="1"/>
  <c r="BL7" i="111"/>
  <c r="AA78" i="50" l="1"/>
  <c r="AC78" i="50"/>
  <c r="AD78" i="50"/>
  <c r="AE78" i="50"/>
  <c r="AF78" i="50"/>
  <c r="AG78" i="50"/>
  <c r="AH78" i="50"/>
  <c r="AI78" i="50"/>
  <c r="AJ78" i="50"/>
  <c r="AK78" i="50"/>
  <c r="AL78" i="50"/>
  <c r="AL81" i="50" s="1"/>
  <c r="AB78" i="50"/>
  <c r="AI81" i="50" l="1"/>
  <c r="AD81" i="50"/>
  <c r="AC81" i="50"/>
  <c r="AB79" i="50"/>
  <c r="AE79" i="50"/>
  <c r="AJ79" i="50"/>
  <c r="AJ82" i="50" s="1"/>
  <c r="AF79" i="50"/>
  <c r="AI79" i="50"/>
  <c r="AC79" i="50"/>
  <c r="AB81" i="50"/>
  <c r="AA79" i="50"/>
  <c r="AA81" i="50"/>
  <c r="AH81" i="50"/>
  <c r="AL79" i="50"/>
  <c r="AL82" i="50" s="1"/>
  <c r="AL80" i="50" s="1"/>
  <c r="AL83" i="50" s="1"/>
  <c r="AH79" i="50"/>
  <c r="AK81" i="50"/>
  <c r="AG81" i="50"/>
  <c r="AK79" i="50"/>
  <c r="AK82" i="50" s="1"/>
  <c r="AG79" i="50"/>
  <c r="AJ81" i="50"/>
  <c r="AF81" i="50"/>
  <c r="AD79" i="50"/>
  <c r="AE81" i="50"/>
  <c r="AE82" i="50" l="1"/>
  <c r="AA82" i="50"/>
  <c r="AD82" i="50"/>
  <c r="AI82" i="50"/>
  <c r="AB82" i="50"/>
  <c r="AG82" i="50"/>
  <c r="AH82" i="50"/>
  <c r="AF82" i="50"/>
  <c r="AC82" i="50"/>
  <c r="AJ80" i="50"/>
  <c r="AK80" i="50"/>
  <c r="AK83" i="50" s="1"/>
  <c r="AL177" i="50"/>
  <c r="AL176" i="50"/>
  <c r="AL175" i="50"/>
  <c r="AL174" i="50"/>
  <c r="AL173" i="50"/>
  <c r="AL172" i="50"/>
  <c r="AL171" i="50"/>
  <c r="AL168" i="50"/>
  <c r="AL166" i="50"/>
  <c r="AC12" i="56" s="1"/>
  <c r="AL164" i="50"/>
  <c r="AC10" i="56" s="1"/>
  <c r="AL158" i="50"/>
  <c r="AL157" i="50"/>
  <c r="AL182" i="50" s="1"/>
  <c r="AL153" i="50"/>
  <c r="AL97" i="50"/>
  <c r="AL96" i="50"/>
  <c r="AL94" i="50"/>
  <c r="AL84" i="50"/>
  <c r="AL76" i="50"/>
  <c r="AL75" i="50"/>
  <c r="AL74" i="50"/>
  <c r="AL73" i="50"/>
  <c r="AL72" i="50"/>
  <c r="AL68" i="50"/>
  <c r="AL67" i="50"/>
  <c r="AL65" i="50"/>
  <c r="AL69" i="50"/>
  <c r="AL54" i="50"/>
  <c r="AL52" i="50"/>
  <c r="AL41" i="50"/>
  <c r="AL21" i="50"/>
  <c r="AL13" i="50"/>
  <c r="BX31" i="111"/>
  <c r="BX20" i="111"/>
  <c r="BX17" i="111"/>
  <c r="BX19" i="111"/>
  <c r="BX2" i="111"/>
  <c r="AL161" i="50" l="1"/>
  <c r="AL160" i="50" s="1"/>
  <c r="AL178" i="50"/>
  <c r="AL181" i="50"/>
  <c r="AE80" i="50"/>
  <c r="AE83" i="50" s="1"/>
  <c r="AC80" i="50"/>
  <c r="AC83" i="50" s="1"/>
  <c r="AB80" i="50"/>
  <c r="AB83" i="50" s="1"/>
  <c r="AG80" i="50"/>
  <c r="AG83" i="50" s="1"/>
  <c r="AA80" i="50"/>
  <c r="AA83" i="50" s="1"/>
  <c r="AF80" i="50"/>
  <c r="AF83" i="50" s="1"/>
  <c r="AI80" i="50"/>
  <c r="AI83" i="50" s="1"/>
  <c r="AH80" i="50"/>
  <c r="AH83" i="50" s="1"/>
  <c r="AD80" i="50"/>
  <c r="AJ83" i="50"/>
  <c r="AL90" i="50"/>
  <c r="AL85" i="50"/>
  <c r="AL87" i="50"/>
  <c r="AL169" i="50"/>
  <c r="AL170" i="50" s="1"/>
  <c r="AL185" i="50" s="1"/>
  <c r="BX13" i="111"/>
  <c r="BX14" i="111" s="1"/>
  <c r="AL91" i="50"/>
  <c r="BX16" i="111"/>
  <c r="BX15" i="111" s="1"/>
  <c r="AL77" i="50"/>
  <c r="AL95" i="50"/>
  <c r="AL53" i="50" s="1"/>
  <c r="AL163" i="50"/>
  <c r="AL167" i="50"/>
  <c r="AL180" i="50"/>
  <c r="AL92" i="50"/>
  <c r="AL165" i="50"/>
  <c r="AC11" i="56" s="1"/>
  <c r="AL19" i="50"/>
  <c r="AL183" i="50"/>
  <c r="Z98" i="50"/>
  <c r="AD83" i="50" l="1"/>
  <c r="AC8" i="56"/>
  <c r="AC22" i="56"/>
  <c r="AC21" i="56" s="1"/>
  <c r="AC17" i="56"/>
  <c r="AC16" i="56" s="1"/>
  <c r="AC9" i="56"/>
  <c r="AL86" i="50"/>
  <c r="AL89" i="50" s="1"/>
  <c r="AL88" i="50"/>
  <c r="AC7" i="56" l="1"/>
  <c r="AL179" i="50"/>
  <c r="Z99" i="50"/>
  <c r="AQ99" i="50" l="1"/>
  <c r="Y8" i="50"/>
  <c r="AB43" i="56" l="1"/>
  <c r="AB44" i="56"/>
  <c r="BL25" i="111" l="1"/>
  <c r="Y107" i="50" l="1"/>
  <c r="O33" i="56" l="1"/>
  <c r="P43" i="56" l="1"/>
  <c r="Q43" i="56"/>
  <c r="R43" i="56"/>
  <c r="P44" i="56"/>
  <c r="Q44" i="56"/>
  <c r="R44" i="56"/>
  <c r="S43" i="56"/>
  <c r="T43" i="56"/>
  <c r="U43" i="56"/>
  <c r="V43" i="56"/>
  <c r="W43" i="56"/>
  <c r="X43" i="56"/>
  <c r="Y43" i="56"/>
  <c r="Z43" i="56"/>
  <c r="AA43" i="56"/>
  <c r="S44" i="56"/>
  <c r="T44" i="56"/>
  <c r="U44" i="56"/>
  <c r="V44" i="56"/>
  <c r="W44" i="56"/>
  <c r="X44" i="56"/>
  <c r="Y44" i="56"/>
  <c r="Z44" i="56"/>
  <c r="AA44" i="56"/>
  <c r="Z61" i="50" l="1"/>
  <c r="Z133" i="50" l="1"/>
  <c r="Z173" i="50" l="1"/>
  <c r="Z78" i="50"/>
  <c r="Z153" i="50"/>
  <c r="Z81" i="50" l="1"/>
  <c r="Z79" i="50"/>
  <c r="Z82" i="50" l="1"/>
  <c r="Z21" i="50"/>
  <c r="AA21" i="50"/>
  <c r="AB21" i="50"/>
  <c r="AC21" i="50"/>
  <c r="AD21" i="50"/>
  <c r="AE21" i="50"/>
  <c r="AF21" i="50"/>
  <c r="AG21" i="50"/>
  <c r="AH21" i="50"/>
  <c r="AI21" i="50"/>
  <c r="AJ21" i="50"/>
  <c r="AK21" i="50"/>
  <c r="Y21" i="50"/>
  <c r="Z13" i="50"/>
  <c r="AA13" i="50"/>
  <c r="AB13" i="50"/>
  <c r="AC13" i="50"/>
  <c r="AD13" i="50"/>
  <c r="AE13" i="50"/>
  <c r="AF13" i="50"/>
  <c r="AG13" i="50"/>
  <c r="AH13" i="50"/>
  <c r="AI13" i="50"/>
  <c r="AJ13" i="50"/>
  <c r="AK13" i="50"/>
  <c r="Y13" i="50"/>
  <c r="Z4" i="56"/>
  <c r="AA4" i="56"/>
  <c r="Z5" i="56"/>
  <c r="AA5" i="56"/>
  <c r="Z6" i="56"/>
  <c r="AA6" i="56"/>
  <c r="Z13" i="56"/>
  <c r="AA13" i="56"/>
  <c r="AB42" i="56"/>
  <c r="AB39" i="56"/>
  <c r="AB37" i="56"/>
  <c r="AB23" i="56"/>
  <c r="AB20" i="56"/>
  <c r="AB13" i="56"/>
  <c r="AB6" i="56"/>
  <c r="AB19" i="56" s="1"/>
  <c r="AB5" i="56"/>
  <c r="AB4" i="56"/>
  <c r="Z80" i="50" l="1"/>
  <c r="Z83" i="50" s="1"/>
  <c r="AA3" i="56"/>
  <c r="AB18" i="56"/>
  <c r="Z3" i="56"/>
  <c r="AB3" i="56"/>
  <c r="Z101" i="50" l="1"/>
  <c r="Z30" i="50" l="1"/>
  <c r="Z134" i="50"/>
  <c r="AA134" i="50"/>
  <c r="Y134" i="50"/>
  <c r="Z32" i="50" l="1"/>
  <c r="BK7" i="111"/>
  <c r="AA32" i="50" l="1"/>
  <c r="BN24" i="111"/>
  <c r="AC30" i="50" l="1"/>
  <c r="AB32" i="50"/>
  <c r="BP25" i="111"/>
  <c r="BQ23" i="111" s="1"/>
  <c r="BR23" i="111" s="1"/>
  <c r="BS23" i="111" s="1"/>
  <c r="BM8" i="111"/>
  <c r="AD30" i="50" l="1"/>
  <c r="AC32" i="50"/>
  <c r="BQ24" i="111"/>
  <c r="BR24" i="111" s="1"/>
  <c r="AE30" i="50" l="1"/>
  <c r="AD32" i="50"/>
  <c r="Y98" i="50"/>
  <c r="AF30" i="50" l="1"/>
  <c r="AE32" i="50"/>
  <c r="Z164" i="50"/>
  <c r="AA164" i="50"/>
  <c r="AB164" i="50"/>
  <c r="AC164" i="50"/>
  <c r="AD164" i="50"/>
  <c r="AE164" i="50"/>
  <c r="AF164" i="50"/>
  <c r="AG164" i="50"/>
  <c r="AH164" i="50"/>
  <c r="AI164" i="50"/>
  <c r="Z10" i="56" s="1"/>
  <c r="AJ164" i="50"/>
  <c r="AA10" i="56" s="1"/>
  <c r="AK164" i="50"/>
  <c r="AB10" i="56" s="1"/>
  <c r="Y164" i="50"/>
  <c r="AG30" i="50" l="1"/>
  <c r="AF32" i="50"/>
  <c r="Z56" i="50"/>
  <c r="Y56" i="50"/>
  <c r="AH30" i="50" l="1"/>
  <c r="AG32" i="50"/>
  <c r="AQ59" i="50"/>
  <c r="AI30" i="50" l="1"/>
  <c r="AH32" i="50"/>
  <c r="BW31" i="111"/>
  <c r="BW20" i="111"/>
  <c r="BW17" i="111"/>
  <c r="BW16" i="111"/>
  <c r="BW2" i="111"/>
  <c r="AJ30" i="50" l="1"/>
  <c r="AI32" i="50"/>
  <c r="BW15" i="111"/>
  <c r="BW13" i="111"/>
  <c r="BW14" i="111" s="1"/>
  <c r="BW19" i="111"/>
  <c r="AK177" i="50"/>
  <c r="AK176" i="50"/>
  <c r="AK175" i="50"/>
  <c r="AK174" i="50"/>
  <c r="AK173" i="50"/>
  <c r="AK172" i="50"/>
  <c r="AK171" i="50"/>
  <c r="AK168" i="50"/>
  <c r="AK166" i="50"/>
  <c r="AB12" i="56" s="1"/>
  <c r="AK158" i="50"/>
  <c r="AK183" i="50" s="1"/>
  <c r="AK157" i="50"/>
  <c r="AK182" i="50" s="1"/>
  <c r="AK153" i="50"/>
  <c r="AK180" i="50"/>
  <c r="AK97" i="50"/>
  <c r="AK96" i="50"/>
  <c r="AK94" i="50"/>
  <c r="AK84" i="50"/>
  <c r="AK76" i="50"/>
  <c r="AK75" i="50"/>
  <c r="AK74" i="50"/>
  <c r="AK73" i="50"/>
  <c r="AK72" i="50"/>
  <c r="AK68" i="50"/>
  <c r="AK67" i="50"/>
  <c r="AK65" i="50"/>
  <c r="AK69" i="50"/>
  <c r="AK54" i="50"/>
  <c r="AK52" i="50"/>
  <c r="AK41" i="50"/>
  <c r="AK178" i="50" l="1"/>
  <c r="AK161" i="50"/>
  <c r="AK160" i="50" s="1"/>
  <c r="AK181" i="50"/>
  <c r="AJ32" i="50"/>
  <c r="AK85" i="50"/>
  <c r="AK87" i="50"/>
  <c r="AK91" i="50"/>
  <c r="AK169" i="50"/>
  <c r="AK170" i="50" s="1"/>
  <c r="AK185" i="50" s="1"/>
  <c r="AK90" i="50"/>
  <c r="AK165" i="50"/>
  <c r="AB11" i="56" s="1"/>
  <c r="AK77" i="50"/>
  <c r="AK92" i="50"/>
  <c r="AK19" i="50"/>
  <c r="AK163" i="50"/>
  <c r="AK167" i="50"/>
  <c r="AK88" i="50" l="1"/>
  <c r="AK86" i="50"/>
  <c r="AK89" i="50" s="1"/>
  <c r="AB17" i="56"/>
  <c r="AB16" i="56" s="1"/>
  <c r="AB22" i="56"/>
  <c r="AB21" i="56" s="1"/>
  <c r="AB9" i="56"/>
  <c r="BK17" i="111" l="1"/>
  <c r="Y103" i="50" l="1"/>
  <c r="BJ8" i="111" l="1"/>
  <c r="AQ111" i="50" l="1"/>
  <c r="AQ112" i="50"/>
  <c r="X121" i="50" l="1"/>
  <c r="X133" i="50"/>
  <c r="Z135" i="50" l="1"/>
  <c r="Y135" i="50"/>
  <c r="Z37" i="50" l="1"/>
  <c r="Y94" i="50"/>
  <c r="Z94" i="50"/>
  <c r="AA94" i="50"/>
  <c r="AC94" i="50"/>
  <c r="AE94" i="50"/>
  <c r="AF94" i="50"/>
  <c r="AG94" i="50"/>
  <c r="AH94" i="50"/>
  <c r="AI94" i="50"/>
  <c r="AJ94" i="50"/>
  <c r="Z38" i="50" l="1"/>
  <c r="AB94" i="50"/>
  <c r="AA38" i="50" l="1"/>
  <c r="Z172" i="50"/>
  <c r="AA172" i="50"/>
  <c r="AB172" i="50"/>
  <c r="AC172" i="50"/>
  <c r="AD172" i="50"/>
  <c r="AE172" i="50"/>
  <c r="AF172" i="50"/>
  <c r="AG172" i="50"/>
  <c r="AH172" i="50"/>
  <c r="AI172" i="50"/>
  <c r="AJ172" i="50"/>
  <c r="Y172" i="50"/>
  <c r="Y153" i="50"/>
  <c r="AA153" i="50"/>
  <c r="AB153" i="50"/>
  <c r="AC153" i="50"/>
  <c r="AD153" i="50"/>
  <c r="AE153" i="50"/>
  <c r="AF153" i="50"/>
  <c r="AG153" i="50"/>
  <c r="AH153" i="50"/>
  <c r="AI153" i="50"/>
  <c r="AJ153" i="50"/>
  <c r="AC37" i="50" l="1"/>
  <c r="AB38" i="50"/>
  <c r="AQ172" i="50"/>
  <c r="AA102" i="50"/>
  <c r="AD37" i="50" l="1"/>
  <c r="AC38" i="50"/>
  <c r="AA162" i="50"/>
  <c r="AE37" i="50" l="1"/>
  <c r="AD38" i="50"/>
  <c r="AF37" i="50" l="1"/>
  <c r="AE38" i="50"/>
  <c r="X103" i="50"/>
  <c r="AG37" i="50" l="1"/>
  <c r="AF38" i="50"/>
  <c r="AH37" i="50" l="1"/>
  <c r="AG38" i="50"/>
  <c r="AI37" i="50" l="1"/>
  <c r="AH38" i="50"/>
  <c r="AJ37" i="50" l="1"/>
  <c r="AI38" i="50"/>
  <c r="AK37" i="50" l="1"/>
  <c r="AJ38" i="50"/>
  <c r="AL37" i="50" l="1"/>
  <c r="AK38" i="50"/>
  <c r="AL38" i="50" l="1"/>
  <c r="AM37" i="50"/>
  <c r="Q37" i="56"/>
  <c r="R37" i="56"/>
  <c r="S37" i="56"/>
  <c r="T37" i="56"/>
  <c r="U37" i="56"/>
  <c r="V37" i="56"/>
  <c r="W37" i="56"/>
  <c r="X37" i="56"/>
  <c r="Y37" i="56"/>
  <c r="Z37" i="56"/>
  <c r="AA37" i="56"/>
  <c r="P37" i="56"/>
  <c r="AM38" i="50" l="1"/>
  <c r="AN37" i="50"/>
  <c r="X56" i="50"/>
  <c r="AN38" i="50" l="1"/>
  <c r="AO37" i="50"/>
  <c r="AO38" i="50" s="1"/>
  <c r="W8" i="50"/>
  <c r="BJ7" i="111" l="1"/>
  <c r="X144" i="50" l="1"/>
  <c r="BI8" i="111" l="1"/>
  <c r="BI7" i="111"/>
  <c r="BI25" i="111"/>
  <c r="BJ24" i="111" s="1"/>
  <c r="W97" i="50"/>
  <c r="BJ23" i="111" l="1"/>
  <c r="BK23" i="111" s="1"/>
  <c r="BL23" i="111" s="1"/>
  <c r="BK24" i="111"/>
  <c r="W56" i="50" l="1"/>
  <c r="BT8" i="111" l="1"/>
  <c r="Y102" i="50" l="1"/>
  <c r="AQ8" i="50"/>
  <c r="Z97" i="50" l="1"/>
  <c r="X175" i="50"/>
  <c r="Y175" i="50"/>
  <c r="Z175" i="50"/>
  <c r="AA175" i="50"/>
  <c r="AB175" i="50"/>
  <c r="AC175" i="50"/>
  <c r="AD175" i="50"/>
  <c r="AE175" i="50"/>
  <c r="AF175" i="50"/>
  <c r="AG175" i="50"/>
  <c r="AH175" i="50"/>
  <c r="AI175" i="50"/>
  <c r="AJ175" i="50"/>
  <c r="X176" i="50"/>
  <c r="Y176" i="50"/>
  <c r="Z176" i="50"/>
  <c r="AA176" i="50"/>
  <c r="AB176" i="50"/>
  <c r="AC176" i="50"/>
  <c r="AD176" i="50"/>
  <c r="AE176" i="50"/>
  <c r="AF176" i="50"/>
  <c r="AG176" i="50"/>
  <c r="AH176" i="50"/>
  <c r="AI176" i="50"/>
  <c r="AJ176" i="50"/>
  <c r="X177" i="50"/>
  <c r="Y177" i="50"/>
  <c r="Z177" i="50"/>
  <c r="AA177" i="50"/>
  <c r="AB177" i="50"/>
  <c r="AC177" i="50"/>
  <c r="AD177" i="50"/>
  <c r="AE177" i="50"/>
  <c r="AF177" i="50"/>
  <c r="AG177" i="50"/>
  <c r="AH177" i="50"/>
  <c r="AI177" i="50"/>
  <c r="AJ177" i="50"/>
  <c r="W177" i="50"/>
  <c r="W176" i="50"/>
  <c r="W175" i="50"/>
  <c r="AJ160" i="50" l="1"/>
  <c r="AC161" i="50"/>
  <c r="AA161" i="50"/>
  <c r="AB161" i="50"/>
  <c r="Z161" i="50"/>
  <c r="Z16" i="50"/>
  <c r="AC16" i="50" s="1"/>
  <c r="AQ175" i="50"/>
  <c r="AQ177" i="50"/>
  <c r="AQ176" i="50"/>
  <c r="W121" i="50" l="1"/>
  <c r="V109" i="50" l="1"/>
  <c r="V62" i="50"/>
  <c r="Z39" i="56" l="1"/>
  <c r="AA39" i="56"/>
  <c r="Z42" i="56"/>
  <c r="AA42" i="56"/>
  <c r="Z19" i="56"/>
  <c r="AA19" i="56"/>
  <c r="Z20" i="56"/>
  <c r="AA20" i="56"/>
  <c r="Z23" i="56"/>
  <c r="AA23" i="56"/>
  <c r="AA18" i="56" l="1"/>
  <c r="Z18" i="56"/>
  <c r="V107" i="50"/>
  <c r="V164" i="50" l="1"/>
  <c r="X164" i="50"/>
  <c r="W164" i="50"/>
  <c r="V172" i="50" l="1"/>
  <c r="X172" i="50"/>
  <c r="W172" i="50"/>
  <c r="W135" i="50" l="1"/>
  <c r="X135" i="50"/>
  <c r="W153" i="50"/>
  <c r="X153" i="50"/>
  <c r="W157" i="50"/>
  <c r="X157" i="50"/>
  <c r="Y157" i="50"/>
  <c r="Z157" i="50"/>
  <c r="AA157" i="50"/>
  <c r="AB157" i="50"/>
  <c r="AC157" i="50"/>
  <c r="AD157" i="50"/>
  <c r="AE157" i="50"/>
  <c r="AF157" i="50"/>
  <c r="AG157" i="50"/>
  <c r="AH157" i="50"/>
  <c r="W158" i="50"/>
  <c r="X158" i="50"/>
  <c r="Y158" i="50"/>
  <c r="Z158" i="50"/>
  <c r="AA158" i="50"/>
  <c r="AB158" i="50"/>
  <c r="AC158" i="50"/>
  <c r="AD158" i="50"/>
  <c r="AD178" i="50" s="1"/>
  <c r="AE158" i="50"/>
  <c r="AE178" i="50" s="1"/>
  <c r="AF158" i="50"/>
  <c r="AG158" i="50"/>
  <c r="AH158" i="50"/>
  <c r="AH178" i="50" l="1"/>
  <c r="AG178" i="50"/>
  <c r="AF178" i="50"/>
  <c r="AF179" i="50" s="1"/>
  <c r="AD179" i="50"/>
  <c r="AE179" i="50"/>
  <c r="AB178" i="50"/>
  <c r="Z178" i="50"/>
  <c r="AC178" i="50"/>
  <c r="AA178" i="50"/>
  <c r="W102" i="50"/>
  <c r="V102" i="50"/>
  <c r="Z168" i="50" l="1"/>
  <c r="AA168" i="50"/>
  <c r="AB168" i="50"/>
  <c r="AC168" i="50"/>
  <c r="AD168" i="50"/>
  <c r="AE168" i="50"/>
  <c r="AF168" i="50"/>
  <c r="AG168" i="50"/>
  <c r="AH168" i="50"/>
  <c r="AI168" i="50"/>
  <c r="AJ168" i="50"/>
  <c r="Y168" i="50"/>
  <c r="AQ168" i="50" l="1"/>
  <c r="BT20" i="111"/>
  <c r="BL20" i="111"/>
  <c r="BM20" i="111"/>
  <c r="BN20" i="111"/>
  <c r="BO20" i="111"/>
  <c r="BP20" i="111"/>
  <c r="BQ20" i="111"/>
  <c r="BR20" i="111"/>
  <c r="BS20" i="111"/>
  <c r="BU20" i="111"/>
  <c r="BV20" i="111"/>
  <c r="CG6" i="111" l="1"/>
  <c r="CH6" i="111" s="1"/>
  <c r="V168" i="50" l="1"/>
  <c r="W168" i="50" l="1"/>
  <c r="X168" i="50" l="1"/>
  <c r="W4" i="56" l="1"/>
  <c r="X4" i="56"/>
  <c r="W5" i="56"/>
  <c r="X5" i="56"/>
  <c r="W6" i="56"/>
  <c r="X6" i="56"/>
  <c r="Y42" i="56"/>
  <c r="Y39" i="56"/>
  <c r="Y23" i="56"/>
  <c r="Y20" i="56"/>
  <c r="Y13" i="56"/>
  <c r="Y6" i="56"/>
  <c r="Y19" i="56" s="1"/>
  <c r="Y5" i="56"/>
  <c r="Y4" i="56"/>
  <c r="Y18" i="56" l="1"/>
  <c r="X3" i="56"/>
  <c r="Y3" i="56"/>
  <c r="W3" i="56"/>
  <c r="BV31" i="111" l="1"/>
  <c r="BV17" i="111"/>
  <c r="BV19" i="111"/>
  <c r="BV2" i="111"/>
  <c r="BU31" i="111"/>
  <c r="BU17" i="111"/>
  <c r="BU16" i="111"/>
  <c r="BU19" i="111"/>
  <c r="BU2" i="111"/>
  <c r="BU15" i="111" l="1"/>
  <c r="BV13" i="111"/>
  <c r="BV14" i="111" s="1"/>
  <c r="BV16" i="111"/>
  <c r="BV15" i="111" s="1"/>
  <c r="BU13" i="111"/>
  <c r="BU14" i="111" l="1"/>
  <c r="BH7" i="111" l="1"/>
  <c r="BT31" i="111" l="1"/>
  <c r="BT17" i="111"/>
  <c r="BT19" i="111"/>
  <c r="BT2" i="111"/>
  <c r="BT16" i="111" l="1"/>
  <c r="BT15" i="111" s="1"/>
  <c r="BT13" i="111"/>
  <c r="BT14" i="111" l="1"/>
  <c r="U168" i="50" l="1"/>
  <c r="O181" i="50" l="1"/>
  <c r="E180" i="50"/>
  <c r="F180" i="50"/>
  <c r="J164" i="50"/>
  <c r="K164" i="50"/>
  <c r="L164" i="50"/>
  <c r="N164" i="50"/>
  <c r="O164" i="50"/>
  <c r="P164" i="50"/>
  <c r="Q164" i="50"/>
  <c r="R164" i="50"/>
  <c r="T164" i="50"/>
  <c r="U164" i="50"/>
  <c r="W10" i="56"/>
  <c r="X10" i="56"/>
  <c r="Y10" i="56"/>
  <c r="I164" i="50"/>
  <c r="I135" i="50"/>
  <c r="I180" i="50" s="1"/>
  <c r="J135" i="50"/>
  <c r="J180" i="50" s="1"/>
  <c r="K135" i="50"/>
  <c r="K91" i="50" s="1"/>
  <c r="L135" i="50"/>
  <c r="L180" i="50" s="1"/>
  <c r="N135" i="50"/>
  <c r="N180" i="50" s="1"/>
  <c r="O135" i="50"/>
  <c r="O91" i="50" s="1"/>
  <c r="P135" i="50"/>
  <c r="P91" i="50" s="1"/>
  <c r="Q135" i="50"/>
  <c r="Q91" i="50" s="1"/>
  <c r="R135" i="50"/>
  <c r="R180" i="50" s="1"/>
  <c r="T135" i="50"/>
  <c r="T91" i="50" s="1"/>
  <c r="U135" i="50"/>
  <c r="U91" i="50" s="1"/>
  <c r="V135" i="50"/>
  <c r="V91" i="50" s="1"/>
  <c r="W91" i="50"/>
  <c r="X91" i="50"/>
  <c r="Y91" i="50"/>
  <c r="Z91" i="50"/>
  <c r="AA91" i="50"/>
  <c r="AB91" i="50"/>
  <c r="AC91" i="50"/>
  <c r="AD91" i="50"/>
  <c r="AE91" i="50"/>
  <c r="AF91" i="50"/>
  <c r="AG91" i="50"/>
  <c r="AH91" i="50"/>
  <c r="AI91" i="50"/>
  <c r="H135" i="50"/>
  <c r="H180" i="50" s="1"/>
  <c r="G135" i="50"/>
  <c r="G180" i="50" s="1"/>
  <c r="U174" i="50"/>
  <c r="V174" i="50"/>
  <c r="W174" i="50"/>
  <c r="X174" i="50"/>
  <c r="Y174" i="50"/>
  <c r="Z174" i="50"/>
  <c r="AA174" i="50"/>
  <c r="AB174" i="50"/>
  <c r="AC174" i="50"/>
  <c r="AD174" i="50"/>
  <c r="AE174" i="50"/>
  <c r="AF174" i="50"/>
  <c r="AG174" i="50"/>
  <c r="AH174" i="50"/>
  <c r="AI174" i="50"/>
  <c r="AJ174" i="50"/>
  <c r="T174" i="50"/>
  <c r="Y181" i="50"/>
  <c r="Z181" i="50"/>
  <c r="AA181" i="50"/>
  <c r="AB181" i="50"/>
  <c r="AC181" i="50"/>
  <c r="AD181" i="50"/>
  <c r="AE181" i="50"/>
  <c r="AF181" i="50"/>
  <c r="AG181" i="50"/>
  <c r="AH181" i="50"/>
  <c r="AI181" i="50"/>
  <c r="AJ181" i="50"/>
  <c r="U153" i="50"/>
  <c r="U181" i="50" s="1"/>
  <c r="W181" i="50"/>
  <c r="X181" i="50"/>
  <c r="V153" i="50"/>
  <c r="AQ174" i="50" l="1"/>
  <c r="AJ91" i="50"/>
  <c r="V181" i="50"/>
  <c r="AI165" i="50"/>
  <c r="Z11" i="56" s="1"/>
  <c r="O165" i="50"/>
  <c r="P180" i="50"/>
  <c r="AE165" i="50"/>
  <c r="K165" i="50"/>
  <c r="AA165" i="50"/>
  <c r="W165" i="50"/>
  <c r="T180" i="50"/>
  <c r="AH165" i="50"/>
  <c r="Y11" i="56" s="1"/>
  <c r="AD165" i="50"/>
  <c r="Z165" i="50"/>
  <c r="V165" i="50"/>
  <c r="R165" i="50"/>
  <c r="J165" i="50"/>
  <c r="AJ180" i="50"/>
  <c r="AF180" i="50"/>
  <c r="AB180" i="50"/>
  <c r="X180" i="50"/>
  <c r="O180" i="50"/>
  <c r="K180" i="50"/>
  <c r="U180" i="50"/>
  <c r="AG180" i="50"/>
  <c r="AC180" i="50"/>
  <c r="Y180" i="50"/>
  <c r="I165" i="50"/>
  <c r="AG165" i="50"/>
  <c r="X11" i="56" s="1"/>
  <c r="AC165" i="50"/>
  <c r="Y165" i="50"/>
  <c r="U165" i="50"/>
  <c r="Q165" i="50"/>
  <c r="AI180" i="50"/>
  <c r="AE180" i="50"/>
  <c r="AA180" i="50"/>
  <c r="W180" i="50"/>
  <c r="AJ165" i="50"/>
  <c r="AA11" i="56" s="1"/>
  <c r="AF165" i="50"/>
  <c r="W11" i="56" s="1"/>
  <c r="AB165" i="50"/>
  <c r="X165" i="50"/>
  <c r="T165" i="50"/>
  <c r="P165" i="50"/>
  <c r="L165" i="50"/>
  <c r="AH180" i="50"/>
  <c r="AD180" i="50"/>
  <c r="Z180" i="50"/>
  <c r="V180" i="50"/>
  <c r="Q180" i="50"/>
  <c r="AQ101" i="50"/>
  <c r="AQ103" i="50"/>
  <c r="Y97" i="50"/>
  <c r="AD16" i="50" l="1"/>
  <c r="AE16" i="50" s="1"/>
  <c r="AF16" i="50" s="1"/>
  <c r="AG16" i="50" s="1"/>
  <c r="AH16" i="50" s="1"/>
  <c r="AI16" i="50" s="1"/>
  <c r="AJ16" i="50" s="1"/>
  <c r="AK16" i="50" s="1"/>
  <c r="AL16" i="50" s="1"/>
  <c r="AM16" i="50" s="1"/>
  <c r="AA17" i="56"/>
  <c r="AA16" i="56" s="1"/>
  <c r="AA22" i="56"/>
  <c r="AA21" i="56" s="1"/>
  <c r="Z17" i="56"/>
  <c r="Z16" i="56" s="1"/>
  <c r="Z22" i="56"/>
  <c r="Z21" i="56" s="1"/>
  <c r="Y17" i="56"/>
  <c r="Y16" i="56" s="1"/>
  <c r="Y22" i="56"/>
  <c r="Y21" i="56" s="1"/>
  <c r="AQ98" i="50"/>
  <c r="AQ97" i="50"/>
  <c r="AQ102" i="50"/>
  <c r="AJ173" i="50"/>
  <c r="AI173" i="50"/>
  <c r="AH173" i="50"/>
  <c r="AJ171" i="50"/>
  <c r="AI171" i="50"/>
  <c r="AH171" i="50"/>
  <c r="AJ166" i="50"/>
  <c r="AA12" i="56" s="1"/>
  <c r="AA9" i="56" s="1"/>
  <c r="AI166" i="50"/>
  <c r="Z12" i="56" s="1"/>
  <c r="Z9" i="56" s="1"/>
  <c r="AH166" i="50"/>
  <c r="Y12" i="56" s="1"/>
  <c r="Y9" i="56" s="1"/>
  <c r="AJ158" i="50"/>
  <c r="AI158" i="50"/>
  <c r="AH183" i="50"/>
  <c r="AJ157" i="50"/>
  <c r="AI157" i="50"/>
  <c r="AI178" i="50" s="1"/>
  <c r="AH182" i="50"/>
  <c r="AJ96" i="50"/>
  <c r="AI96" i="50"/>
  <c r="AH96" i="50"/>
  <c r="AJ95" i="50"/>
  <c r="AI95" i="50"/>
  <c r="AH95" i="50"/>
  <c r="AJ84" i="50"/>
  <c r="AI84" i="50"/>
  <c r="AH84" i="50"/>
  <c r="AJ76" i="50"/>
  <c r="AI76" i="50"/>
  <c r="AH76" i="50"/>
  <c r="AJ75" i="50"/>
  <c r="AI75" i="50"/>
  <c r="AH75" i="50"/>
  <c r="AJ74" i="50"/>
  <c r="AI74" i="50"/>
  <c r="AH74" i="50"/>
  <c r="AJ73" i="50"/>
  <c r="AI73" i="50"/>
  <c r="AH73" i="50"/>
  <c r="AJ72" i="50"/>
  <c r="AI72" i="50"/>
  <c r="AH72" i="50"/>
  <c r="AJ68" i="50"/>
  <c r="AI68" i="50"/>
  <c r="AH68" i="50"/>
  <c r="AJ67" i="50"/>
  <c r="AI67" i="50"/>
  <c r="AH67" i="50"/>
  <c r="AJ65" i="50"/>
  <c r="AI65" i="50"/>
  <c r="AH65" i="50"/>
  <c r="AJ69" i="50"/>
  <c r="AI69" i="50"/>
  <c r="AH69" i="50"/>
  <c r="AJ54" i="50"/>
  <c r="AI54" i="50"/>
  <c r="AH54" i="50"/>
  <c r="AJ52" i="50"/>
  <c r="AI52" i="50"/>
  <c r="AH52" i="50"/>
  <c r="AJ41" i="50"/>
  <c r="AI41" i="50"/>
  <c r="AH41" i="50"/>
  <c r="AI19" i="50"/>
  <c r="AH19" i="50"/>
  <c r="AJ178" i="50" l="1"/>
  <c r="AM18" i="50"/>
  <c r="AN16" i="50"/>
  <c r="AI182" i="50"/>
  <c r="AJ183" i="50"/>
  <c r="AI183" i="50"/>
  <c r="AI85" i="50"/>
  <c r="AI87" i="50"/>
  <c r="AJ85" i="50"/>
  <c r="AJ87" i="50"/>
  <c r="AH85" i="50"/>
  <c r="AH87" i="50"/>
  <c r="AK18" i="50"/>
  <c r="AL18" i="50"/>
  <c r="AJ182" i="50"/>
  <c r="AJ169" i="50"/>
  <c r="AI90" i="50"/>
  <c r="Z8" i="56"/>
  <c r="Z7" i="56" s="1"/>
  <c r="AH77" i="50"/>
  <c r="Y8" i="56"/>
  <c r="Y7" i="56" s="1"/>
  <c r="AH53" i="50"/>
  <c r="AJ163" i="50"/>
  <c r="AJ77" i="50"/>
  <c r="AJ90" i="50"/>
  <c r="AI92" i="50"/>
  <c r="AI169" i="50"/>
  <c r="AI77" i="50"/>
  <c r="AH90" i="50"/>
  <c r="AH92" i="50"/>
  <c r="AI53" i="50"/>
  <c r="AJ92" i="50"/>
  <c r="AH163" i="50"/>
  <c r="AH167" i="50"/>
  <c r="AH169" i="50"/>
  <c r="AI163" i="50"/>
  <c r="AI167" i="50"/>
  <c r="AJ167" i="50"/>
  <c r="X42" i="56"/>
  <c r="X39" i="56"/>
  <c r="X23" i="56"/>
  <c r="X20" i="56"/>
  <c r="X13" i="56"/>
  <c r="X19" i="56"/>
  <c r="AN18" i="50" l="1"/>
  <c r="AO16" i="50"/>
  <c r="AO18" i="50" s="1"/>
  <c r="AI179" i="50"/>
  <c r="AH179" i="50"/>
  <c r="AJ86" i="50"/>
  <c r="AJ88" i="50"/>
  <c r="AH88" i="50"/>
  <c r="AH86" i="50"/>
  <c r="AI88" i="50"/>
  <c r="AI86" i="50"/>
  <c r="AJ170" i="50"/>
  <c r="AH170" i="50"/>
  <c r="AI170" i="50"/>
  <c r="X18" i="56"/>
  <c r="BS19" i="111"/>
  <c r="BS31" i="111"/>
  <c r="BS17" i="111"/>
  <c r="BS2" i="111"/>
  <c r="U56" i="50"/>
  <c r="AG69" i="50"/>
  <c r="AG173" i="50"/>
  <c r="AG171" i="50"/>
  <c r="AG166" i="50"/>
  <c r="X12" i="56" s="1"/>
  <c r="X9" i="56" s="1"/>
  <c r="AG183" i="50"/>
  <c r="AG182" i="50"/>
  <c r="AG96" i="50"/>
  <c r="AG95" i="50"/>
  <c r="AG84" i="50"/>
  <c r="AG76" i="50"/>
  <c r="AG75" i="50"/>
  <c r="AG74" i="50"/>
  <c r="AG73" i="50"/>
  <c r="AG72" i="50"/>
  <c r="AG68" i="50"/>
  <c r="AG67" i="50"/>
  <c r="AG65" i="50"/>
  <c r="AG54" i="50"/>
  <c r="AG52" i="50"/>
  <c r="AG41" i="50"/>
  <c r="AI89" i="50" l="1"/>
  <c r="AJ89" i="50"/>
  <c r="AH89" i="50"/>
  <c r="AG87" i="50"/>
  <c r="AG85" i="50"/>
  <c r="AH185" i="50"/>
  <c r="AI185" i="50"/>
  <c r="AJ185" i="50"/>
  <c r="BS16" i="111"/>
  <c r="BS15" i="111" s="1"/>
  <c r="AG167" i="50"/>
  <c r="AG169" i="50"/>
  <c r="X8" i="56"/>
  <c r="X7" i="56" s="1"/>
  <c r="AG92" i="50"/>
  <c r="AG163" i="50"/>
  <c r="AG77" i="50"/>
  <c r="BS13" i="111"/>
  <c r="AG19" i="50"/>
  <c r="AG90" i="50"/>
  <c r="AG53" i="50"/>
  <c r="AG179" i="50" l="1"/>
  <c r="AG88" i="50"/>
  <c r="AG86" i="50"/>
  <c r="AG170" i="50"/>
  <c r="X17" i="56"/>
  <c r="X16" i="56" s="1"/>
  <c r="X22" i="56"/>
  <c r="X21" i="56" s="1"/>
  <c r="BS14" i="111"/>
  <c r="BG7" i="111"/>
  <c r="AG89" i="50" l="1"/>
  <c r="AG185" i="50"/>
  <c r="V56" i="50"/>
  <c r="Z24" i="50" s="1"/>
  <c r="AC24" i="50" s="1"/>
  <c r="AD24" i="50" s="1"/>
  <c r="AE24" i="50" s="1"/>
  <c r="AF24" i="50" s="1"/>
  <c r="AG24" i="50" s="1"/>
  <c r="AH24" i="50" s="1"/>
  <c r="AI24" i="50" s="1"/>
  <c r="AJ24" i="50" s="1"/>
  <c r="AA25" i="50" l="1"/>
  <c r="AB25" i="50" l="1"/>
  <c r="W42" i="56"/>
  <c r="W39" i="56"/>
  <c r="W23" i="56"/>
  <c r="W20" i="56"/>
  <c r="W13" i="56"/>
  <c r="W19" i="56"/>
  <c r="AC25" i="50" l="1"/>
  <c r="W18" i="56"/>
  <c r="AD25" i="50" l="1"/>
  <c r="AE25" i="50" l="1"/>
  <c r="T98" i="50"/>
  <c r="AF25" i="50" l="1"/>
  <c r="AG25" i="50" l="1"/>
  <c r="BF24" i="111"/>
  <c r="AH25" i="50" l="1"/>
  <c r="CG7" i="111"/>
  <c r="CH7" i="111" s="1"/>
  <c r="CI7" i="111" s="1"/>
  <c r="BR31" i="111"/>
  <c r="BR17" i="111"/>
  <c r="BR2" i="111"/>
  <c r="BK20" i="111" l="1"/>
  <c r="CG8" i="111"/>
  <c r="CH8" i="111" s="1"/>
  <c r="CI8" i="111" s="1"/>
  <c r="AJ25" i="50"/>
  <c r="AI25" i="50"/>
  <c r="BR13" i="111"/>
  <c r="BR14" i="111" s="1"/>
  <c r="BR19" i="111"/>
  <c r="BR16" i="111"/>
  <c r="BR15" i="111" s="1"/>
  <c r="AF173" i="50" l="1"/>
  <c r="AF171" i="50"/>
  <c r="AF166" i="50"/>
  <c r="W12" i="56" s="1"/>
  <c r="W9" i="56" s="1"/>
  <c r="AF183" i="50"/>
  <c r="AF182" i="50"/>
  <c r="AF96" i="50"/>
  <c r="AF95" i="50"/>
  <c r="AF84" i="50"/>
  <c r="AF76" i="50"/>
  <c r="AF75" i="50"/>
  <c r="AF74" i="50"/>
  <c r="AF73" i="50"/>
  <c r="AF72" i="50"/>
  <c r="AF68" i="50"/>
  <c r="AF67" i="50"/>
  <c r="AF65" i="50"/>
  <c r="AF69" i="50"/>
  <c r="AF54" i="50"/>
  <c r="AF52" i="50"/>
  <c r="AF41" i="50"/>
  <c r="AF85" i="50" l="1"/>
  <c r="AF87" i="50"/>
  <c r="AF90" i="50"/>
  <c r="AF169" i="50"/>
  <c r="AF92" i="50"/>
  <c r="AF77" i="50"/>
  <c r="AF163" i="50"/>
  <c r="AF167" i="50"/>
  <c r="AF86" i="50" l="1"/>
  <c r="AF88" i="50"/>
  <c r="AF170" i="50"/>
  <c r="W17" i="56"/>
  <c r="W16" i="56" s="1"/>
  <c r="W22" i="56"/>
  <c r="W21" i="56" s="1"/>
  <c r="S59" i="50"/>
  <c r="AF89" i="50" l="1"/>
  <c r="AF185" i="50"/>
  <c r="S8" i="50"/>
  <c r="T56" i="50" l="1"/>
  <c r="BG8" i="111" l="1"/>
  <c r="BF7" i="111" l="1"/>
  <c r="T153" i="50" l="1"/>
  <c r="T181" i="50" s="1"/>
  <c r="V42" i="56" l="1"/>
  <c r="V39" i="56"/>
  <c r="V23" i="56"/>
  <c r="V20" i="56"/>
  <c r="V13" i="56"/>
  <c r="V6" i="56"/>
  <c r="V19" i="56" s="1"/>
  <c r="V5" i="56"/>
  <c r="V4" i="56"/>
  <c r="V3" i="56" l="1"/>
  <c r="V18" i="56"/>
  <c r="S56" i="50" l="1"/>
  <c r="S43" i="50"/>
  <c r="BQ31" i="111" l="1"/>
  <c r="BQ17" i="111"/>
  <c r="BQ2" i="111"/>
  <c r="AE171" i="50"/>
  <c r="AE166" i="50"/>
  <c r="V12" i="56" s="1"/>
  <c r="V10" i="56"/>
  <c r="AE183" i="50"/>
  <c r="AE182" i="50"/>
  <c r="AE96" i="50"/>
  <c r="AE95" i="50"/>
  <c r="AE84" i="50"/>
  <c r="AE76" i="50"/>
  <c r="AE75" i="50"/>
  <c r="AE74" i="50"/>
  <c r="AE73" i="50"/>
  <c r="AE72" i="50"/>
  <c r="AE69" i="50"/>
  <c r="AE68" i="50"/>
  <c r="AE67" i="50"/>
  <c r="AE65" i="50"/>
  <c r="AE54" i="50"/>
  <c r="AE52" i="50"/>
  <c r="AE41" i="50"/>
  <c r="AE19" i="50"/>
  <c r="AE85" i="50" l="1"/>
  <c r="AE87" i="50"/>
  <c r="AE169" i="50"/>
  <c r="AE90" i="50"/>
  <c r="AE92" i="50"/>
  <c r="AE77" i="50"/>
  <c r="BQ16" i="111"/>
  <c r="BQ15" i="111" s="1"/>
  <c r="BQ19" i="111"/>
  <c r="BQ13" i="111"/>
  <c r="BQ14" i="111" s="1"/>
  <c r="AE163" i="50"/>
  <c r="AE53" i="50"/>
  <c r="V11" i="56"/>
  <c r="AE173" i="50"/>
  <c r="AE167" i="50"/>
  <c r="AE86" i="50" l="1"/>
  <c r="AE88" i="50"/>
  <c r="AE170" i="50"/>
  <c r="V17" i="56"/>
  <c r="V16" i="56" s="1"/>
  <c r="V22" i="56"/>
  <c r="V21" i="56" s="1"/>
  <c r="V9" i="56"/>
  <c r="V7" i="56" s="1"/>
  <c r="BG17" i="111"/>
  <c r="AE89" i="50" l="1"/>
  <c r="AE185" i="50"/>
  <c r="R8" i="50"/>
  <c r="R91" i="50" s="1"/>
  <c r="S136" i="50" l="1"/>
  <c r="S164" i="50" l="1"/>
  <c r="S135" i="50"/>
  <c r="S98" i="50"/>
  <c r="S91" i="50" l="1"/>
  <c r="S180" i="50"/>
  <c r="S165" i="50"/>
  <c r="BE7" i="111" l="1"/>
  <c r="BF19" i="111" l="1"/>
  <c r="AY34" i="111"/>
  <c r="BP31" i="111"/>
  <c r="BO31" i="111"/>
  <c r="BN31" i="111"/>
  <c r="BM31" i="111"/>
  <c r="BL31" i="111"/>
  <c r="BK31" i="111"/>
  <c r="BJ31" i="111"/>
  <c r="BI31" i="111"/>
  <c r="BH31" i="111"/>
  <c r="BG31" i="111"/>
  <c r="BF31" i="111"/>
  <c r="BE31" i="111"/>
  <c r="BD31" i="111"/>
  <c r="BC31" i="111"/>
  <c r="BB31" i="111"/>
  <c r="BA31" i="111"/>
  <c r="AZ31" i="111"/>
  <c r="AY31" i="111"/>
  <c r="AE28" i="111"/>
  <c r="AD28" i="111"/>
  <c r="AC28" i="111"/>
  <c r="AB28" i="111"/>
  <c r="AA28" i="111"/>
  <c r="Z28" i="111"/>
  <c r="BG27" i="111"/>
  <c r="BC27" i="111"/>
  <c r="AE27" i="111"/>
  <c r="AD27" i="111"/>
  <c r="AC27" i="111"/>
  <c r="AB27" i="111"/>
  <c r="AA27" i="111"/>
  <c r="AA29" i="111" s="1"/>
  <c r="Z27" i="111"/>
  <c r="Z29" i="111" s="1"/>
  <c r="AI23" i="111"/>
  <c r="BC20" i="111"/>
  <c r="AX19" i="111"/>
  <c r="AJ19" i="111"/>
  <c r="AI19" i="111"/>
  <c r="AH19" i="111"/>
  <c r="AG19" i="111"/>
  <c r="AF19" i="111"/>
  <c r="AE19" i="111"/>
  <c r="AD19" i="111"/>
  <c r="AC19" i="111"/>
  <c r="Y19" i="111"/>
  <c r="W19" i="111"/>
  <c r="V19" i="111"/>
  <c r="U19" i="111"/>
  <c r="T19" i="111"/>
  <c r="S19" i="111"/>
  <c r="R19" i="111"/>
  <c r="Q19" i="111"/>
  <c r="P19" i="111"/>
  <c r="O19" i="111"/>
  <c r="N19" i="111"/>
  <c r="M19" i="111"/>
  <c r="L19" i="111"/>
  <c r="K19" i="111"/>
  <c r="J19" i="111"/>
  <c r="I19" i="111"/>
  <c r="H19" i="111"/>
  <c r="G19" i="111"/>
  <c r="F19" i="111"/>
  <c r="E19" i="111"/>
  <c r="D19" i="111"/>
  <c r="C19" i="111"/>
  <c r="BD18" i="111"/>
  <c r="BC18" i="111"/>
  <c r="BP17" i="111"/>
  <c r="BO17" i="111"/>
  <c r="BN17" i="111"/>
  <c r="BM17" i="111"/>
  <c r="BL17" i="111"/>
  <c r="BJ17" i="111"/>
  <c r="BI17" i="111"/>
  <c r="BH17" i="111"/>
  <c r="BF17" i="111"/>
  <c r="BE17" i="111"/>
  <c r="BD17" i="111"/>
  <c r="BC17" i="111"/>
  <c r="BB17" i="111"/>
  <c r="BA17" i="111"/>
  <c r="AZ17" i="111"/>
  <c r="AY17" i="111"/>
  <c r="AX17" i="111"/>
  <c r="AW17" i="111"/>
  <c r="AV17" i="111"/>
  <c r="AU17" i="111"/>
  <c r="AT17" i="111"/>
  <c r="AS17" i="111"/>
  <c r="AR17" i="111"/>
  <c r="AQ17" i="111"/>
  <c r="AP17" i="111"/>
  <c r="AO17" i="111"/>
  <c r="AN17" i="111"/>
  <c r="AM17" i="111"/>
  <c r="AL17" i="111"/>
  <c r="AK17" i="111"/>
  <c r="AJ17" i="111"/>
  <c r="AI17" i="111"/>
  <c r="AH17" i="111"/>
  <c r="AG17" i="111"/>
  <c r="AF17" i="111"/>
  <c r="AE17" i="111"/>
  <c r="AD17" i="111"/>
  <c r="AC17" i="111"/>
  <c r="Z17" i="111"/>
  <c r="Y17" i="111"/>
  <c r="X17" i="111"/>
  <c r="W17" i="111"/>
  <c r="V17" i="111"/>
  <c r="U17" i="111"/>
  <c r="S17" i="111"/>
  <c r="R17" i="111"/>
  <c r="P17" i="111"/>
  <c r="O17" i="111"/>
  <c r="M17" i="111"/>
  <c r="L17" i="111"/>
  <c r="J17" i="111"/>
  <c r="I17" i="111"/>
  <c r="H17" i="111"/>
  <c r="G17" i="111"/>
  <c r="F17" i="111"/>
  <c r="E17" i="111"/>
  <c r="D17" i="111"/>
  <c r="C17" i="111"/>
  <c r="AX16" i="111"/>
  <c r="AJ16" i="111"/>
  <c r="AI16" i="111"/>
  <c r="Y16" i="111"/>
  <c r="W16" i="111"/>
  <c r="V16" i="111"/>
  <c r="U16" i="111"/>
  <c r="T16" i="111"/>
  <c r="S16" i="111"/>
  <c r="R16" i="111"/>
  <c r="Q16" i="111"/>
  <c r="P16" i="111"/>
  <c r="O16" i="111"/>
  <c r="N16" i="111"/>
  <c r="M16" i="111"/>
  <c r="L16" i="111"/>
  <c r="K16" i="111"/>
  <c r="J16" i="111"/>
  <c r="I16" i="111"/>
  <c r="H16" i="111"/>
  <c r="G16" i="111"/>
  <c r="F16" i="111"/>
  <c r="E16" i="111"/>
  <c r="D16" i="111"/>
  <c r="C16" i="111"/>
  <c r="AX13" i="111"/>
  <c r="AX14" i="111" s="1"/>
  <c r="AJ13" i="111"/>
  <c r="AJ14" i="111" s="1"/>
  <c r="AI13" i="111"/>
  <c r="AI14" i="111" s="1"/>
  <c r="Y13" i="111"/>
  <c r="Y14" i="111" s="1"/>
  <c r="W13" i="111"/>
  <c r="W14" i="111" s="1"/>
  <c r="V13" i="111"/>
  <c r="V14" i="111" s="1"/>
  <c r="U13" i="111"/>
  <c r="U14" i="111" s="1"/>
  <c r="S13" i="111"/>
  <c r="S14" i="111" s="1"/>
  <c r="R13" i="111"/>
  <c r="R14" i="111" s="1"/>
  <c r="P13" i="111"/>
  <c r="P14" i="111" s="1"/>
  <c r="O13" i="111"/>
  <c r="O14" i="111" s="1"/>
  <c r="M13" i="111"/>
  <c r="M14" i="111" s="1"/>
  <c r="L13" i="111"/>
  <c r="L14" i="111" s="1"/>
  <c r="J13" i="111"/>
  <c r="J14" i="111" s="1"/>
  <c r="I13" i="111"/>
  <c r="I14" i="111" s="1"/>
  <c r="H13" i="111"/>
  <c r="H14" i="111" s="1"/>
  <c r="G13" i="111"/>
  <c r="G14" i="111" s="1"/>
  <c r="F13" i="111"/>
  <c r="F14" i="111" s="1"/>
  <c r="E13" i="111"/>
  <c r="E14" i="111" s="1"/>
  <c r="D13" i="111"/>
  <c r="D14" i="111" s="1"/>
  <c r="C13" i="111"/>
  <c r="C14" i="111" s="1"/>
  <c r="BC12" i="111"/>
  <c r="BB12" i="111"/>
  <c r="BA12" i="111"/>
  <c r="AZ12" i="111"/>
  <c r="AY12" i="111"/>
  <c r="AX12" i="111"/>
  <c r="AW12" i="111"/>
  <c r="AV12" i="111"/>
  <c r="AU12" i="111"/>
  <c r="AT12" i="111"/>
  <c r="AS12" i="111"/>
  <c r="AR12" i="111"/>
  <c r="AQ12" i="111"/>
  <c r="AP12" i="111"/>
  <c r="AO12" i="111"/>
  <c r="AN12" i="111"/>
  <c r="AM12" i="111"/>
  <c r="AL12" i="111"/>
  <c r="AK12" i="111"/>
  <c r="AJ12" i="111"/>
  <c r="AI12" i="111"/>
  <c r="AH12" i="111"/>
  <c r="AF12" i="111"/>
  <c r="AE12" i="111"/>
  <c r="AD12" i="111"/>
  <c r="AC12" i="111"/>
  <c r="AB12" i="111"/>
  <c r="AA12" i="111"/>
  <c r="Z12" i="111"/>
  <c r="Y12" i="111"/>
  <c r="X12" i="111"/>
  <c r="W12" i="111"/>
  <c r="V12" i="111"/>
  <c r="U12" i="111"/>
  <c r="T12" i="111"/>
  <c r="S12" i="111"/>
  <c r="R12" i="111"/>
  <c r="Q12" i="111"/>
  <c r="P12" i="111"/>
  <c r="O12" i="111"/>
  <c r="N12" i="111"/>
  <c r="M12" i="111"/>
  <c r="L12" i="111"/>
  <c r="K12" i="111"/>
  <c r="J12" i="111"/>
  <c r="I12" i="111"/>
  <c r="H12" i="111"/>
  <c r="G12" i="111"/>
  <c r="F12" i="111"/>
  <c r="E12" i="111"/>
  <c r="D12" i="111"/>
  <c r="C12" i="111"/>
  <c r="BA10" i="111"/>
  <c r="AZ10" i="111"/>
  <c r="T10" i="111"/>
  <c r="N10" i="111"/>
  <c r="N17" i="111" s="1"/>
  <c r="K10" i="111"/>
  <c r="K13" i="111" s="1"/>
  <c r="K14" i="111" s="1"/>
  <c r="CB9" i="111"/>
  <c r="CC9" i="111" s="1"/>
  <c r="BH8" i="111"/>
  <c r="BH20" i="111" s="1"/>
  <c r="BG20" i="111"/>
  <c r="BF8" i="111"/>
  <c r="BE20" i="111"/>
  <c r="BD8" i="111"/>
  <c r="BD20" i="111" s="1"/>
  <c r="AZ8" i="111"/>
  <c r="AY8" i="111"/>
  <c r="AW8" i="111"/>
  <c r="AV8" i="111"/>
  <c r="AM8" i="111"/>
  <c r="AL8" i="111"/>
  <c r="AH8" i="111"/>
  <c r="AH16" i="111" s="1"/>
  <c r="AG8" i="111"/>
  <c r="AG13" i="111" s="1"/>
  <c r="AG11" i="111" s="1"/>
  <c r="AG12" i="111" s="1"/>
  <c r="AF8" i="111"/>
  <c r="AF13" i="111" s="1"/>
  <c r="AF14" i="111" s="1"/>
  <c r="AE8" i="111"/>
  <c r="AD8" i="111"/>
  <c r="AD13" i="111" s="1"/>
  <c r="AD14" i="111" s="1"/>
  <c r="AC8" i="111"/>
  <c r="AC13" i="111" s="1"/>
  <c r="AC14" i="111" s="1"/>
  <c r="AB8" i="111"/>
  <c r="AB17" i="111" s="1"/>
  <c r="AA8" i="111"/>
  <c r="AA17" i="111" s="1"/>
  <c r="Q8" i="111"/>
  <c r="Q13" i="111" s="1"/>
  <c r="Q14" i="111" s="1"/>
  <c r="BP19" i="111"/>
  <c r="BL19" i="111"/>
  <c r="BJ19" i="111"/>
  <c r="BI19" i="111"/>
  <c r="BE19" i="111"/>
  <c r="BD7" i="111"/>
  <c r="BD19" i="111" s="1"/>
  <c r="BC7" i="111"/>
  <c r="BB7" i="111"/>
  <c r="BB16" i="111" s="1"/>
  <c r="BA7" i="111"/>
  <c r="BA19" i="111" s="1"/>
  <c r="AZ7" i="111"/>
  <c r="AZ19" i="111" s="1"/>
  <c r="AY7" i="111"/>
  <c r="AW7" i="111"/>
  <c r="AV7" i="111"/>
  <c r="AU7" i="111"/>
  <c r="AU16" i="111" s="1"/>
  <c r="AT7" i="111"/>
  <c r="AT13" i="111" s="1"/>
  <c r="AT14" i="111" s="1"/>
  <c r="AS7" i="111"/>
  <c r="AS19" i="111" s="1"/>
  <c r="AR7" i="111"/>
  <c r="AR16" i="111" s="1"/>
  <c r="AQ7" i="111"/>
  <c r="AQ16" i="111" s="1"/>
  <c r="AP7" i="111"/>
  <c r="AO7" i="111"/>
  <c r="AO13" i="111" s="1"/>
  <c r="AO14" i="111" s="1"/>
  <c r="AN7" i="111"/>
  <c r="AN16" i="111" s="1"/>
  <c r="AM7" i="111"/>
  <c r="AL7" i="111"/>
  <c r="AK7" i="111"/>
  <c r="AK19" i="111" s="1"/>
  <c r="AB7" i="111"/>
  <c r="AB19" i="111" s="1"/>
  <c r="AA7" i="111"/>
  <c r="AA16" i="111" s="1"/>
  <c r="Z7" i="111"/>
  <c r="Z13" i="111" s="1"/>
  <c r="Z14" i="111" s="1"/>
  <c r="X7" i="111"/>
  <c r="X13" i="111" s="1"/>
  <c r="CE6" i="111"/>
  <c r="CF6" i="111" s="1"/>
  <c r="CC6" i="111"/>
  <c r="X6" i="111"/>
  <c r="BP2" i="111"/>
  <c r="BO2" i="111"/>
  <c r="BN2" i="111"/>
  <c r="BM2" i="111"/>
  <c r="BL2" i="111"/>
  <c r="BK2" i="111"/>
  <c r="BJ2" i="111"/>
  <c r="BI2" i="111"/>
  <c r="BH2" i="111"/>
  <c r="BG2" i="111"/>
  <c r="BF2" i="111"/>
  <c r="BE2" i="111"/>
  <c r="BD2" i="111"/>
  <c r="BC2" i="111"/>
  <c r="BB2" i="111"/>
  <c r="BA2" i="111"/>
  <c r="AZ2" i="111"/>
  <c r="AY2" i="111"/>
  <c r="AX2" i="111"/>
  <c r="AW2" i="111"/>
  <c r="AV2" i="111"/>
  <c r="AU2" i="111"/>
  <c r="AT2" i="111"/>
  <c r="AS2" i="111"/>
  <c r="AR2" i="111"/>
  <c r="AQ2" i="111"/>
  <c r="AP2" i="111"/>
  <c r="AO2" i="111"/>
  <c r="AN2" i="111"/>
  <c r="AM2" i="111"/>
  <c r="AB29" i="111" l="1"/>
  <c r="AE29" i="111"/>
  <c r="G15" i="111"/>
  <c r="AA15" i="111"/>
  <c r="AC29" i="111"/>
  <c r="BN13" i="111"/>
  <c r="BN14" i="111" s="1"/>
  <c r="W15" i="111"/>
  <c r="BM13" i="111"/>
  <c r="BM14" i="111" s="1"/>
  <c r="BH23" i="111"/>
  <c r="O15" i="111"/>
  <c r="Y15" i="111"/>
  <c r="AM16" i="111"/>
  <c r="AM15" i="111" s="1"/>
  <c r="AQ15" i="111"/>
  <c r="AU15" i="111"/>
  <c r="U15" i="111"/>
  <c r="AI15" i="111"/>
  <c r="AW13" i="111"/>
  <c r="AW14" i="111" s="1"/>
  <c r="AD29" i="111"/>
  <c r="AN15" i="111"/>
  <c r="AR15" i="111"/>
  <c r="BF13" i="111"/>
  <c r="BF14" i="111" s="1"/>
  <c r="AX15" i="111"/>
  <c r="F15" i="111"/>
  <c r="J15" i="111"/>
  <c r="BB15" i="111"/>
  <c r="AL13" i="111"/>
  <c r="AL14" i="111" s="1"/>
  <c r="AH15" i="111"/>
  <c r="D15" i="111"/>
  <c r="H15" i="111"/>
  <c r="P15" i="111"/>
  <c r="C15" i="111"/>
  <c r="AV13" i="111"/>
  <c r="AV14" i="111" s="1"/>
  <c r="R15" i="111"/>
  <c r="V15" i="111"/>
  <c r="AV16" i="111"/>
  <c r="AV15" i="111" s="1"/>
  <c r="AR13" i="111"/>
  <c r="AR14" i="111" s="1"/>
  <c r="AB16" i="111"/>
  <c r="AB15" i="111" s="1"/>
  <c r="AK16" i="111"/>
  <c r="AK15" i="111" s="1"/>
  <c r="BM16" i="111"/>
  <c r="BM15" i="111" s="1"/>
  <c r="AV19" i="111"/>
  <c r="N15" i="111"/>
  <c r="AG16" i="111"/>
  <c r="AG15" i="111" s="1"/>
  <c r="AS16" i="111"/>
  <c r="AS15" i="111" s="1"/>
  <c r="Q17" i="111"/>
  <c r="Q15" i="111" s="1"/>
  <c r="X19" i="111"/>
  <c r="BE13" i="111"/>
  <c r="N13" i="111"/>
  <c r="N14" i="111" s="1"/>
  <c r="AK13" i="111"/>
  <c r="AK14" i="111" s="1"/>
  <c r="BB19" i="111"/>
  <c r="AN13" i="111"/>
  <c r="AN14" i="111" s="1"/>
  <c r="L15" i="111"/>
  <c r="BE16" i="111"/>
  <c r="BE15" i="111" s="1"/>
  <c r="S15" i="111"/>
  <c r="AN19" i="111"/>
  <c r="BM19" i="111"/>
  <c r="BA23" i="111"/>
  <c r="X14" i="111"/>
  <c r="BN16" i="111"/>
  <c r="BN15" i="111" s="1"/>
  <c r="CB8" i="111"/>
  <c r="CD8" i="111" s="1"/>
  <c r="AZ23" i="111"/>
  <c r="AH13" i="111"/>
  <c r="AH14" i="111" s="1"/>
  <c r="AS13" i="111"/>
  <c r="AS14" i="111" s="1"/>
  <c r="BA13" i="111"/>
  <c r="BA14" i="111" s="1"/>
  <c r="BI13" i="111"/>
  <c r="BI14" i="111" s="1"/>
  <c r="AC16" i="111"/>
  <c r="AC15" i="111" s="1"/>
  <c r="BA16" i="111"/>
  <c r="BA15" i="111" s="1"/>
  <c r="BH16" i="111"/>
  <c r="BH15" i="111" s="1"/>
  <c r="BP16" i="111"/>
  <c r="BP15" i="111" s="1"/>
  <c r="AO19" i="111"/>
  <c r="AW19" i="111"/>
  <c r="BN19" i="111"/>
  <c r="BB23" i="111"/>
  <c r="AG14" i="111"/>
  <c r="BB13" i="111"/>
  <c r="BB14" i="111" s="1"/>
  <c r="X16" i="111"/>
  <c r="X15" i="111" s="1"/>
  <c r="AD16" i="111"/>
  <c r="AD15" i="111" s="1"/>
  <c r="AO16" i="111"/>
  <c r="AO15" i="111" s="1"/>
  <c r="AW16" i="111"/>
  <c r="AW15" i="111" s="1"/>
  <c r="BI16" i="111"/>
  <c r="BI15" i="111" s="1"/>
  <c r="K17" i="111"/>
  <c r="K15" i="111" s="1"/>
  <c r="AR19" i="111"/>
  <c r="BI20" i="111"/>
  <c r="BE23" i="111"/>
  <c r="AZ16" i="111"/>
  <c r="AZ15" i="111" s="1"/>
  <c r="CB10" i="111"/>
  <c r="CC10" i="111" s="1"/>
  <c r="E15" i="111"/>
  <c r="I15" i="111"/>
  <c r="M15" i="111"/>
  <c r="AF16" i="111"/>
  <c r="AF15" i="111" s="1"/>
  <c r="AJ15" i="111"/>
  <c r="BD16" i="111"/>
  <c r="BD15" i="111" s="1"/>
  <c r="BL16" i="111"/>
  <c r="BL15" i="111" s="1"/>
  <c r="T17" i="111"/>
  <c r="T15" i="111" s="1"/>
  <c r="T13" i="111"/>
  <c r="T14" i="111" s="1"/>
  <c r="Z19" i="111"/>
  <c r="Z16" i="111"/>
  <c r="Z15" i="111" s="1"/>
  <c r="AL16" i="111"/>
  <c r="AL15" i="111" s="1"/>
  <c r="AL19" i="111"/>
  <c r="AP19" i="111"/>
  <c r="AP16" i="111"/>
  <c r="AP15" i="111" s="1"/>
  <c r="AT16" i="111"/>
  <c r="AT15" i="111" s="1"/>
  <c r="AT19" i="111"/>
  <c r="AY35" i="111"/>
  <c r="AY16" i="111"/>
  <c r="AY15" i="111" s="1"/>
  <c r="AY19" i="111"/>
  <c r="AY13" i="111"/>
  <c r="AY14" i="111" s="1"/>
  <c r="CE7" i="111"/>
  <c r="CF7" i="111" s="1"/>
  <c r="BC16" i="111"/>
  <c r="BC15" i="111" s="1"/>
  <c r="BC19" i="111"/>
  <c r="BC23" i="111"/>
  <c r="BC13" i="111"/>
  <c r="BC14" i="111" s="1"/>
  <c r="BG16" i="111"/>
  <c r="BG15" i="111" s="1"/>
  <c r="BG13" i="111"/>
  <c r="BG14" i="111" s="1"/>
  <c r="BG19" i="111"/>
  <c r="BG25" i="111" s="1"/>
  <c r="BG23" i="111"/>
  <c r="BK16" i="111"/>
  <c r="BK15" i="111" s="1"/>
  <c r="BK19" i="111"/>
  <c r="BK13" i="111"/>
  <c r="BK14" i="111" s="1"/>
  <c r="BO16" i="111"/>
  <c r="BO15" i="111" s="1"/>
  <c r="BO19" i="111"/>
  <c r="BO13" i="111"/>
  <c r="BO14" i="111" s="1"/>
  <c r="AE16" i="111"/>
  <c r="AE15" i="111" s="1"/>
  <c r="AE13" i="111"/>
  <c r="AE14" i="111" s="1"/>
  <c r="CE8" i="111"/>
  <c r="CF8" i="111" s="1"/>
  <c r="AY23" i="111"/>
  <c r="BF23" i="111"/>
  <c r="BF20" i="111"/>
  <c r="BF25" i="111" s="1"/>
  <c r="BF16" i="111"/>
  <c r="BF15" i="111" s="1"/>
  <c r="BJ20" i="111"/>
  <c r="BJ16" i="111"/>
  <c r="BJ15" i="111" s="1"/>
  <c r="AP13" i="111"/>
  <c r="AP14" i="111" s="1"/>
  <c r="BJ13" i="111"/>
  <c r="BJ14" i="111" s="1"/>
  <c r="AA13" i="111"/>
  <c r="AA14" i="111" s="1"/>
  <c r="AM13" i="111"/>
  <c r="AM14" i="111" s="1"/>
  <c r="AA19" i="111"/>
  <c r="AQ19" i="111"/>
  <c r="BD23" i="111"/>
  <c r="CB7" i="111"/>
  <c r="AB13" i="111"/>
  <c r="AB14" i="111" s="1"/>
  <c r="AZ13" i="111"/>
  <c r="AZ14" i="111" s="1"/>
  <c r="BD13" i="111"/>
  <c r="BH13" i="111"/>
  <c r="BH14" i="111" s="1"/>
  <c r="BL13" i="111"/>
  <c r="BL14" i="111" s="1"/>
  <c r="BP13" i="111"/>
  <c r="BP14" i="111" s="1"/>
  <c r="BH19" i="111"/>
  <c r="BH25" i="111" s="1"/>
  <c r="AQ13" i="111"/>
  <c r="AQ14" i="111" s="1"/>
  <c r="AU13" i="111"/>
  <c r="AU14" i="111" s="1"/>
  <c r="AM19" i="111"/>
  <c r="AU19" i="111"/>
  <c r="BE14" i="111" l="1"/>
  <c r="CC8" i="111"/>
  <c r="CC7" i="111"/>
  <c r="CD7" i="111"/>
  <c r="BD14" i="111"/>
  <c r="BD12" i="111" l="1"/>
  <c r="BE12" i="111" l="1"/>
  <c r="BF12" i="111" l="1"/>
  <c r="BG12" i="111" l="1"/>
  <c r="BH12" i="111" l="1"/>
  <c r="BI12" i="111" l="1"/>
  <c r="BJ12" i="111" l="1"/>
  <c r="BK12" i="111" l="1"/>
  <c r="BL12" i="111" l="1"/>
  <c r="BM12" i="111" l="1"/>
  <c r="BO11" i="111" l="1"/>
  <c r="BN12" i="111"/>
  <c r="BO12" i="111" l="1"/>
  <c r="BP11" i="111"/>
  <c r="BP12" i="111" l="1"/>
  <c r="BQ11" i="111"/>
  <c r="E168" i="50"/>
  <c r="BQ12" i="111" l="1"/>
  <c r="BR11" i="111"/>
  <c r="BR12" i="111" l="1"/>
  <c r="BS11" i="111"/>
  <c r="BS12" i="111" l="1"/>
  <c r="BT11" i="111"/>
  <c r="BT12" i="111" l="1"/>
  <c r="BU11" i="111"/>
  <c r="BU12" i="111" l="1"/>
  <c r="BV11" i="111"/>
  <c r="S155" i="50"/>
  <c r="S181" i="50" s="1"/>
  <c r="BV12" i="111" l="1"/>
  <c r="BW11" i="111"/>
  <c r="U84" i="50"/>
  <c r="V84" i="50"/>
  <c r="W84" i="50"/>
  <c r="X84" i="50"/>
  <c r="Y84" i="50"/>
  <c r="Z84" i="50"/>
  <c r="AA84" i="50"/>
  <c r="AB84" i="50"/>
  <c r="AC84" i="50"/>
  <c r="AD84" i="50"/>
  <c r="Y87" i="50" l="1"/>
  <c r="Z85" i="50"/>
  <c r="Z87" i="50"/>
  <c r="AC85" i="50"/>
  <c r="AC87" i="50"/>
  <c r="AB85" i="50"/>
  <c r="AB87" i="50"/>
  <c r="AA87" i="50"/>
  <c r="AA85" i="50"/>
  <c r="AD85" i="50"/>
  <c r="AD87" i="50"/>
  <c r="BW12" i="111"/>
  <c r="BX11" i="111"/>
  <c r="R84" i="50"/>
  <c r="BX12" i="111" l="1"/>
  <c r="BY11" i="111"/>
  <c r="AC86" i="50"/>
  <c r="AC88" i="50"/>
  <c r="AA86" i="50"/>
  <c r="AA88" i="50"/>
  <c r="AB86" i="50"/>
  <c r="AB88" i="50"/>
  <c r="Z86" i="50"/>
  <c r="Z88" i="50"/>
  <c r="AD86" i="50"/>
  <c r="AD88" i="50"/>
  <c r="S84" i="50"/>
  <c r="T84" i="50"/>
  <c r="BY12" i="111" l="1"/>
  <c r="BZ11" i="111"/>
  <c r="AB89" i="50"/>
  <c r="AD89" i="50"/>
  <c r="AC89" i="50"/>
  <c r="Z89" i="50"/>
  <c r="AA89" i="50"/>
  <c r="I168" i="50"/>
  <c r="J168" i="50"/>
  <c r="K168" i="50"/>
  <c r="L168" i="50"/>
  <c r="O168" i="50"/>
  <c r="P168" i="50"/>
  <c r="I171" i="50"/>
  <c r="J171" i="50"/>
  <c r="K171" i="50"/>
  <c r="L171" i="50"/>
  <c r="M171" i="50"/>
  <c r="N171" i="50"/>
  <c r="O171" i="50"/>
  <c r="P171" i="50"/>
  <c r="I172" i="50"/>
  <c r="J172" i="50"/>
  <c r="K172" i="50"/>
  <c r="L172" i="50"/>
  <c r="M172" i="50"/>
  <c r="N172" i="50"/>
  <c r="O172" i="50"/>
  <c r="P172" i="50"/>
  <c r="I173" i="50"/>
  <c r="J173" i="50"/>
  <c r="K173" i="50"/>
  <c r="L173" i="50"/>
  <c r="O173" i="50"/>
  <c r="P173" i="50"/>
  <c r="Q168" i="50"/>
  <c r="Q171" i="50"/>
  <c r="Q172" i="50"/>
  <c r="Q173" i="50"/>
  <c r="S171" i="50"/>
  <c r="T171" i="50"/>
  <c r="U171" i="50"/>
  <c r="V171" i="50"/>
  <c r="W171" i="50"/>
  <c r="X171" i="50"/>
  <c r="Y171" i="50"/>
  <c r="Z171" i="50"/>
  <c r="AA171" i="50"/>
  <c r="AB171" i="50"/>
  <c r="AC171" i="50"/>
  <c r="AD171" i="50"/>
  <c r="R171" i="50"/>
  <c r="BZ12" i="111" l="1"/>
  <c r="CA11" i="111"/>
  <c r="CA12" i="111" s="1"/>
  <c r="AQ171" i="50"/>
  <c r="S172" i="50"/>
  <c r="T172" i="50"/>
  <c r="U172" i="50"/>
  <c r="S173" i="50"/>
  <c r="T173" i="50"/>
  <c r="U173" i="50"/>
  <c r="V173" i="50"/>
  <c r="W173" i="50"/>
  <c r="X173" i="50"/>
  <c r="Y173" i="50"/>
  <c r="AA173" i="50"/>
  <c r="AB173" i="50"/>
  <c r="AC173" i="50"/>
  <c r="AD173" i="50"/>
  <c r="R173" i="50"/>
  <c r="R172" i="50"/>
  <c r="AQ173" i="50" l="1"/>
  <c r="J161" i="50"/>
  <c r="M161" i="50"/>
  <c r="N161" i="50"/>
  <c r="I162" i="50"/>
  <c r="J162" i="50"/>
  <c r="K162" i="50"/>
  <c r="L162" i="50"/>
  <c r="M162" i="50"/>
  <c r="P162" i="50"/>
  <c r="Q162" i="50"/>
  <c r="I166" i="50"/>
  <c r="J166" i="50"/>
  <c r="K166" i="50"/>
  <c r="L166" i="50"/>
  <c r="M166" i="50"/>
  <c r="N166" i="50"/>
  <c r="O166" i="50"/>
  <c r="P166" i="50"/>
  <c r="Q166" i="50"/>
  <c r="M160" i="50" l="1"/>
  <c r="J160" i="50"/>
  <c r="S168" i="50" l="1"/>
  <c r="T168" i="50"/>
  <c r="R168" i="50"/>
  <c r="U42" i="56"/>
  <c r="U39" i="56"/>
  <c r="U23" i="56"/>
  <c r="U20" i="56"/>
  <c r="U13" i="56"/>
  <c r="U6" i="56"/>
  <c r="U19" i="56" s="1"/>
  <c r="U5" i="56"/>
  <c r="U4" i="56"/>
  <c r="S162" i="50"/>
  <c r="T162" i="50"/>
  <c r="U162" i="50"/>
  <c r="S166" i="50"/>
  <c r="T166" i="50"/>
  <c r="U166" i="50"/>
  <c r="V166" i="50"/>
  <c r="W166" i="50"/>
  <c r="X166" i="50"/>
  <c r="Y166" i="50"/>
  <c r="Z166" i="50"/>
  <c r="AA166" i="50"/>
  <c r="AB166" i="50"/>
  <c r="AC166" i="50"/>
  <c r="AD166" i="50"/>
  <c r="U12" i="56" s="1"/>
  <c r="U10" i="56"/>
  <c r="Z95" i="50"/>
  <c r="AA95" i="50"/>
  <c r="AB95" i="50"/>
  <c r="AD95" i="50"/>
  <c r="Y95" i="50"/>
  <c r="S95" i="50"/>
  <c r="S161" i="50" s="1"/>
  <c r="T95" i="50"/>
  <c r="T161" i="50" s="1"/>
  <c r="U95" i="50"/>
  <c r="V95" i="50"/>
  <c r="W95" i="50"/>
  <c r="W161" i="50" s="1"/>
  <c r="X95" i="50"/>
  <c r="X161" i="50" s="1"/>
  <c r="S23" i="50"/>
  <c r="R23" i="50"/>
  <c r="Y161" i="50" l="1"/>
  <c r="V161" i="50"/>
  <c r="U161" i="50"/>
  <c r="U160" i="50" s="1"/>
  <c r="U18" i="56"/>
  <c r="U3" i="56"/>
  <c r="T160" i="50"/>
  <c r="S160" i="50"/>
  <c r="AC95" i="50"/>
  <c r="AC6" i="50" s="1"/>
  <c r="AD6" i="50" l="1"/>
  <c r="AE6" i="50" s="1"/>
  <c r="AF6" i="50" s="1"/>
  <c r="AG6" i="50" s="1"/>
  <c r="AH6" i="50" s="1"/>
  <c r="AI6" i="50" s="1"/>
  <c r="AJ6" i="50" s="1"/>
  <c r="X7" i="50"/>
  <c r="W7" i="50"/>
  <c r="V7" i="50"/>
  <c r="S19" i="50"/>
  <c r="T19" i="50"/>
  <c r="U19" i="50"/>
  <c r="R19" i="50"/>
  <c r="R56" i="50"/>
  <c r="Y7" i="50" l="1"/>
  <c r="Q69" i="50"/>
  <c r="AD69" i="50"/>
  <c r="AC69" i="50"/>
  <c r="AB69" i="50"/>
  <c r="AA69" i="50"/>
  <c r="Z69" i="50"/>
  <c r="Y69" i="50"/>
  <c r="X69" i="50"/>
  <c r="W69" i="50"/>
  <c r="V69" i="50"/>
  <c r="U69" i="50"/>
  <c r="T69" i="50"/>
  <c r="S69" i="50"/>
  <c r="R69" i="50"/>
  <c r="AD68" i="50"/>
  <c r="AC68" i="50"/>
  <c r="AB68" i="50"/>
  <c r="AA68" i="50"/>
  <c r="Z68" i="50"/>
  <c r="Y68" i="50"/>
  <c r="X68" i="50"/>
  <c r="W68" i="50"/>
  <c r="V68" i="50"/>
  <c r="U68" i="50"/>
  <c r="T68" i="50"/>
  <c r="S68" i="50"/>
  <c r="R68" i="50"/>
  <c r="Q68" i="50"/>
  <c r="Q25" i="50" l="1"/>
  <c r="Q12" i="50"/>
  <c r="E18" i="50" l="1"/>
  <c r="F18" i="50"/>
  <c r="G18" i="50"/>
  <c r="H18" i="50"/>
  <c r="I18" i="50"/>
  <c r="J18" i="50"/>
  <c r="K18" i="50"/>
  <c r="L18" i="50"/>
  <c r="M18" i="50"/>
  <c r="N18" i="50"/>
  <c r="O18" i="50"/>
  <c r="P18" i="50"/>
  <c r="Q18" i="50"/>
  <c r="R18" i="50"/>
  <c r="S18" i="50" l="1"/>
  <c r="T18" i="50" l="1"/>
  <c r="U18" i="50" l="1"/>
  <c r="P12" i="50" l="1"/>
  <c r="O12" i="50"/>
  <c r="N12" i="50"/>
  <c r="M12" i="50"/>
  <c r="L12" i="50"/>
  <c r="P25" i="50"/>
  <c r="O25" i="50"/>
  <c r="N25" i="50"/>
  <c r="M25" i="50"/>
  <c r="L25" i="50"/>
  <c r="K25" i="50"/>
  <c r="J25" i="50"/>
  <c r="I25" i="50"/>
  <c r="H25" i="50"/>
  <c r="G25" i="50"/>
  <c r="F25" i="50"/>
  <c r="E25" i="50"/>
  <c r="Q20" i="50"/>
  <c r="P20" i="50"/>
  <c r="O20" i="50"/>
  <c r="N20" i="50"/>
  <c r="M20" i="50"/>
  <c r="L20" i="50"/>
  <c r="AD96" i="50" l="1"/>
  <c r="AD76" i="50"/>
  <c r="AD75" i="50"/>
  <c r="AD74" i="50"/>
  <c r="AD73" i="50"/>
  <c r="AD72" i="50"/>
  <c r="AD67" i="50"/>
  <c r="AD65" i="50"/>
  <c r="AD54" i="50"/>
  <c r="AD52" i="50"/>
  <c r="AD41" i="50"/>
  <c r="AD169" i="50" l="1"/>
  <c r="AD167" i="50"/>
  <c r="AD90" i="50"/>
  <c r="AD163" i="50"/>
  <c r="U11" i="56"/>
  <c r="AD183" i="50"/>
  <c r="AD182" i="50"/>
  <c r="AD92" i="50"/>
  <c r="AD77" i="50"/>
  <c r="AD170" i="50" l="1"/>
  <c r="U22" i="56"/>
  <c r="U21" i="56" s="1"/>
  <c r="U17" i="56"/>
  <c r="U16" i="56" s="1"/>
  <c r="U9" i="56"/>
  <c r="U7" i="56" s="1"/>
  <c r="AD185" i="50" l="1"/>
  <c r="W162" i="50"/>
  <c r="W160" i="50" s="1"/>
  <c r="X162" i="50"/>
  <c r="X160" i="50" s="1"/>
  <c r="V162" i="50"/>
  <c r="V160" i="50" s="1"/>
  <c r="W19" i="50" l="1"/>
  <c r="X19" i="50"/>
  <c r="V19" i="50"/>
  <c r="Y162" i="50" l="1"/>
  <c r="Y160" i="50" s="1"/>
  <c r="Y19" i="50"/>
  <c r="AB90" i="50" l="1"/>
  <c r="W90" i="50"/>
  <c r="X90" i="50"/>
  <c r="R90" i="50"/>
  <c r="T90" i="50"/>
  <c r="AA90" i="50"/>
  <c r="S90" i="50"/>
  <c r="Z90" i="50"/>
  <c r="V90" i="50"/>
  <c r="AC90" i="50"/>
  <c r="Y90" i="50"/>
  <c r="U90" i="50"/>
  <c r="S53" i="50"/>
  <c r="T53" i="50"/>
  <c r="U53" i="50"/>
  <c r="V53" i="50"/>
  <c r="W53" i="50"/>
  <c r="X53" i="50"/>
  <c r="W25" i="50" l="1"/>
  <c r="X25" i="50"/>
  <c r="M23" i="56" l="1"/>
  <c r="N23" i="56"/>
  <c r="O23" i="56"/>
  <c r="P23" i="56"/>
  <c r="Q23" i="56"/>
  <c r="R23" i="56"/>
  <c r="S23" i="56"/>
  <c r="T23" i="56"/>
  <c r="M20" i="56"/>
  <c r="N20" i="56"/>
  <c r="O20" i="56"/>
  <c r="P20" i="56"/>
  <c r="Q20" i="56"/>
  <c r="R20" i="56"/>
  <c r="S20" i="56"/>
  <c r="T20" i="56"/>
  <c r="N13" i="56"/>
  <c r="O13" i="56"/>
  <c r="P13" i="56"/>
  <c r="Q13" i="56"/>
  <c r="R13" i="56"/>
  <c r="S13" i="56"/>
  <c r="T13" i="56"/>
  <c r="N4" i="56"/>
  <c r="O4" i="56"/>
  <c r="P4" i="56"/>
  <c r="Q4" i="56"/>
  <c r="R4" i="56"/>
  <c r="S4" i="56"/>
  <c r="T4" i="56"/>
  <c r="N5" i="56"/>
  <c r="O5" i="56"/>
  <c r="P5" i="56"/>
  <c r="Q5" i="56"/>
  <c r="R5" i="56"/>
  <c r="S5" i="56"/>
  <c r="T5" i="56"/>
  <c r="N6" i="56"/>
  <c r="N19" i="56" s="1"/>
  <c r="O6" i="56"/>
  <c r="O19" i="56" s="1"/>
  <c r="P6" i="56"/>
  <c r="P19" i="56" s="1"/>
  <c r="Q6" i="56"/>
  <c r="Q19" i="56" s="1"/>
  <c r="R6" i="56"/>
  <c r="R19" i="56" s="1"/>
  <c r="S6" i="56"/>
  <c r="S19" i="56" s="1"/>
  <c r="T6" i="56"/>
  <c r="T19" i="56" s="1"/>
  <c r="T42" i="56"/>
  <c r="T39" i="56"/>
  <c r="S42" i="56"/>
  <c r="S39" i="56"/>
  <c r="N18" i="56" l="1"/>
  <c r="R18" i="56"/>
  <c r="Q18" i="56"/>
  <c r="R3" i="56"/>
  <c r="Q3" i="56"/>
  <c r="T3" i="56"/>
  <c r="T18" i="56"/>
  <c r="P18" i="56"/>
  <c r="S3" i="56"/>
  <c r="S18" i="56"/>
  <c r="O18" i="56"/>
  <c r="P3" i="56"/>
  <c r="T12" i="56" l="1"/>
  <c r="T10" i="56"/>
  <c r="T11" i="56"/>
  <c r="AC96" i="50"/>
  <c r="AC76" i="50"/>
  <c r="AC75" i="50"/>
  <c r="AC74" i="50"/>
  <c r="AC73" i="50"/>
  <c r="AC72" i="50"/>
  <c r="AC67" i="50"/>
  <c r="AC65" i="50"/>
  <c r="AC54" i="50"/>
  <c r="AC52" i="50"/>
  <c r="AC41" i="50"/>
  <c r="AC169" i="50" l="1"/>
  <c r="AC167" i="50"/>
  <c r="AC163" i="50"/>
  <c r="AC182" i="50"/>
  <c r="AC183" i="50"/>
  <c r="T22" i="56"/>
  <c r="T21" i="56" s="1"/>
  <c r="T17" i="56"/>
  <c r="T16" i="56" s="1"/>
  <c r="T9" i="56"/>
  <c r="AC77" i="50"/>
  <c r="AC92" i="50"/>
  <c r="AC170" i="50" l="1"/>
  <c r="AJ28" i="56"/>
  <c r="AJ29" i="56"/>
  <c r="AJ30" i="56"/>
  <c r="AJ31" i="56"/>
  <c r="AJ32" i="56"/>
  <c r="AJ27" i="56"/>
  <c r="AC185" i="50" l="1"/>
  <c r="P101" i="50"/>
  <c r="R95" i="50"/>
  <c r="Q95" i="50"/>
  <c r="Q161" i="50" s="1"/>
  <c r="Q160" i="50" s="1"/>
  <c r="P95" i="50"/>
  <c r="P161" i="50" l="1"/>
  <c r="P160" i="50" s="1"/>
  <c r="R53" i="50"/>
  <c r="R161" i="50"/>
  <c r="P96" i="50"/>
  <c r="Q96" i="50"/>
  <c r="R96" i="50"/>
  <c r="S96" i="50"/>
  <c r="T96" i="50"/>
  <c r="U96" i="50"/>
  <c r="V96" i="50"/>
  <c r="W96" i="50"/>
  <c r="X96" i="50"/>
  <c r="Y96" i="50"/>
  <c r="Z96" i="50"/>
  <c r="AA96" i="50"/>
  <c r="AB96" i="50"/>
  <c r="S12" i="56" l="1"/>
  <c r="S10" i="56"/>
  <c r="AB76" i="50"/>
  <c r="AB75" i="50"/>
  <c r="AB74" i="50"/>
  <c r="AB73" i="50"/>
  <c r="AB72" i="50"/>
  <c r="AB67" i="50"/>
  <c r="AB65" i="50"/>
  <c r="AB54" i="50"/>
  <c r="AB52" i="50"/>
  <c r="AB41" i="50"/>
  <c r="AB169" i="50" l="1"/>
  <c r="AB167" i="50"/>
  <c r="AB163" i="50"/>
  <c r="AB182" i="50"/>
  <c r="AB183" i="50"/>
  <c r="AB77" i="50"/>
  <c r="AB92" i="50"/>
  <c r="S11" i="56"/>
  <c r="AB170" i="50" l="1"/>
  <c r="S22" i="56"/>
  <c r="S21" i="56" s="1"/>
  <c r="S9" i="56"/>
  <c r="S17" i="56"/>
  <c r="S16" i="56" s="1"/>
  <c r="AB185" i="50" l="1"/>
  <c r="O103" i="50"/>
  <c r="O162" i="50" s="1"/>
  <c r="Q153" i="50" l="1"/>
  <c r="Q181" i="50" s="1"/>
  <c r="R153" i="50"/>
  <c r="R181" i="50" s="1"/>
  <c r="P153" i="50"/>
  <c r="P181" i="50" s="1"/>
  <c r="P157" i="50" l="1"/>
  <c r="Q157" i="50"/>
  <c r="R157" i="50"/>
  <c r="R182" i="50" s="1"/>
  <c r="S157" i="50"/>
  <c r="T157" i="50"/>
  <c r="T182" i="50" s="1"/>
  <c r="U157" i="50"/>
  <c r="V157" i="50"/>
  <c r="P158" i="50"/>
  <c r="Q158" i="50"/>
  <c r="R158" i="50"/>
  <c r="S158" i="50"/>
  <c r="S183" i="50" s="1"/>
  <c r="T158" i="50"/>
  <c r="T183" i="50" s="1"/>
  <c r="U158" i="50"/>
  <c r="U183" i="50" s="1"/>
  <c r="V158" i="50"/>
  <c r="V183" i="50" s="1"/>
  <c r="W183" i="50"/>
  <c r="X183" i="50"/>
  <c r="Y183" i="50"/>
  <c r="AA183" i="50"/>
  <c r="V169" i="50" l="1"/>
  <c r="V170" i="50" s="1"/>
  <c r="V185" i="50" s="1"/>
  <c r="Z182" i="50"/>
  <c r="Z169" i="50"/>
  <c r="X182" i="50"/>
  <c r="X169" i="50"/>
  <c r="W182" i="50"/>
  <c r="W169" i="50"/>
  <c r="V182" i="50"/>
  <c r="AA182" i="50"/>
  <c r="AA169" i="50"/>
  <c r="Y182" i="50"/>
  <c r="Y169" i="50"/>
  <c r="U182" i="50"/>
  <c r="U169" i="50"/>
  <c r="U170" i="50" s="1"/>
  <c r="X167" i="50"/>
  <c r="W167" i="50"/>
  <c r="S182" i="50"/>
  <c r="S167" i="50"/>
  <c r="Y167" i="50"/>
  <c r="V167" i="50"/>
  <c r="R167" i="50"/>
  <c r="Z167" i="50"/>
  <c r="T167" i="50"/>
  <c r="U167" i="50"/>
  <c r="AA167" i="50"/>
  <c r="P178" i="50"/>
  <c r="P179" i="50" s="1"/>
  <c r="Q167" i="50"/>
  <c r="P167" i="50"/>
  <c r="P169" i="50"/>
  <c r="Q169" i="50"/>
  <c r="Q163" i="50"/>
  <c r="Q178" i="50"/>
  <c r="Q179" i="50" s="1"/>
  <c r="P163" i="50"/>
  <c r="R169" i="50"/>
  <c r="R170" i="50" s="1"/>
  <c r="S169" i="50"/>
  <c r="S170" i="50" s="1"/>
  <c r="T169" i="50"/>
  <c r="T170" i="50" s="1"/>
  <c r="R178" i="50"/>
  <c r="S163" i="50"/>
  <c r="W178" i="50"/>
  <c r="W179" i="50" s="1"/>
  <c r="V163" i="50"/>
  <c r="Y178" i="50"/>
  <c r="Y179" i="50" s="1"/>
  <c r="S178" i="50"/>
  <c r="S179" i="50" s="1"/>
  <c r="X163" i="50"/>
  <c r="Y163" i="50"/>
  <c r="U163" i="50"/>
  <c r="U159" i="50" s="1"/>
  <c r="X178" i="50"/>
  <c r="X179" i="50" s="1"/>
  <c r="T178" i="50"/>
  <c r="T179" i="50" s="1"/>
  <c r="U178" i="50"/>
  <c r="U179" i="50" s="1"/>
  <c r="Z163" i="50"/>
  <c r="Z183" i="50"/>
  <c r="W163" i="50"/>
  <c r="AA163" i="50"/>
  <c r="V178" i="50"/>
  <c r="V179" i="50" s="1"/>
  <c r="T163" i="50"/>
  <c r="R42" i="56"/>
  <c r="R39" i="56"/>
  <c r="AQ169" i="50" l="1"/>
  <c r="Z170" i="50"/>
  <c r="X170" i="50"/>
  <c r="X185" i="50" s="1"/>
  <c r="Y170" i="50"/>
  <c r="AA170" i="50"/>
  <c r="W170" i="50"/>
  <c r="W185" i="50" s="1"/>
  <c r="R12" i="56"/>
  <c r="AA76" i="50"/>
  <c r="AA75" i="50"/>
  <c r="AA74" i="50"/>
  <c r="AA73" i="50"/>
  <c r="AA72" i="50"/>
  <c r="AA67" i="50"/>
  <c r="AA65" i="50"/>
  <c r="AA54" i="50"/>
  <c r="AA52" i="50"/>
  <c r="AA41" i="50"/>
  <c r="AQ170" i="50" l="1"/>
  <c r="Y185" i="50"/>
  <c r="AA185" i="50"/>
  <c r="Z185" i="50"/>
  <c r="AA77" i="50"/>
  <c r="N103" i="50" l="1"/>
  <c r="N162" i="50" l="1"/>
  <c r="N160" i="50" s="1"/>
  <c r="O101" i="50"/>
  <c r="O161" i="50" l="1"/>
  <c r="O160" i="50" s="1"/>
  <c r="N107" i="50"/>
  <c r="N91" i="50" l="1"/>
  <c r="N165" i="50"/>
  <c r="N168" i="50"/>
  <c r="E20" i="56"/>
  <c r="F20" i="56"/>
  <c r="G20" i="56"/>
  <c r="H20" i="56"/>
  <c r="I20" i="56"/>
  <c r="J20" i="56"/>
  <c r="K20" i="56"/>
  <c r="L20" i="56"/>
  <c r="O132" i="50" l="1"/>
  <c r="O157" i="50"/>
  <c r="O158" i="50"/>
  <c r="O167" i="50" l="1"/>
  <c r="I42" i="56"/>
  <c r="E42" i="56"/>
  <c r="F42" i="56"/>
  <c r="G42" i="56"/>
  <c r="H42" i="56"/>
  <c r="J42" i="56"/>
  <c r="K42" i="56"/>
  <c r="L42" i="56"/>
  <c r="M42" i="56"/>
  <c r="N42" i="56"/>
  <c r="O42" i="56"/>
  <c r="P42" i="56"/>
  <c r="Q42" i="56"/>
  <c r="C20" i="56" l="1"/>
  <c r="E13" i="56"/>
  <c r="F13" i="56"/>
  <c r="G13" i="56"/>
  <c r="H13" i="56"/>
  <c r="I13" i="56"/>
  <c r="J13" i="56"/>
  <c r="K13" i="56"/>
  <c r="L13" i="56"/>
  <c r="M13" i="56"/>
  <c r="D13" i="56"/>
  <c r="E6" i="56"/>
  <c r="F6" i="56"/>
  <c r="G6" i="56"/>
  <c r="H6" i="56"/>
  <c r="I6" i="56"/>
  <c r="J6" i="56"/>
  <c r="K6" i="56"/>
  <c r="L6" i="56"/>
  <c r="M6" i="56"/>
  <c r="D6" i="56"/>
  <c r="E4" i="56"/>
  <c r="F4" i="56"/>
  <c r="G4" i="56"/>
  <c r="H4" i="56"/>
  <c r="I4" i="56"/>
  <c r="J4" i="56"/>
  <c r="K4" i="56"/>
  <c r="L4" i="56"/>
  <c r="M4" i="56"/>
  <c r="E5" i="56"/>
  <c r="F5" i="56"/>
  <c r="G5" i="56"/>
  <c r="H5" i="56"/>
  <c r="I5" i="56"/>
  <c r="J5" i="56"/>
  <c r="K5" i="56"/>
  <c r="L5" i="56"/>
  <c r="M5" i="56"/>
  <c r="D4" i="56"/>
  <c r="Q39" i="56"/>
  <c r="J3" i="56" l="1"/>
  <c r="H3" i="56"/>
  <c r="O3" i="56"/>
  <c r="G3" i="56"/>
  <c r="K3" i="56"/>
  <c r="L3" i="56"/>
  <c r="F3" i="56"/>
  <c r="M3" i="56"/>
  <c r="N3" i="56"/>
  <c r="I3" i="56"/>
  <c r="Q12" i="56" l="1"/>
  <c r="Z76" i="50"/>
  <c r="Z75" i="50"/>
  <c r="Z74" i="50"/>
  <c r="Z73" i="50"/>
  <c r="Z72" i="50"/>
  <c r="Z67" i="50"/>
  <c r="Z65" i="50"/>
  <c r="Z54" i="50"/>
  <c r="Z52" i="50"/>
  <c r="Z41" i="50"/>
  <c r="Z77" i="50" l="1"/>
  <c r="M121" i="50" l="1"/>
  <c r="M164" i="50" s="1"/>
  <c r="M168" i="50" l="1"/>
  <c r="D42" i="56"/>
  <c r="P39" i="56"/>
  <c r="O39" i="56"/>
  <c r="N39" i="56"/>
  <c r="M39" i="56"/>
  <c r="L39" i="56"/>
  <c r="K39" i="56"/>
  <c r="J39" i="56"/>
  <c r="I39" i="56"/>
  <c r="H39" i="56"/>
  <c r="G39" i="56"/>
  <c r="F39" i="56"/>
  <c r="E39" i="56"/>
  <c r="D39" i="56"/>
  <c r="T29" i="56"/>
  <c r="U29" i="56" s="1"/>
  <c r="V29" i="56" s="1"/>
  <c r="W29" i="56" s="1"/>
  <c r="X29" i="56" s="1"/>
  <c r="Y29" i="56" s="1"/>
  <c r="Z29" i="56" s="1"/>
  <c r="AA29" i="56" s="1"/>
  <c r="AB29" i="56" s="1"/>
  <c r="AC29" i="56" s="1"/>
  <c r="AD29" i="56" s="1"/>
  <c r="AE29" i="56" s="1"/>
  <c r="AF29" i="56" s="1"/>
  <c r="T27" i="56"/>
  <c r="U27" i="56" s="1"/>
  <c r="V27" i="56" s="1"/>
  <c r="W27" i="56" s="1"/>
  <c r="X27" i="56" s="1"/>
  <c r="Y27" i="56" s="1"/>
  <c r="Z27" i="56" s="1"/>
  <c r="L23" i="56"/>
  <c r="K23" i="56"/>
  <c r="J23" i="56"/>
  <c r="I23" i="56"/>
  <c r="H23" i="56"/>
  <c r="G23" i="56"/>
  <c r="F23" i="56"/>
  <c r="E23" i="56"/>
  <c r="D23" i="56"/>
  <c r="C23" i="56"/>
  <c r="C22" i="56"/>
  <c r="D20" i="56"/>
  <c r="M19" i="56"/>
  <c r="M18" i="56" s="1"/>
  <c r="L19" i="56"/>
  <c r="L18" i="56" s="1"/>
  <c r="K19" i="56"/>
  <c r="K18" i="56" s="1"/>
  <c r="J19" i="56"/>
  <c r="J18" i="56" s="1"/>
  <c r="I19" i="56"/>
  <c r="I18" i="56" s="1"/>
  <c r="H19" i="56"/>
  <c r="H18" i="56" s="1"/>
  <c r="G19" i="56"/>
  <c r="G18" i="56" s="1"/>
  <c r="F19" i="56"/>
  <c r="F18" i="56" s="1"/>
  <c r="E19" i="56"/>
  <c r="E18" i="56" s="1"/>
  <c r="D19" i="56"/>
  <c r="C19" i="56"/>
  <c r="C18" i="56" s="1"/>
  <c r="C17" i="56"/>
  <c r="C9" i="56"/>
  <c r="C7" i="56" s="1"/>
  <c r="E3" i="56"/>
  <c r="C3" i="56"/>
  <c r="T28" i="56" l="1"/>
  <c r="U28" i="56" s="1"/>
  <c r="V28" i="56" s="1"/>
  <c r="W28" i="56" s="1"/>
  <c r="X28" i="56" s="1"/>
  <c r="Y28" i="56" s="1"/>
  <c r="Z28" i="56" s="1"/>
  <c r="AA28" i="56" s="1"/>
  <c r="AB28" i="56" s="1"/>
  <c r="AC28" i="56" s="1"/>
  <c r="AD28" i="56" s="1"/>
  <c r="AE28" i="56" s="1"/>
  <c r="AF28" i="56" s="1"/>
  <c r="AA27" i="56"/>
  <c r="AB27" i="56" s="1"/>
  <c r="AC27" i="56" s="1"/>
  <c r="AD27" i="56" s="1"/>
  <c r="AE27" i="56" s="1"/>
  <c r="AF27" i="56" s="1"/>
  <c r="C16" i="56"/>
  <c r="C21" i="56"/>
  <c r="D18" i="56"/>
  <c r="N90" i="50" l="1"/>
  <c r="R166" i="50"/>
  <c r="N12" i="56"/>
  <c r="O12" i="56"/>
  <c r="P12" i="56"/>
  <c r="L2" i="50"/>
  <c r="H12" i="56" l="1"/>
  <c r="G12" i="56"/>
  <c r="K12" i="56"/>
  <c r="F12" i="56"/>
  <c r="M12" i="56"/>
  <c r="E12" i="56"/>
  <c r="E10" i="56"/>
  <c r="J12" i="56"/>
  <c r="I12" i="56"/>
  <c r="L12" i="56"/>
  <c r="D12" i="56"/>
  <c r="G10" i="56"/>
  <c r="F10" i="56"/>
  <c r="O169" i="50"/>
  <c r="N157" i="50"/>
  <c r="N158" i="50"/>
  <c r="N155" i="50"/>
  <c r="M155" i="50"/>
  <c r="M157" i="50"/>
  <c r="M158" i="50"/>
  <c r="M173" i="50" l="1"/>
  <c r="M181" i="50"/>
  <c r="N173" i="50"/>
  <c r="N181" i="50"/>
  <c r="N169" i="50"/>
  <c r="M167" i="50"/>
  <c r="N167" i="50"/>
  <c r="N178" i="50"/>
  <c r="N179" i="50" s="1"/>
  <c r="N163" i="50"/>
  <c r="O163" i="50"/>
  <c r="O178" i="50"/>
  <c r="O179" i="50" s="1"/>
  <c r="E11" i="56"/>
  <c r="E9" i="56" s="1"/>
  <c r="O90" i="50"/>
  <c r="E22" i="56" l="1"/>
  <c r="E21" i="56" s="1"/>
  <c r="E17" i="56"/>
  <c r="E16" i="56" s="1"/>
  <c r="F11" i="56"/>
  <c r="F22" i="56" s="1"/>
  <c r="F21" i="56" s="1"/>
  <c r="F9" i="56" l="1"/>
  <c r="F17" i="56"/>
  <c r="F16" i="56" s="1"/>
  <c r="T32" i="56" l="1"/>
  <c r="U32" i="56" s="1"/>
  <c r="V32" i="56" s="1"/>
  <c r="W32" i="56" s="1"/>
  <c r="X32" i="56" s="1"/>
  <c r="Y32" i="56" l="1"/>
  <c r="P53" i="50"/>
  <c r="Q53" i="50"/>
  <c r="M53" i="50"/>
  <c r="O53" i="50"/>
  <c r="Z32" i="56" l="1"/>
  <c r="N53" i="50"/>
  <c r="R162" i="50"/>
  <c r="H162" i="50"/>
  <c r="F162" i="50"/>
  <c r="E162" i="50"/>
  <c r="E161" i="50"/>
  <c r="M183" i="50"/>
  <c r="L158" i="50"/>
  <c r="K158" i="50"/>
  <c r="J158" i="50"/>
  <c r="I158" i="50"/>
  <c r="H158" i="50"/>
  <c r="G158" i="50"/>
  <c r="F158" i="50"/>
  <c r="F183" i="50" s="1"/>
  <c r="E158" i="50"/>
  <c r="E183" i="50" s="1"/>
  <c r="N182" i="50"/>
  <c r="L157" i="50"/>
  <c r="L182" i="50" s="1"/>
  <c r="K157" i="50"/>
  <c r="K182" i="50" s="1"/>
  <c r="J157" i="50"/>
  <c r="J182" i="50" s="1"/>
  <c r="I157" i="50"/>
  <c r="H157" i="50"/>
  <c r="G157" i="50"/>
  <c r="F157" i="50"/>
  <c r="E157" i="50"/>
  <c r="L153" i="50"/>
  <c r="L181" i="50" s="1"/>
  <c r="K153" i="50"/>
  <c r="K181" i="50" s="1"/>
  <c r="J153" i="50"/>
  <c r="J181" i="50" s="1"/>
  <c r="I153" i="50"/>
  <c r="I181" i="50" s="1"/>
  <c r="H153" i="50"/>
  <c r="H181" i="50" s="1"/>
  <c r="G153" i="50"/>
  <c r="G181" i="50" s="1"/>
  <c r="F153" i="50"/>
  <c r="F181" i="50" s="1"/>
  <c r="E153" i="50"/>
  <c r="E181" i="50" s="1"/>
  <c r="H108" i="50"/>
  <c r="H168" i="50" s="1"/>
  <c r="G107" i="50"/>
  <c r="G168" i="50" s="1"/>
  <c r="F107" i="50"/>
  <c r="F168" i="50" s="1"/>
  <c r="G103" i="50"/>
  <c r="G162" i="50" s="1"/>
  <c r="I101" i="50"/>
  <c r="H101" i="50"/>
  <c r="G101" i="50"/>
  <c r="G161" i="50" s="1"/>
  <c r="L95" i="50"/>
  <c r="L161" i="50" s="1"/>
  <c r="L160" i="50" s="1"/>
  <c r="K95" i="50"/>
  <c r="K161" i="50" s="1"/>
  <c r="K160" i="50" s="1"/>
  <c r="I95" i="50"/>
  <c r="H95" i="50"/>
  <c r="F95" i="50"/>
  <c r="F161" i="50" s="1"/>
  <c r="O96" i="50"/>
  <c r="N96" i="50"/>
  <c r="M96" i="50"/>
  <c r="L96" i="50"/>
  <c r="K96" i="50"/>
  <c r="J96" i="50"/>
  <c r="I96" i="50"/>
  <c r="H96" i="50"/>
  <c r="G96" i="50"/>
  <c r="F96" i="50"/>
  <c r="E96" i="50"/>
  <c r="O92" i="50"/>
  <c r="O84" i="50"/>
  <c r="N84" i="50"/>
  <c r="K84" i="50"/>
  <c r="Y76" i="50"/>
  <c r="X76" i="50"/>
  <c r="W76" i="50"/>
  <c r="V76" i="50"/>
  <c r="U76" i="50"/>
  <c r="T76" i="50"/>
  <c r="S76" i="50"/>
  <c r="R76" i="50"/>
  <c r="Q76" i="50"/>
  <c r="P76" i="50"/>
  <c r="O76" i="50"/>
  <c r="N76" i="50"/>
  <c r="M76" i="50"/>
  <c r="L76" i="50"/>
  <c r="K76" i="50"/>
  <c r="J76" i="50"/>
  <c r="I76" i="50"/>
  <c r="H76" i="50"/>
  <c r="G76" i="50"/>
  <c r="F76" i="50"/>
  <c r="E76" i="50"/>
  <c r="Y75" i="50"/>
  <c r="X75" i="50"/>
  <c r="W75" i="50"/>
  <c r="V75" i="50"/>
  <c r="U75" i="50"/>
  <c r="T75" i="50"/>
  <c r="S75" i="50"/>
  <c r="R75" i="50"/>
  <c r="Q75" i="50"/>
  <c r="P75" i="50"/>
  <c r="O75" i="50"/>
  <c r="N75" i="50"/>
  <c r="M75" i="50"/>
  <c r="L75" i="50"/>
  <c r="K75" i="50"/>
  <c r="J75" i="50"/>
  <c r="I75" i="50"/>
  <c r="H75" i="50"/>
  <c r="G75" i="50"/>
  <c r="F75" i="50"/>
  <c r="E75" i="50"/>
  <c r="Y74" i="50"/>
  <c r="X74" i="50"/>
  <c r="W74" i="50"/>
  <c r="V74" i="50"/>
  <c r="U74" i="50"/>
  <c r="T74" i="50"/>
  <c r="S74" i="50"/>
  <c r="R74" i="50"/>
  <c r="Q74" i="50"/>
  <c r="P74" i="50"/>
  <c r="O74" i="50"/>
  <c r="N74" i="50"/>
  <c r="M74" i="50"/>
  <c r="L74" i="50"/>
  <c r="K74" i="50"/>
  <c r="J74" i="50"/>
  <c r="I74" i="50"/>
  <c r="H74" i="50"/>
  <c r="G74" i="50"/>
  <c r="F74" i="50"/>
  <c r="E74" i="50"/>
  <c r="Y73" i="50"/>
  <c r="X73" i="50"/>
  <c r="W73" i="50"/>
  <c r="V73" i="50"/>
  <c r="U73" i="50"/>
  <c r="T73" i="50"/>
  <c r="S73" i="50"/>
  <c r="R73" i="50"/>
  <c r="Q73" i="50"/>
  <c r="P73" i="50"/>
  <c r="O73" i="50"/>
  <c r="N73" i="50"/>
  <c r="L73" i="50"/>
  <c r="K73" i="50"/>
  <c r="J73" i="50"/>
  <c r="I73" i="50"/>
  <c r="H73" i="50"/>
  <c r="G73" i="50"/>
  <c r="F73" i="50"/>
  <c r="E73" i="50"/>
  <c r="Y72" i="50"/>
  <c r="X72" i="50"/>
  <c r="W72" i="50"/>
  <c r="V72" i="50"/>
  <c r="U72" i="50"/>
  <c r="T72" i="50"/>
  <c r="S72" i="50"/>
  <c r="R72" i="50"/>
  <c r="Q72" i="50"/>
  <c r="P72" i="50"/>
  <c r="O72" i="50"/>
  <c r="N72" i="50"/>
  <c r="M72" i="50"/>
  <c r="L72" i="50"/>
  <c r="K72" i="50"/>
  <c r="J72" i="50"/>
  <c r="I72" i="50"/>
  <c r="H72" i="50"/>
  <c r="G72" i="50"/>
  <c r="F72" i="50"/>
  <c r="E72" i="50"/>
  <c r="Y67" i="50"/>
  <c r="X67" i="50"/>
  <c r="W67" i="50"/>
  <c r="V67" i="50"/>
  <c r="U67" i="50"/>
  <c r="T67" i="50"/>
  <c r="S67" i="50"/>
  <c r="R67" i="50"/>
  <c r="Q67" i="50"/>
  <c r="P67" i="50"/>
  <c r="O67" i="50"/>
  <c r="N67" i="50"/>
  <c r="M67" i="50"/>
  <c r="L67" i="50"/>
  <c r="K67" i="50"/>
  <c r="J67" i="50"/>
  <c r="I67" i="50"/>
  <c r="H67" i="50"/>
  <c r="G67" i="50"/>
  <c r="F67" i="50"/>
  <c r="E67" i="50"/>
  <c r="Y65" i="50"/>
  <c r="X65" i="50"/>
  <c r="W65" i="50"/>
  <c r="V65" i="50"/>
  <c r="U65" i="50"/>
  <c r="T65" i="50"/>
  <c r="S65" i="50"/>
  <c r="R65" i="50"/>
  <c r="Q65" i="50"/>
  <c r="P65" i="50"/>
  <c r="O65" i="50"/>
  <c r="N65" i="50"/>
  <c r="L65" i="50"/>
  <c r="K65" i="50"/>
  <c r="J65" i="50"/>
  <c r="I65" i="50"/>
  <c r="H65" i="50"/>
  <c r="G65" i="50"/>
  <c r="F65" i="50"/>
  <c r="E65" i="50"/>
  <c r="M61" i="50"/>
  <c r="Y54" i="50"/>
  <c r="X54" i="50"/>
  <c r="W54" i="50"/>
  <c r="V54" i="50"/>
  <c r="U54" i="50"/>
  <c r="T54" i="50"/>
  <c r="S54" i="50"/>
  <c r="R54" i="50"/>
  <c r="Q54" i="50"/>
  <c r="P54" i="50"/>
  <c r="O54" i="50"/>
  <c r="N54" i="50"/>
  <c r="M54" i="50"/>
  <c r="L54" i="50"/>
  <c r="K54" i="50"/>
  <c r="J54" i="50"/>
  <c r="I54" i="50"/>
  <c r="H54" i="50"/>
  <c r="G54" i="50"/>
  <c r="F54" i="50"/>
  <c r="E54" i="50"/>
  <c r="Y52" i="50"/>
  <c r="X52" i="50"/>
  <c r="W52" i="50"/>
  <c r="V52" i="50"/>
  <c r="U52" i="50"/>
  <c r="T52" i="50"/>
  <c r="S52" i="50"/>
  <c r="R52" i="50"/>
  <c r="Q52" i="50"/>
  <c r="P52" i="50"/>
  <c r="O52" i="50"/>
  <c r="N52" i="50"/>
  <c r="M52" i="50"/>
  <c r="L52" i="50"/>
  <c r="K52" i="50"/>
  <c r="J52" i="50"/>
  <c r="I52" i="50"/>
  <c r="H52" i="50"/>
  <c r="G52" i="50"/>
  <c r="F52" i="50"/>
  <c r="E52" i="50"/>
  <c r="Y41" i="50"/>
  <c r="X41" i="50"/>
  <c r="W41" i="50"/>
  <c r="V41" i="50"/>
  <c r="U41" i="50"/>
  <c r="T41" i="50"/>
  <c r="S41" i="50"/>
  <c r="R41" i="50"/>
  <c r="Q41" i="50"/>
  <c r="P41" i="50"/>
  <c r="O41" i="50"/>
  <c r="N41" i="50"/>
  <c r="M41" i="50"/>
  <c r="L41" i="50"/>
  <c r="K41" i="50"/>
  <c r="J41" i="50"/>
  <c r="I41" i="50"/>
  <c r="H41" i="50"/>
  <c r="G41" i="50"/>
  <c r="F41" i="50"/>
  <c r="E41" i="50"/>
  <c r="R183" i="50"/>
  <c r="P183" i="50"/>
  <c r="O183" i="50"/>
  <c r="O182" i="50"/>
  <c r="M182" i="50"/>
  <c r="L9" i="50"/>
  <c r="L8" i="50"/>
  <c r="L91" i="50" s="1"/>
  <c r="H8" i="50"/>
  <c r="L7" i="50"/>
  <c r="K7" i="50"/>
  <c r="J7" i="50"/>
  <c r="I7" i="50"/>
  <c r="H7" i="50"/>
  <c r="G7" i="50"/>
  <c r="F7" i="50"/>
  <c r="E7" i="50"/>
  <c r="AA32" i="56" l="1"/>
  <c r="AB32" i="56" s="1"/>
  <c r="AC32" i="56" s="1"/>
  <c r="AD32" i="56" s="1"/>
  <c r="AE32" i="56" s="1"/>
  <c r="AF32" i="56" s="1"/>
  <c r="M135" i="50"/>
  <c r="M169" i="50" s="1"/>
  <c r="K169" i="50"/>
  <c r="L169" i="50"/>
  <c r="J169" i="50"/>
  <c r="L167" i="50"/>
  <c r="I169" i="50"/>
  <c r="I178" i="50"/>
  <c r="J167" i="50"/>
  <c r="L163" i="50"/>
  <c r="L178" i="50"/>
  <c r="I161" i="50"/>
  <c r="I160" i="50" s="1"/>
  <c r="I163" i="50"/>
  <c r="I167" i="50"/>
  <c r="J178" i="50"/>
  <c r="J163" i="50"/>
  <c r="K178" i="50"/>
  <c r="K163" i="50"/>
  <c r="K167" i="50"/>
  <c r="G182" i="50"/>
  <c r="M65" i="50"/>
  <c r="D5" i="56"/>
  <c r="D3" i="56" s="1"/>
  <c r="H183" i="50"/>
  <c r="I183" i="50"/>
  <c r="G183" i="50"/>
  <c r="K183" i="50"/>
  <c r="J183" i="50"/>
  <c r="F182" i="50"/>
  <c r="E182" i="50"/>
  <c r="H182" i="50"/>
  <c r="G160" i="50"/>
  <c r="K90" i="50"/>
  <c r="F160" i="50"/>
  <c r="N8" i="56"/>
  <c r="O8" i="56"/>
  <c r="Q77" i="50"/>
  <c r="Y77" i="50"/>
  <c r="T77" i="50"/>
  <c r="H178" i="50"/>
  <c r="P77" i="50"/>
  <c r="X77" i="50"/>
  <c r="K77" i="50"/>
  <c r="L77" i="50"/>
  <c r="U77" i="50"/>
  <c r="Q183" i="50"/>
  <c r="I77" i="50"/>
  <c r="H77" i="50"/>
  <c r="H161" i="50"/>
  <c r="H160" i="50" s="1"/>
  <c r="E77" i="50"/>
  <c r="S77" i="50"/>
  <c r="N92" i="50"/>
  <c r="R160" i="50"/>
  <c r="R179" i="50" s="1"/>
  <c r="N183" i="50"/>
  <c r="M73" i="50"/>
  <c r="M77" i="50" s="1"/>
  <c r="L84" i="50"/>
  <c r="F77" i="50"/>
  <c r="N77" i="50"/>
  <c r="V77" i="50"/>
  <c r="M84" i="50"/>
  <c r="G77" i="50"/>
  <c r="O77" i="50"/>
  <c r="W77" i="50"/>
  <c r="J77" i="50"/>
  <c r="R77" i="50"/>
  <c r="E178" i="50"/>
  <c r="E160" i="50"/>
  <c r="F178" i="50"/>
  <c r="G178" i="50"/>
  <c r="I182" i="50"/>
  <c r="L183" i="50"/>
  <c r="L90" i="50"/>
  <c r="M91" i="50" l="1"/>
  <c r="M165" i="50"/>
  <c r="M180" i="50"/>
  <c r="M178" i="50"/>
  <c r="M179" i="50" s="1"/>
  <c r="M163" i="50"/>
  <c r="D10" i="56"/>
  <c r="E8" i="56"/>
  <c r="E7" i="56" s="1"/>
  <c r="D8" i="56"/>
  <c r="G8" i="56"/>
  <c r="L8" i="56"/>
  <c r="K8" i="56"/>
  <c r="J8" i="56"/>
  <c r="H8" i="56"/>
  <c r="F8" i="56"/>
  <c r="F7" i="56" s="1"/>
  <c r="I8" i="56"/>
  <c r="M8" i="56"/>
  <c r="M90" i="50"/>
  <c r="M92" i="50"/>
  <c r="M7" i="50"/>
  <c r="D11" i="56" l="1"/>
  <c r="D22" i="56" s="1"/>
  <c r="D21" i="56" s="1"/>
  <c r="M2" i="50"/>
  <c r="D17" i="56" l="1"/>
  <c r="D16" i="56" s="1"/>
  <c r="D9" i="56"/>
  <c r="D7" i="56" s="1"/>
  <c r="D14" i="56"/>
  <c r="D34" i="56" s="1"/>
  <c r="D40" i="56" s="1"/>
  <c r="D41" i="56" s="1"/>
  <c r="O7" i="50"/>
  <c r="N2" i="50"/>
  <c r="N7" i="50"/>
  <c r="E14" i="56" l="1"/>
  <c r="O2" i="50"/>
  <c r="E34" i="56" l="1"/>
  <c r="E40" i="56" s="1"/>
  <c r="E41" i="56" s="1"/>
  <c r="F14" i="56"/>
  <c r="F34" i="56" l="1"/>
  <c r="F40" i="56" s="1"/>
  <c r="F41" i="56" s="1"/>
  <c r="P182" i="50" l="1"/>
  <c r="R163" i="50"/>
  <c r="P90" i="50"/>
  <c r="P84" i="50"/>
  <c r="Q84" i="50"/>
  <c r="Q90" i="50"/>
  <c r="AA92" i="50"/>
  <c r="Y92" i="50"/>
  <c r="T92" i="50"/>
  <c r="X92" i="50"/>
  <c r="W92" i="50"/>
  <c r="S92" i="50"/>
  <c r="O10" i="56"/>
  <c r="Q10" i="56"/>
  <c r="Q182" i="50"/>
  <c r="R92" i="50"/>
  <c r="U92" i="50"/>
  <c r="Q92" i="50"/>
  <c r="O11" i="56"/>
  <c r="R11" i="56"/>
  <c r="V92" i="50"/>
  <c r="R10" i="56"/>
  <c r="Z92" i="50"/>
  <c r="Q11" i="56"/>
  <c r="N11" i="56"/>
  <c r="P11" i="56"/>
  <c r="P92" i="50"/>
  <c r="P2" i="50"/>
  <c r="N10" i="56"/>
  <c r="P10" i="56"/>
  <c r="O22" i="56" l="1"/>
  <c r="O21" i="56" s="1"/>
  <c r="O9" i="56"/>
  <c r="O7" i="56" s="1"/>
  <c r="O17" i="56"/>
  <c r="O16" i="56" s="1"/>
  <c r="R17" i="56"/>
  <c r="R16" i="56" s="1"/>
  <c r="R22" i="56"/>
  <c r="R21" i="56" s="1"/>
  <c r="R9" i="56"/>
  <c r="N17" i="56"/>
  <c r="N16" i="56" s="1"/>
  <c r="N22" i="56"/>
  <c r="N21" i="56" s="1"/>
  <c r="N9" i="56"/>
  <c r="N7" i="56" s="1"/>
  <c r="Q9" i="56"/>
  <c r="Q17" i="56"/>
  <c r="Q16" i="56" s="1"/>
  <c r="Q22" i="56"/>
  <c r="Q21" i="56" s="1"/>
  <c r="P22" i="56"/>
  <c r="P21" i="56" s="1"/>
  <c r="P17" i="56"/>
  <c r="P16" i="56" s="1"/>
  <c r="P9" i="56"/>
  <c r="L10" i="56"/>
  <c r="I10" i="56"/>
  <c r="K10" i="56"/>
  <c r="H10" i="56"/>
  <c r="M10" i="56"/>
  <c r="J10" i="56"/>
  <c r="K11" i="56"/>
  <c r="K17" i="56" s="1"/>
  <c r="K16" i="56" s="1"/>
  <c r="H11" i="56"/>
  <c r="H22" i="56" s="1"/>
  <c r="H21" i="56" s="1"/>
  <c r="G14" i="56"/>
  <c r="G34" i="56" s="1"/>
  <c r="G40" i="56" s="1"/>
  <c r="G41" i="56" s="1"/>
  <c r="I11" i="56"/>
  <c r="I22" i="56" s="1"/>
  <c r="I21" i="56" s="1"/>
  <c r="G11" i="56"/>
  <c r="G9" i="56" s="1"/>
  <c r="G7" i="56" s="1"/>
  <c r="J11" i="56"/>
  <c r="J22" i="56" s="1"/>
  <c r="J21" i="56" s="1"/>
  <c r="L11" i="56"/>
  <c r="L17" i="56" s="1"/>
  <c r="L16" i="56" s="1"/>
  <c r="M11" i="56"/>
  <c r="M22" i="56" s="1"/>
  <c r="M21" i="56" s="1"/>
  <c r="P7" i="50"/>
  <c r="I17" i="56" l="1"/>
  <c r="I16" i="56" s="1"/>
  <c r="J17" i="56"/>
  <c r="J16" i="56" s="1"/>
  <c r="K22" i="56"/>
  <c r="K21" i="56" s="1"/>
  <c r="M9" i="56"/>
  <c r="M7" i="56" s="1"/>
  <c r="K9" i="56"/>
  <c r="K7" i="56" s="1"/>
  <c r="G17" i="56"/>
  <c r="G16" i="56" s="1"/>
  <c r="H9" i="56"/>
  <c r="H7" i="56" s="1"/>
  <c r="H17" i="56"/>
  <c r="H16" i="56" s="1"/>
  <c r="M17" i="56"/>
  <c r="M16" i="56" s="1"/>
  <c r="I9" i="56"/>
  <c r="I7" i="56" s="1"/>
  <c r="G22" i="56"/>
  <c r="G21" i="56" s="1"/>
  <c r="L22" i="56"/>
  <c r="L21" i="56" s="1"/>
  <c r="L9" i="56"/>
  <c r="L7" i="56" s="1"/>
  <c r="J9" i="56"/>
  <c r="J7" i="56" s="1"/>
  <c r="Q7" i="50"/>
  <c r="Q2" i="50"/>
  <c r="H14" i="56" l="1"/>
  <c r="H34" i="56" s="1"/>
  <c r="H40" i="56" s="1"/>
  <c r="H41" i="56" s="1"/>
  <c r="R7" i="50"/>
  <c r="R2" i="50"/>
  <c r="R25" i="50" l="1"/>
  <c r="I14" i="56"/>
  <c r="I34" i="56" s="1"/>
  <c r="I40" i="56" s="1"/>
  <c r="I41" i="56" s="1"/>
  <c r="S7" i="50"/>
  <c r="S2" i="50"/>
  <c r="S25" i="50" l="1"/>
  <c r="J14" i="56"/>
  <c r="J34" i="56" s="1"/>
  <c r="J40" i="56" s="1"/>
  <c r="J41" i="56" s="1"/>
  <c r="T7" i="50"/>
  <c r="T2" i="50"/>
  <c r="T25" i="50" l="1"/>
  <c r="K14" i="56"/>
  <c r="K34" i="56" s="1"/>
  <c r="K40" i="56" s="1"/>
  <c r="K41" i="56" s="1"/>
  <c r="U7" i="50"/>
  <c r="U2" i="50"/>
  <c r="U25" i="50" l="1"/>
  <c r="L14" i="56"/>
  <c r="L34" i="56" s="1"/>
  <c r="L40" i="56" s="1"/>
  <c r="L41" i="56" s="1"/>
  <c r="V2" i="50"/>
  <c r="V25" i="50" l="1"/>
  <c r="M14" i="56"/>
  <c r="W2" i="50"/>
  <c r="N14" i="56" s="1"/>
  <c r="N34" i="56" s="1"/>
  <c r="M34" i="56" l="1"/>
  <c r="M40" i="56" s="1"/>
  <c r="M41" i="56" s="1"/>
  <c r="N40" i="56"/>
  <c r="N41" i="56" s="1"/>
  <c r="X2" i="50"/>
  <c r="O14" i="56" s="1"/>
  <c r="O34" i="56" s="1"/>
  <c r="O40" i="56" l="1"/>
  <c r="O41" i="56" s="1"/>
  <c r="V18" i="50" l="1"/>
  <c r="X18" i="50" l="1"/>
  <c r="W18" i="50"/>
  <c r="Y18" i="50" l="1"/>
  <c r="Y53" i="50" l="1"/>
  <c r="P8" i="56"/>
  <c r="P7" i="56" s="1"/>
  <c r="Y25" i="50" l="1"/>
  <c r="Y2" i="50"/>
  <c r="P14" i="56" s="1"/>
  <c r="P34" i="56" l="1"/>
  <c r="P40" i="56" s="1"/>
  <c r="P41" i="56" s="1"/>
  <c r="Z25" i="50"/>
  <c r="AB53" i="50" l="1"/>
  <c r="AF53" i="50"/>
  <c r="W8" i="56"/>
  <c r="W7" i="56" s="1"/>
  <c r="AC160" i="50"/>
  <c r="AC159" i="50" s="1"/>
  <c r="Z19" i="50"/>
  <c r="AB160" i="50"/>
  <c r="AA160" i="50"/>
  <c r="R8" i="56" s="1"/>
  <c r="R7" i="56" s="1"/>
  <c r="Z160" i="50"/>
  <c r="AA8" i="56"/>
  <c r="AA7" i="56" s="1"/>
  <c r="AF19" i="50"/>
  <c r="AA19" i="50"/>
  <c r="AD19" i="50"/>
  <c r="AA53" i="50"/>
  <c r="AC53" i="50"/>
  <c r="AD53" i="50"/>
  <c r="AJ53" i="50"/>
  <c r="AC19" i="50"/>
  <c r="AJ19" i="50"/>
  <c r="Z53" i="50"/>
  <c r="AB19" i="50"/>
  <c r="T8" i="56" l="1"/>
  <c r="T7" i="56" s="1"/>
  <c r="AC179" i="50"/>
  <c r="S8" i="56"/>
  <c r="S7" i="56" s="1"/>
  <c r="AB179" i="50"/>
  <c r="AJ179" i="50"/>
  <c r="AA179" i="50"/>
  <c r="AI7" i="50"/>
  <c r="Z18" i="50"/>
  <c r="Z7" i="50"/>
  <c r="Z2" i="50"/>
  <c r="Q14" i="56" s="1"/>
  <c r="Q34" i="56" s="1"/>
  <c r="Q40" i="56" s="1"/>
  <c r="Q41" i="56" s="1"/>
  <c r="AA2" i="50"/>
  <c r="R14" i="56" s="1"/>
  <c r="R34" i="56" s="1"/>
  <c r="Z179" i="50"/>
  <c r="Q8" i="56"/>
  <c r="Q7" i="56" s="1"/>
  <c r="AQ160" i="50"/>
  <c r="R40" i="56" l="1"/>
  <c r="R41" i="56" s="1"/>
  <c r="AJ7" i="50"/>
  <c r="AA18" i="50"/>
  <c r="AA7" i="50"/>
  <c r="AB18" i="50"/>
  <c r="AB2" i="50" l="1"/>
  <c r="S14" i="56" s="1"/>
  <c r="S34" i="56" s="1"/>
  <c r="S40" i="56" s="1"/>
  <c r="S41" i="56" s="1"/>
  <c r="AB7" i="50"/>
  <c r="AC2" i="50"/>
  <c r="T14" i="56" s="1"/>
  <c r="T34" i="56" s="1"/>
  <c r="T40" i="56" s="1"/>
  <c r="T41" i="56" s="1"/>
  <c r="AC7" i="50"/>
  <c r="AC18" i="50"/>
  <c r="AD7" i="50" l="1"/>
  <c r="AD2" i="50"/>
  <c r="U14" i="56" s="1"/>
  <c r="U34" i="56" s="1"/>
  <c r="U40" i="56" s="1"/>
  <c r="U41" i="56" s="1"/>
  <c r="AD18" i="50"/>
  <c r="AE18" i="50" l="1"/>
  <c r="AE7" i="50"/>
  <c r="AE2" i="50"/>
  <c r="V14" i="56" s="1"/>
  <c r="V34" i="56" s="1"/>
  <c r="V40" i="56" s="1"/>
  <c r="V41" i="56" s="1"/>
  <c r="AF2" i="50" l="1"/>
  <c r="W14" i="56" s="1"/>
  <c r="W34" i="56" s="1"/>
  <c r="W40" i="56" s="1"/>
  <c r="W41" i="56" s="1"/>
  <c r="AF7" i="50"/>
  <c r="AF18" i="50"/>
  <c r="AG18" i="50" l="1"/>
  <c r="AG2" i="50"/>
  <c r="X14" i="56" s="1"/>
  <c r="X34" i="56" s="1"/>
  <c r="X40" i="56" s="1"/>
  <c r="X41" i="56" s="1"/>
  <c r="AG7" i="50"/>
  <c r="AH7" i="50" l="1"/>
  <c r="AH2" i="50"/>
  <c r="Y14" i="56" s="1"/>
  <c r="Y34" i="56" s="1"/>
  <c r="Y40" i="56" s="1"/>
  <c r="Y41" i="56" s="1"/>
  <c r="AH18" i="50"/>
  <c r="AJ18" i="50" l="1"/>
  <c r="AI18" i="50"/>
  <c r="AI2" i="50"/>
  <c r="Z14" i="56" l="1"/>
  <c r="Z34" i="56" s="1"/>
  <c r="Z40" i="56" s="1"/>
  <c r="Z41" i="56" s="1"/>
  <c r="AJ2" i="50"/>
  <c r="AA14" i="56" l="1"/>
  <c r="AA34" i="56" s="1"/>
  <c r="AA40" i="56" s="1"/>
  <c r="AA41" i="56" s="1"/>
  <c r="AK30" i="50"/>
  <c r="AK32" i="50" s="1"/>
  <c r="AB8" i="56"/>
  <c r="AB7" i="56" s="1"/>
  <c r="AK24" i="50"/>
  <c r="AL24" i="50" s="1"/>
  <c r="AK95" i="50"/>
  <c r="AK53" i="50" s="1"/>
  <c r="AK6" i="50" l="1"/>
  <c r="AK7" i="50" s="1"/>
  <c r="AK179" i="50"/>
  <c r="AL25" i="50"/>
  <c r="AM24" i="50"/>
  <c r="AL30" i="50"/>
  <c r="AK25" i="50"/>
  <c r="AM25" i="50" l="1"/>
  <c r="AN24" i="50"/>
  <c r="AK2" i="50"/>
  <c r="AB14" i="56" s="1"/>
  <c r="AB34" i="56" s="1"/>
  <c r="AB40" i="56" s="1"/>
  <c r="AB41" i="56" s="1"/>
  <c r="AL6" i="50"/>
  <c r="AM6" i="50" s="1"/>
  <c r="AN6" i="50" s="1"/>
  <c r="AO6" i="50" s="1"/>
  <c r="AL32" i="50"/>
  <c r="AM30" i="50"/>
  <c r="AN25" i="50" l="1"/>
  <c r="AO24" i="50"/>
  <c r="AO25" i="50" s="1"/>
  <c r="AO7" i="50"/>
  <c r="AO2" i="50"/>
  <c r="AF14" i="56" s="1"/>
  <c r="AF34" i="56" s="1"/>
  <c r="AF40" i="56" s="1"/>
  <c r="AF41" i="56" s="1"/>
  <c r="AM32" i="50"/>
  <c r="AN30" i="50"/>
  <c r="AN7" i="50"/>
  <c r="AN2" i="50"/>
  <c r="AE14" i="56" s="1"/>
  <c r="AE34" i="56" s="1"/>
  <c r="AE40" i="56" s="1"/>
  <c r="AE41" i="56" s="1"/>
  <c r="AL2" i="50"/>
  <c r="AC14" i="56" s="1"/>
  <c r="AC34" i="56" s="1"/>
  <c r="AC40" i="56" s="1"/>
  <c r="AC41" i="56" s="1"/>
  <c r="AL7" i="50"/>
  <c r="AM2" i="50"/>
  <c r="AD14" i="56" s="1"/>
  <c r="AD34" i="56" s="1"/>
  <c r="AD40" i="56" s="1"/>
  <c r="AD41" i="56" s="1"/>
  <c r="AM7" i="50"/>
  <c r="AN32" i="50" l="1"/>
  <c r="AO30" i="50"/>
  <c r="AO32" i="50" s="1"/>
</calcChain>
</file>

<file path=xl/comments1.xml><?xml version="1.0" encoding="utf-8"?>
<comments xmlns="http://schemas.openxmlformats.org/spreadsheetml/2006/main">
  <authors>
    <author>Windows User</author>
  </authors>
  <commentList>
    <comment ref="H24" authorId="0" shapeId="0">
      <text>
        <r>
          <rPr>
            <b/>
            <sz val="9"/>
            <color indexed="81"/>
            <rFont val="Tahoma"/>
            <family val="2"/>
          </rPr>
          <t>Windows User:</t>
        </r>
        <r>
          <rPr>
            <sz val="9"/>
            <color indexed="81"/>
            <rFont val="Tahoma"/>
            <family val="2"/>
          </rPr>
          <t xml:space="preserve">
rev0 = 10 Ton/hr.
rev1 = 15 Ton/hr.
rev2 = 16.2 Ton/hr.</t>
        </r>
      </text>
    </comment>
    <comment ref="I24" authorId="0" shapeId="0">
      <text>
        <r>
          <rPr>
            <b/>
            <sz val="9"/>
            <color indexed="81"/>
            <rFont val="Tahoma"/>
            <family val="2"/>
          </rPr>
          <t xml:space="preserve">Windows User:
</t>
        </r>
        <r>
          <rPr>
            <sz val="9"/>
            <color indexed="81"/>
            <rFont val="Tahoma"/>
            <family val="2"/>
          </rPr>
          <t>rev0 = 13.55 KT (10,080 Ton)
rev1 = 15 KT</t>
        </r>
      </text>
    </comment>
  </commentList>
</comments>
</file>

<file path=xl/comments2.xml><?xml version="1.0" encoding="utf-8"?>
<comments xmlns="http://schemas.openxmlformats.org/spreadsheetml/2006/main">
  <authors>
    <author>Quantumuser</author>
  </authors>
  <commentList>
    <comment ref="A34" authorId="0" shapeId="0">
      <text>
        <r>
          <rPr>
            <b/>
            <sz val="9"/>
            <color indexed="81"/>
            <rFont val="Tahoma"/>
            <family val="2"/>
          </rPr>
          <t>Quantumuser:</t>
        </r>
        <r>
          <rPr>
            <sz val="9"/>
            <color indexed="81"/>
            <rFont val="Tahoma"/>
            <family val="2"/>
          </rPr>
          <t xml:space="preserve">
แต่ละจุดห้ามต่ำกว่า GSP 6 KT, MT 7 KT, BRP 1 KT = 14 KT</t>
        </r>
      </text>
    </comment>
  </commentList>
</comments>
</file>

<file path=xl/comments3.xml><?xml version="1.0" encoding="utf-8"?>
<comments xmlns="http://schemas.openxmlformats.org/spreadsheetml/2006/main">
  <authors>
    <author>Quantumuser</author>
    <author>Windows User</author>
  </authors>
  <commentList>
    <comment ref="J8" authorId="0" shapeId="0">
      <text>
        <r>
          <rPr>
            <b/>
            <sz val="9"/>
            <color indexed="81"/>
            <rFont val="Tahoma"/>
            <family val="2"/>
          </rPr>
          <t>Quantumuser:</t>
        </r>
        <r>
          <rPr>
            <sz val="9"/>
            <color indexed="81"/>
            <rFont val="Tahoma"/>
            <family val="2"/>
          </rPr>
          <t xml:space="preserve">
rev0 = 26 KT
rev1 = 33 KT
</t>
        </r>
      </text>
    </comment>
    <comment ref="K8" authorId="0" shapeId="0">
      <text>
        <r>
          <rPr>
            <b/>
            <sz val="9"/>
            <color indexed="81"/>
            <rFont val="Tahoma"/>
            <family val="2"/>
          </rPr>
          <t>Quantumuser:</t>
        </r>
        <r>
          <rPr>
            <sz val="9"/>
            <color indexed="81"/>
            <rFont val="Tahoma"/>
            <family val="2"/>
          </rPr>
          <t xml:space="preserve">
rev0 = 18 KT
rev1 = 13 KT โยกไปเดือน ธค 62 = 5 KT
rev2 = 11.6 ดึงต่ำกว่าแผน
</t>
        </r>
      </text>
    </comment>
    <comment ref="L8" authorId="0" shapeId="0">
      <text>
        <r>
          <rPr>
            <b/>
            <sz val="9"/>
            <color indexed="81"/>
            <rFont val="Tahoma"/>
            <family val="2"/>
          </rPr>
          <t>Quantumuser:</t>
        </r>
        <r>
          <rPr>
            <sz val="9"/>
            <color indexed="81"/>
            <rFont val="Tahoma"/>
            <family val="2"/>
          </rPr>
          <t xml:space="preserve">
rev0 = 5
rev1 = 10 โยกมาจากเดือน พย 62
rev2 = 12 เพื่อ clear block ถัง
rev3 = 14.1 KT โยกมาจากเดือน มค. 63 เนื่องจาก ปก. แจ้ง งแต่วันที่ 25 ธ.ค. 62 Tax LPG ใน Sphere มีปริมาณค่อนข้างน้อย ซึ่งจะส่งผลให้เรือในประเทศที่มารับ LPG ที่ MT delay ดังนั้น เพื่อไม่ให้เกิดผลกระทบต่อลูกค้า LPG ทั้งหมดของ PTT รบกวน PTT พิจารณาเพิ่มการใช้ Impo-Untax/Untax สำหรับในประเทศเป็นปริมาณ 2,100 ตัน (ในกรณีที่ ปก. เพิ่มการรับ LPG จาก GSP เพื่อเพิ่มปริมาณ Tax ให้เพียงพอในการจ่ายลูกค้า จะส่งผลให้เรือ Import delay แทน)</t>
        </r>
      </text>
    </comment>
    <comment ref="M8" authorId="0" shapeId="0">
      <text>
        <r>
          <rPr>
            <b/>
            <sz val="9"/>
            <color indexed="81"/>
            <rFont val="Tahoma"/>
            <family val="2"/>
          </rPr>
          <t>Quantumuser:</t>
        </r>
        <r>
          <rPr>
            <sz val="9"/>
            <color indexed="81"/>
            <rFont val="Tahoma"/>
            <family val="2"/>
          </rPr>
          <t xml:space="preserve">
rev0 = 15
rev1 = 22 KT เพื่อ balance ถังให้ปิดที่ 36%
rev2 = 19.9 KT โยกไปจ่ายเดือน ธค. 62 ก่อน
rev3 = 0 KT Petro ลดการรับ (HMC, PTTAC, GC) และ GSP ลดกำลังการผลิต เนื่องจาก Petro blackout
</t>
        </r>
      </text>
    </comment>
    <comment ref="R8" authorId="1" shapeId="0">
      <text>
        <r>
          <rPr>
            <b/>
            <sz val="9"/>
            <color indexed="81"/>
            <rFont val="Tahoma"/>
            <family val="2"/>
          </rPr>
          <t>Windows User:</t>
        </r>
        <r>
          <rPr>
            <sz val="9"/>
            <color indexed="81"/>
            <rFont val="Tahoma"/>
            <family val="2"/>
          </rPr>
          <t xml:space="preserve">
ดึง import ได้ max 3 KT</t>
        </r>
      </text>
    </comment>
    <comment ref="S8" authorId="1" shapeId="0">
      <text>
        <r>
          <rPr>
            <b/>
            <sz val="9"/>
            <color indexed="81"/>
            <rFont val="Tahoma"/>
            <family val="2"/>
          </rPr>
          <t>Windows User:</t>
        </r>
        <r>
          <rPr>
            <sz val="9"/>
            <color indexed="81"/>
            <rFont val="Tahoma"/>
            <family val="2"/>
          </rPr>
          <t xml:space="preserve">
import ที่สามารถดึงได้ 13 KT
</t>
        </r>
      </text>
    </comment>
    <comment ref="U8" authorId="1" shapeId="0">
      <text>
        <r>
          <rPr>
            <b/>
            <sz val="9"/>
            <color indexed="81"/>
            <rFont val="Tahoma"/>
            <family val="2"/>
          </rPr>
          <t>Windows User:</t>
        </r>
        <r>
          <rPr>
            <sz val="9"/>
            <color indexed="81"/>
            <rFont val="Tahoma"/>
            <family val="2"/>
          </rPr>
          <t xml:space="preserve">
GC 6 
PTTOR 4</t>
        </r>
      </text>
    </comment>
    <comment ref="Z8" authorId="1" shapeId="0">
      <text>
        <r>
          <rPr>
            <b/>
            <sz val="9"/>
            <color indexed="81"/>
            <rFont val="Tahoma"/>
            <family val="2"/>
          </rPr>
          <t xml:space="preserve">Windows User:
ดึงจริง 34 KT เนื่องจาก </t>
        </r>
        <r>
          <rPr>
            <sz val="9"/>
            <color indexed="81"/>
            <rFont val="Tahoma"/>
            <family val="2"/>
          </rPr>
          <t>บป. ดึงต่ำกว่าแผน เนื่องจาก GSP ถังสูง ต้องเปลี่ยนมารับ GSP บางส่วน</t>
        </r>
      </text>
    </comment>
    <comment ref="AB8" authorId="1" shapeId="0">
      <text>
        <r>
          <rPr>
            <b/>
            <sz val="9"/>
            <color indexed="81"/>
            <rFont val="Tahoma"/>
            <family val="2"/>
          </rPr>
          <t>Windows User:</t>
        </r>
        <r>
          <rPr>
            <sz val="9"/>
            <color indexed="81"/>
            <rFont val="Tahoma"/>
            <family val="2"/>
          </rPr>
          <t xml:space="preserve">
import เมย์จะดึง 34.5 KT</t>
        </r>
      </text>
    </comment>
    <comment ref="AC8" authorId="1" shapeId="0">
      <text>
        <r>
          <rPr>
            <b/>
            <sz val="9"/>
            <color indexed="81"/>
            <rFont val="Tahoma"/>
            <family val="2"/>
          </rPr>
          <t>Windows User:</t>
        </r>
        <r>
          <rPr>
            <sz val="9"/>
            <color indexed="81"/>
            <rFont val="Tahoma"/>
            <family val="2"/>
          </rPr>
          <t xml:space="preserve">
rev0 = 36
rev1 = 30 เนื่องจาก OR demand drop 2-7.5 KT</t>
        </r>
      </text>
    </comment>
    <comment ref="U9" authorId="1" shapeId="0">
      <text>
        <r>
          <rPr>
            <b/>
            <sz val="9"/>
            <color indexed="81"/>
            <rFont val="Tahoma"/>
            <family val="2"/>
          </rPr>
          <t>Windows User:</t>
        </r>
        <r>
          <rPr>
            <sz val="9"/>
            <color indexed="81"/>
            <rFont val="Tahoma"/>
            <family val="2"/>
          </rPr>
          <t xml:space="preserve">
บป. ลดรับ LPG จาก GSP เนื่องจาก Oriental king เพิ่ง load เสร็จ sphere แน่น
</t>
        </r>
      </text>
    </comment>
    <comment ref="AB9" authorId="1" shapeId="0">
      <text>
        <r>
          <rPr>
            <b/>
            <sz val="9"/>
            <color indexed="81"/>
            <rFont val="Tahoma"/>
            <family val="2"/>
          </rPr>
          <t>Windows User:</t>
        </r>
        <r>
          <rPr>
            <sz val="9"/>
            <color indexed="81"/>
            <rFont val="Tahoma"/>
            <family val="2"/>
          </rPr>
          <t xml:space="preserve">
GSP ลดกำลังการผลิต -4 KT
SGP - 3.2 KT
PTT TANK -2 KT
</t>
        </r>
      </text>
    </comment>
    <comment ref="M46" authorId="0" shapeId="0">
      <text>
        <r>
          <rPr>
            <b/>
            <sz val="9"/>
            <color indexed="81"/>
            <rFont val="Tahoma"/>
            <family val="2"/>
          </rPr>
          <t>Quantumuser:</t>
        </r>
        <r>
          <rPr>
            <sz val="9"/>
            <color indexed="81"/>
            <rFont val="Tahoma"/>
            <family val="2"/>
          </rPr>
          <t xml:space="preserve">
Quantumuser: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t>
        </r>
      </text>
    </comment>
    <comment ref="N46" authorId="0" shapeId="0">
      <text>
        <r>
          <rPr>
            <b/>
            <sz val="9"/>
            <color indexed="81"/>
            <rFont val="Tahoma"/>
            <family val="2"/>
          </rPr>
          <t>Quantumuser:</t>
        </r>
        <r>
          <rPr>
            <sz val="9"/>
            <color indexed="81"/>
            <rFont val="Tahoma"/>
            <family val="2"/>
          </rPr>
          <t xml:space="preserve">
Quantumuser: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t>
        </r>
      </text>
    </comment>
    <comment ref="A55" authorId="1" shapeId="0">
      <text>
        <r>
          <rPr>
            <b/>
            <sz val="9"/>
            <color indexed="81"/>
            <rFont val="Tahoma"/>
            <family val="2"/>
          </rPr>
          <t>Windows User:
ability row 50</t>
        </r>
        <r>
          <rPr>
            <b/>
            <sz val="9"/>
            <color indexed="81"/>
            <rFont val="Tahoma"/>
            <family val="2"/>
          </rPr>
          <t xml:space="preserve">
</t>
        </r>
      </text>
    </comment>
    <comment ref="A57" authorId="1" shapeId="0">
      <text>
        <r>
          <rPr>
            <b/>
            <sz val="9"/>
            <color indexed="81"/>
            <rFont val="Tahoma"/>
            <family val="2"/>
          </rPr>
          <t>Windows User:</t>
        </r>
        <r>
          <rPr>
            <sz val="9"/>
            <color indexed="81"/>
            <rFont val="Tahoma"/>
            <family val="2"/>
          </rPr>
          <t xml:space="preserve">
ability row 58</t>
        </r>
      </text>
    </comment>
    <comment ref="A58" authorId="1" shapeId="0">
      <text>
        <r>
          <rPr>
            <b/>
            <sz val="9"/>
            <color indexed="81"/>
            <rFont val="Tahoma"/>
            <family val="2"/>
          </rPr>
          <t>Windows User:</t>
        </r>
        <r>
          <rPr>
            <sz val="9"/>
            <color indexed="81"/>
            <rFont val="Tahoma"/>
            <family val="2"/>
          </rPr>
          <t xml:space="preserve">
ability row 59
</t>
        </r>
      </text>
    </comment>
    <comment ref="A59" authorId="1" shapeId="0">
      <text>
        <r>
          <rPr>
            <b/>
            <sz val="9"/>
            <color indexed="81"/>
            <rFont val="Tahoma"/>
            <family val="2"/>
          </rPr>
          <t>Windows User:</t>
        </r>
        <r>
          <rPr>
            <sz val="9"/>
            <color indexed="81"/>
            <rFont val="Tahoma"/>
            <family val="2"/>
          </rPr>
          <t xml:space="preserve">
ability row 66</t>
        </r>
      </text>
    </comment>
    <comment ref="G59" authorId="0" shapeId="0">
      <text>
        <r>
          <rPr>
            <b/>
            <sz val="9"/>
            <color indexed="81"/>
            <rFont val="Tahoma"/>
            <family val="2"/>
          </rPr>
          <t>Quantumuser:</t>
        </r>
        <r>
          <rPr>
            <sz val="9"/>
            <color indexed="81"/>
            <rFont val="Tahoma"/>
            <family val="2"/>
          </rPr>
          <t xml:space="preserve">
• วันที่ 13-17 ก.ค. 62 โรงแยกก๊าซฯหน่วยที่ 3 หยุดการเดินเครื่อง เนื่องจากอุปกรณ์ Sale Gas compressor Trip จากอุปกรณ์เตาระบายไอเสีย WHRS ชำรุด </t>
        </r>
      </text>
    </comment>
    <comment ref="H59" authorId="0" shapeId="0">
      <text>
        <r>
          <rPr>
            <b/>
            <sz val="9"/>
            <color indexed="81"/>
            <rFont val="Tahoma"/>
            <family val="2"/>
          </rPr>
          <t>Quantumuser:</t>
        </r>
        <r>
          <rPr>
            <sz val="9"/>
            <color indexed="81"/>
            <rFont val="Tahoma"/>
            <family val="2"/>
          </rPr>
          <t xml:space="preserve">
GSP6 มีปัญหา expander
2-5 ส.ค. 62 TD 10%
6-12 ส.ค. 62 ธฏ 25%</t>
        </r>
      </text>
    </comment>
    <comment ref="I59" authorId="1" shapeId="0">
      <text>
        <r>
          <rPr>
            <b/>
            <sz val="9"/>
            <color indexed="81"/>
            <rFont val="Tahoma"/>
            <family val="2"/>
          </rPr>
          <t>Windows User:</t>
        </r>
        <r>
          <rPr>
            <sz val="9"/>
            <color indexed="81"/>
            <rFont val="Tahoma"/>
            <family val="2"/>
          </rPr>
          <t xml:space="preserve">
During 13-17 Sep GSP6 reducr feed gas 10% to fix reboiler leakage problem</t>
        </r>
      </text>
    </comment>
    <comment ref="J59" authorId="1" shapeId="0">
      <text>
        <r>
          <rPr>
            <b/>
            <sz val="9"/>
            <color indexed="81"/>
            <rFont val="Tahoma"/>
            <family val="2"/>
          </rPr>
          <t>Windows User:</t>
        </r>
        <r>
          <rPr>
            <sz val="9"/>
            <color indexed="81"/>
            <rFont val="Tahoma"/>
            <family val="2"/>
          </rPr>
          <t xml:space="preserve">
• วันที่ 1 – 3 ต.ค. โรงแยกก๊าซฯหน่วยที่ 5 ลดกำลังการผลิต 27.5% เพื่อแก้ไขปัญหา Sieve Bed A ที่หน่วยกำจัดน้ำ (Dehydration unit)
• วันที่ 4 – 10 ต.ค. โรงแยกก๊าซฯหน่วยที่ 5 ลดกำลังการผลิต 50% เพื่อดำเนินการแก้ไขปัญหา Sieve ที่หน่วยกำจัดน้ำต่อเนื่อง และ ดำเนินการทำความสะอาดอุปกรณ์ Selective Catalytic Reduction (SCR)
• วันที่ 17 – 30 ต.ค. โรงแยกก๊าซฯหน่วยที่ 6 ลดกำลังการผลิต 5% เพื่อดำเนินการเปลี่ยน sieve อุปกรณ์หน่วยกำจัดน้ำ (Dehydration unit) กระทบปริมาณ LPG 2.1 KT  , Ethane ไม่กระทบ , NGL ปริมาณลดลง 420 M3
</t>
        </r>
      </text>
    </comment>
    <comment ref="K59" authorId="0" shapeId="0">
      <text>
        <r>
          <rPr>
            <b/>
            <sz val="9"/>
            <color indexed="81"/>
            <rFont val="Tahoma"/>
            <family val="2"/>
          </rPr>
          <t>Quantumuser:</t>
        </r>
        <r>
          <rPr>
            <sz val="9"/>
            <color indexed="81"/>
            <rFont val="Tahoma"/>
            <family val="2"/>
          </rPr>
          <t xml:space="preserve">
• โรงแยกก๊าซฯหน่วยที่ 1 ลดกำลังการผลิต 8% เพื่อควบคุมปริมาณ Flow และ ปริมาณ CO2 ที่เข้าหน่วยกำจัดคาร์บอนไดออกไซด์ (Benfield unit)
 --&gt; ไม่มีผลต่อ C2 295 Ton/hr
--&gt; C3/LPG ลดลง 2.5 KT</t>
        </r>
      </text>
    </comment>
    <comment ref="L59" authorId="0" shapeId="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GSP1 เลื่อนเร็วขึ้น 1 วัน ลดลง 1.5 KT
compo ลดลงวันละ 300 - 500 Ton</t>
        </r>
      </text>
    </comment>
    <comment ref="M59" authorId="0" shapeId="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
ability 288 (low)
เนื่องด้วย CO2 ในท่อ 34" มีแนวโน้มสูงมากว่า 18 mol% ส่งผลให้ GSP1, ESP,GSP5 ไม่สามารถเดินได้ 100%
now 275 </t>
        </r>
      </text>
    </comment>
    <comment ref="N59" authorId="0" shapeId="0">
      <text>
        <r>
          <rPr>
            <b/>
            <sz val="9"/>
            <color indexed="81"/>
            <rFont val="Tahoma"/>
            <family val="2"/>
          </rPr>
          <t>Quantumuser:</t>
        </r>
        <r>
          <rPr>
            <sz val="9"/>
            <color indexed="81"/>
            <rFont val="Tahoma"/>
            <family val="2"/>
          </rPr>
          <t xml:space="preserve">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
GSP6 re-boiler leak -2.5KT
</t>
        </r>
      </text>
    </comment>
    <comment ref="Q59" authorId="1" shapeId="0">
      <text>
        <r>
          <rPr>
            <b/>
            <sz val="9"/>
            <color indexed="81"/>
            <rFont val="Tahoma"/>
            <family val="2"/>
          </rPr>
          <t>Windows User:</t>
        </r>
        <r>
          <rPr>
            <sz val="9"/>
            <color indexed="81"/>
            <rFont val="Tahoma"/>
            <family val="2"/>
          </rPr>
          <t xml:space="preserve">
rev0 = 233.5 (ability 6 rev0)
rev1 = 223.5 (PTTAC ESD GSP จึงลด feed เพื่อ balance inv)
• GSP1 TD 50% : 1-15 May (15 days)
• GSP1 SD : 16-31 May (16 days)
• GSP5 TD 50% : 1-5 May (5 days)
• GSP5 SD : 6-15 May (10 days)
• GSP5 TD 50% : 16-24 -&gt; 16-31  May (9 -&gt; 16 days)
• New: ESP Complex (ESP,GSP2, GSP3) TD 9% 13-31 May  ใช้โอกาสในการแก้ไขงาน turbine 6 วัน ช่วงที่ ต้องการผลิต C3/LPG ลดลง
</t>
        </r>
      </text>
    </comment>
    <comment ref="R59" authorId="0" shapeId="0">
      <text>
        <r>
          <rPr>
            <b/>
            <sz val="9"/>
            <color indexed="81"/>
            <rFont val="Tahoma"/>
            <family val="2"/>
          </rPr>
          <t>Quantumuser:</t>
        </r>
        <r>
          <rPr>
            <sz val="9"/>
            <color indexed="81"/>
            <rFont val="Tahoma"/>
            <family val="2"/>
          </rPr>
          <t xml:space="preserve">
โรงแยกก๊าซฯหน่วยที่ 1 หยุดซ่อมบำรุงใหญ่ตามวาระ (25 วัน)</t>
        </r>
      </text>
    </comment>
    <comment ref="T59" authorId="0" shapeId="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U59" authorId="0" shapeId="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V59" authorId="0" shapeId="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W59" authorId="0" shapeId="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R60" authorId="1" shapeId="0">
      <text>
        <r>
          <rPr>
            <b/>
            <sz val="9"/>
            <color indexed="81"/>
            <rFont val="Tahoma"/>
            <family val="2"/>
          </rPr>
          <t>Windows User:</t>
        </r>
        <r>
          <rPr>
            <sz val="9"/>
            <color indexed="81"/>
            <rFont val="Tahoma"/>
            <family val="2"/>
          </rPr>
          <t xml:space="preserve">
rev0= 0.6 KT
rev1 = 0 KT IRPC ESD
</t>
        </r>
      </text>
    </comment>
    <comment ref="V60" authorId="1" shapeId="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W60" authorId="1" shapeId="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F61" authorId="0" shapeId="0">
      <text>
        <r>
          <rPr>
            <b/>
            <sz val="9"/>
            <color indexed="81"/>
            <rFont val="Tahoma"/>
            <family val="2"/>
          </rPr>
          <t xml:space="preserve">Quantumuser:
rev0 = 19 KT
rev1 = 18.5 KT เนื่องจาก Aro1 plant SD and start up on 15 Jun’19 ...
จาก delay start up แล้วพอ start มาแล้วก็ ลงไปอีก เลยทำให้ตอนแรกที่ยอกว่าจะส่ง้หลือ 18 kt ตอนนี้กลับมาเหลือ 16 kt
</t>
        </r>
      </text>
    </comment>
    <comment ref="K61" authorId="0" shapeId="0">
      <text>
        <r>
          <rPr>
            <b/>
            <sz val="9"/>
            <color indexed="81"/>
            <rFont val="Tahoma"/>
            <family val="2"/>
          </rPr>
          <t>Quantumuser:</t>
        </r>
        <r>
          <rPr>
            <sz val="9"/>
            <color indexed="81"/>
            <rFont val="Tahoma"/>
            <family val="2"/>
          </rPr>
          <t xml:space="preserve">
rev0 = 21
rev1= 23
</t>
        </r>
      </text>
    </comment>
    <comment ref="N61" authorId="0" shapeId="0">
      <text>
        <r>
          <rPr>
            <b/>
            <sz val="9"/>
            <color indexed="81"/>
            <rFont val="Tahoma"/>
            <family val="2"/>
          </rPr>
          <t xml:space="preserve">Quantumuser:
</t>
        </r>
        <r>
          <rPr>
            <sz val="9"/>
            <color indexed="81"/>
            <rFont val="Tahoma"/>
            <family val="2"/>
          </rPr>
          <t>rev0</t>
        </r>
        <r>
          <rPr>
            <b/>
            <sz val="9"/>
            <color indexed="81"/>
            <rFont val="Tahoma"/>
            <family val="2"/>
          </rPr>
          <t xml:space="preserve"> = </t>
        </r>
        <r>
          <rPr>
            <sz val="9"/>
            <color indexed="81"/>
            <rFont val="Tahoma"/>
            <family val="2"/>
          </rPr>
          <t>19 KT
rev1 = 15 KT เนื่องจาก จาก GC โรง ARO I, FHU มีปัญหา แนวโน้วผลิตได้ลดลง
rev2 = 16 KT เพิ่ม 1 KT โยกมาจากเดือน มี.ค. 1 KT
rev3 = 18 KT เพิ่ม 2 KT โยกมาจากเดือน มี.ค. 2 KT</t>
        </r>
      </text>
    </comment>
    <comment ref="O61" authorId="0" shapeId="0">
      <text>
        <r>
          <rPr>
            <b/>
            <sz val="9"/>
            <color indexed="81"/>
            <rFont val="Tahoma"/>
            <family val="2"/>
          </rPr>
          <t>Quantumuser:</t>
        </r>
        <r>
          <rPr>
            <sz val="9"/>
            <color indexed="81"/>
            <rFont val="Tahoma"/>
            <family val="2"/>
          </rPr>
          <t xml:space="preserve">
rev0 = 14.5
rev1 = 10 
rev2 = 9 KT ส่งเพิ่มในเดือน กพ. แล้ว 1 KT
REV3 = 7 kt ส่งเพิ่มในเดือน กพ. แล้ว 2 KT
REV4 = 5 kt GC ลดรับในเดือน กพ. 2 KT จึงลดรับ เท่ากัน 2 KT
REV5 = 7 kt GSP call Vol เพิ่ม</t>
        </r>
      </text>
    </comment>
    <comment ref="P61" authorId="1" shapeId="0">
      <text>
        <r>
          <rPr>
            <b/>
            <sz val="9"/>
            <color indexed="81"/>
            <rFont val="Tahoma"/>
            <family val="2"/>
          </rPr>
          <t>Windows User:</t>
        </r>
        <r>
          <rPr>
            <sz val="9"/>
            <color indexed="81"/>
            <rFont val="Tahoma"/>
            <family val="2"/>
          </rPr>
          <t xml:space="preserve">
rev0 = 7 KT
rev1 = 2 KT GC ขอปรับลดDomestic Condensate shortage and have to reduce Aromatic plant operating rate</t>
        </r>
      </text>
    </comment>
    <comment ref="T61" authorId="1" shapeId="0">
      <text>
        <r>
          <rPr>
            <b/>
            <sz val="9"/>
            <color indexed="81"/>
            <rFont val="Tahoma"/>
            <family val="2"/>
          </rPr>
          <t>Windows User:</t>
        </r>
        <r>
          <rPr>
            <sz val="9"/>
            <color indexed="81"/>
            <rFont val="Tahoma"/>
            <family val="2"/>
          </rPr>
          <t xml:space="preserve">
rev0 = 0
rev1 = 1.8
rev2 = 1.2</t>
        </r>
      </text>
    </comment>
    <comment ref="W61" authorId="0" shapeId="0">
      <text>
        <r>
          <rPr>
            <b/>
            <sz val="9"/>
            <color indexed="81"/>
            <rFont val="Tahoma"/>
            <family val="2"/>
          </rPr>
          <t>Quantumuser:</t>
        </r>
        <r>
          <rPr>
            <sz val="9"/>
            <color indexed="81"/>
            <rFont val="Tahoma"/>
            <family val="2"/>
          </rPr>
          <t xml:space="preserve">
rev0 = 11
rev1 = 13 GC ขอปรับเพิ่ม</t>
        </r>
      </text>
    </comment>
    <comment ref="X61" authorId="1" shapeId="0">
      <text>
        <r>
          <rPr>
            <b/>
            <sz val="9"/>
            <color indexed="81"/>
            <rFont val="Tahoma"/>
            <family val="2"/>
          </rPr>
          <t>Windows User:</t>
        </r>
        <r>
          <rPr>
            <sz val="9"/>
            <color indexed="81"/>
            <rFont val="Tahoma"/>
            <family val="2"/>
          </rPr>
          <t xml:space="preserve">
rev0 = 14
rev1 = 11 KT เหตุ GSP5 เลื่อน TD50% ถึง 21 Jan'21
</t>
        </r>
      </text>
    </comment>
    <comment ref="Y61" authorId="1" shapeId="0">
      <text>
        <r>
          <rPr>
            <b/>
            <sz val="9"/>
            <color indexed="81"/>
            <rFont val="Tahoma"/>
            <family val="2"/>
          </rPr>
          <t>Windows User:</t>
        </r>
        <r>
          <rPr>
            <sz val="9"/>
            <color indexed="81"/>
            <rFont val="Tahoma"/>
            <family val="2"/>
          </rPr>
          <t xml:space="preserve">
rev0 = 10
rev1 = 2.5 KT เหตุ GSP5 เลื่อน TD50% ถึง 21 Jan'21
</t>
        </r>
      </text>
    </comment>
    <comment ref="P62" authorId="1" shapeId="0">
      <text>
        <r>
          <rPr>
            <b/>
            <sz val="9"/>
            <color indexed="81"/>
            <rFont val="Tahoma"/>
            <family val="2"/>
          </rPr>
          <t>Windows User:</t>
        </r>
        <r>
          <rPr>
            <sz val="9"/>
            <color indexed="81"/>
            <rFont val="Tahoma"/>
            <family val="2"/>
          </rPr>
          <t xml:space="preserve">
rev0 = 6.3
rev1 = 5.1
rev2 = 4.3
</t>
        </r>
      </text>
    </comment>
    <comment ref="Q62" authorId="1" shapeId="0">
      <text>
        <r>
          <rPr>
            <b/>
            <sz val="9"/>
            <color indexed="81"/>
            <rFont val="Tahoma"/>
            <family val="2"/>
          </rPr>
          <t>Windows User:</t>
        </r>
        <r>
          <rPr>
            <sz val="9"/>
            <color indexed="81"/>
            <rFont val="Tahoma"/>
            <family val="2"/>
          </rPr>
          <t xml:space="preserve">
rev0 = 3.5
rev1 = 3 KT • SPRC แจ้งปรับลดการจัดส่ง จากแผน 3.5 KT เป็น 3.0 KT เนื่องจาก Demand Drop จาก COVID-19 จึงลดกำลังการผลิตลง </t>
        </r>
      </text>
    </comment>
    <comment ref="R62" authorId="1" shapeId="0">
      <text>
        <r>
          <rPr>
            <b/>
            <sz val="9"/>
            <color indexed="81"/>
            <rFont val="Tahoma"/>
            <family val="2"/>
          </rPr>
          <t>Windows User:</t>
        </r>
        <r>
          <rPr>
            <sz val="9"/>
            <color indexed="81"/>
            <rFont val="Tahoma"/>
            <family val="2"/>
          </rPr>
          <t xml:space="preserve">
rev0 = 3.6
rev1 = 3.0 เนื่องจาก WP under </t>
        </r>
      </text>
    </comment>
    <comment ref="V62" authorId="1" shapeId="0">
      <text>
        <r>
          <rPr>
            <b/>
            <sz val="9"/>
            <color indexed="81"/>
            <rFont val="Tahoma"/>
            <family val="2"/>
          </rPr>
          <t>Windows User:</t>
        </r>
        <r>
          <rPr>
            <sz val="9"/>
            <color indexed="81"/>
            <rFont val="Tahoma"/>
            <family val="2"/>
          </rPr>
          <t xml:space="preserve">
rev0 = 7.36
rev1= 8.06 KT SPRC ปรับเพิ่ม
rev2= 6.06 KT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t>
        </r>
      </text>
    </comment>
    <comment ref="W62" authorId="0" shapeId="0">
      <text>
        <r>
          <rPr>
            <b/>
            <sz val="9"/>
            <color indexed="81"/>
            <rFont val="Tahoma"/>
            <family val="2"/>
          </rPr>
          <t>Quantumuser:</t>
        </r>
        <r>
          <rPr>
            <sz val="9"/>
            <color indexed="81"/>
            <rFont val="Tahoma"/>
            <family val="2"/>
          </rPr>
          <t xml:space="preserve">
rev0 = 7.36
rev1= 5.36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
rev2 = 6.06 SPRC ปรับเพิ่ม เนื่องจาก SPRC Over supply </t>
        </r>
      </text>
    </comment>
    <comment ref="F63" authorId="0" shapeId="0">
      <text>
        <r>
          <rPr>
            <b/>
            <sz val="9"/>
            <color indexed="81"/>
            <rFont val="Tahoma"/>
            <family val="2"/>
          </rPr>
          <t>Quantumuser:</t>
        </r>
        <r>
          <rPr>
            <sz val="9"/>
            <color indexed="81"/>
            <rFont val="Tahoma"/>
            <family val="2"/>
          </rPr>
          <t xml:space="preserve">
rrev0 = 5.7
rrev1 = 6.22</t>
        </r>
      </text>
    </comment>
    <comment ref="K63" authorId="0" shapeId="0">
      <text>
        <r>
          <rPr>
            <b/>
            <sz val="9"/>
            <color indexed="81"/>
            <rFont val="Tahoma"/>
            <family val="2"/>
          </rPr>
          <t>Quantumuser:</t>
        </r>
        <r>
          <rPr>
            <sz val="9"/>
            <color indexed="81"/>
            <rFont val="Tahoma"/>
            <family val="2"/>
          </rPr>
          <t xml:space="preserve">
rev0 = 5.85
rev1 = 6.63
</t>
        </r>
      </text>
    </comment>
    <comment ref="R63" authorId="1" shapeId="0">
      <text>
        <r>
          <rPr>
            <b/>
            <sz val="9"/>
            <color indexed="81"/>
            <rFont val="Tahoma"/>
            <family val="2"/>
          </rPr>
          <t>Windows User:</t>
        </r>
        <r>
          <rPr>
            <sz val="9"/>
            <color indexed="81"/>
            <rFont val="Tahoma"/>
            <family val="2"/>
          </rPr>
          <t xml:space="preserve">
rev0 = 5.4
rev 1= 5.7 PTTOR ขอรับเพิ่ม 0.3 KT
</t>
        </r>
      </text>
    </comment>
    <comment ref="V63" authorId="0" shapeId="0">
      <text>
        <r>
          <rPr>
            <b/>
            <sz val="9"/>
            <color indexed="81"/>
            <rFont val="Tahoma"/>
            <family val="2"/>
          </rPr>
          <t>Quantumuser:</t>
        </r>
        <r>
          <rPr>
            <sz val="9"/>
            <color indexed="81"/>
            <rFont val="Tahoma"/>
            <family val="2"/>
          </rPr>
          <t xml:space="preserve">
rev0 = 5.58 
rev1 = 5.8 PTTEP : เพิ่มประมาณการจัดส่ง </t>
        </r>
      </text>
    </comment>
    <comment ref="K64" authorId="0" shapeId="0">
      <text>
        <r>
          <rPr>
            <b/>
            <sz val="9"/>
            <color indexed="81"/>
            <rFont val="Tahoma"/>
            <family val="2"/>
          </rPr>
          <t>Quantumuser:</t>
        </r>
        <r>
          <rPr>
            <sz val="9"/>
            <color indexed="81"/>
            <rFont val="Tahoma"/>
            <family val="2"/>
          </rPr>
          <t xml:space="preserve">
• วันที่ 25 พ.ย. 62 – 7 ธ.ค. 62 โรงไฟฟ้าขนอมหยุดซ่อมบำรุง (โรงที่ 2)</t>
        </r>
      </text>
    </comment>
    <comment ref="P64" authorId="1" shapeId="0">
      <text>
        <r>
          <rPr>
            <b/>
            <sz val="9"/>
            <color indexed="81"/>
            <rFont val="Tahoma"/>
            <family val="2"/>
          </rPr>
          <t>Windows User:</t>
        </r>
        <r>
          <rPr>
            <sz val="9"/>
            <color indexed="81"/>
            <rFont val="Tahoma"/>
            <family val="2"/>
          </rPr>
          <t xml:space="preserve">
rev0 = 15.6
rev1 = 17.6 GSP KHM ปรับเพิ่มตาม Demand โรงไฟฟ้า
rev2 = 16.5 PTTOR demand drop
</t>
        </r>
      </text>
    </comment>
    <comment ref="Q64" authorId="1" shapeId="0">
      <text>
        <r>
          <rPr>
            <b/>
            <sz val="9"/>
            <color indexed="81"/>
            <rFont val="Tahoma"/>
            <family val="2"/>
          </rPr>
          <t xml:space="preserve">Windows User:
rev0 = 17.05
rev1 = 15.5 • GSP KHM แจ้งปรับลดการจัดส่ง จากแผน 17.05 KT เป็น 15.5 KT (-1.55 KT)
เนื่องจากวันที่ 1-3 พ.ค. 2563 ลด Feed Gas ลงเหลือ 80 MMSCFD เพื่อเปลี่ยน Pipe Spool/หน้า Flange เพื่อแก้ไขปัญหา Corrosion ที่ ERP-KN 
</t>
        </r>
      </text>
    </comment>
    <comment ref="R64" authorId="1" shapeId="0">
      <text>
        <r>
          <rPr>
            <b/>
            <sz val="9"/>
            <color indexed="81"/>
            <rFont val="Tahoma"/>
            <family val="2"/>
          </rPr>
          <t>Windows User:</t>
        </r>
        <r>
          <rPr>
            <sz val="9"/>
            <color indexed="81"/>
            <rFont val="Tahoma"/>
            <family val="2"/>
          </rPr>
          <t xml:space="preserve">
rev0 = 15.6
rev1 = 14.5 โรงไฟฟ้า KHM demand drop</t>
        </r>
      </text>
    </comment>
    <comment ref="V64" authorId="0" shapeId="0">
      <text>
        <r>
          <rPr>
            <b/>
            <sz val="9"/>
            <color indexed="81"/>
            <rFont val="Tahoma"/>
            <family val="2"/>
          </rPr>
          <t>Quantumuser:</t>
        </r>
        <r>
          <rPr>
            <sz val="9"/>
            <color indexed="81"/>
            <rFont val="Tahoma"/>
            <family val="2"/>
          </rPr>
          <t xml:space="preserve">
GSP KHM ปรับลด ตาม demand โรงไฟฟ้าขนอม</t>
        </r>
      </text>
    </comment>
    <comment ref="AA64" authorId="1" shapeId="0">
      <text>
        <r>
          <rPr>
            <b/>
            <sz val="9"/>
            <color indexed="81"/>
            <rFont val="Tahoma"/>
            <family val="2"/>
          </rPr>
          <t>Windows User:</t>
        </r>
        <r>
          <rPr>
            <sz val="9"/>
            <color indexed="81"/>
            <rFont val="Tahoma"/>
            <family val="2"/>
          </rPr>
          <t xml:space="preserve">
rev0 = 15.56 KT
rev1 = 13.5 KT KT เนื่องจากโรงไฟฟ้าขนอมทำการหยุดซ่อมบำรุงเร่งด่วน ทำให้กำลังการผลิต LPG ลดลง</t>
        </r>
      </text>
    </comment>
    <comment ref="D93" authorId="1" shapeId="0">
      <text>
        <r>
          <rPr>
            <b/>
            <sz val="9"/>
            <color indexed="81"/>
            <rFont val="Tahoma"/>
            <family val="2"/>
          </rPr>
          <t>Windows User:</t>
        </r>
        <r>
          <rPr>
            <sz val="9"/>
            <color indexed="81"/>
            <rFont val="Tahoma"/>
            <family val="2"/>
          </rPr>
          <t xml:space="preserve">
Port chart 4-6 $/Ton (split 22 KT)</t>
        </r>
      </text>
    </comment>
    <comment ref="AB93" authorId="1" shapeId="0">
      <text>
        <r>
          <rPr>
            <b/>
            <sz val="9"/>
            <color indexed="81"/>
            <rFont val="Tahoma"/>
            <family val="2"/>
          </rPr>
          <t>Windows User:</t>
        </r>
        <r>
          <rPr>
            <sz val="9"/>
            <color indexed="81"/>
            <rFont val="Tahoma"/>
            <family val="2"/>
          </rPr>
          <t xml:space="preserve">
MOC ทางเรือ</t>
        </r>
      </text>
    </comment>
    <comment ref="AD93" authorId="1" shapeId="0">
      <text>
        <r>
          <rPr>
            <b/>
            <sz val="9"/>
            <color indexed="81"/>
            <rFont val="Tahoma"/>
            <family val="2"/>
          </rPr>
          <t>Windows User:</t>
        </r>
        <r>
          <rPr>
            <sz val="9"/>
            <color indexed="81"/>
            <rFont val="Tahoma"/>
            <family val="2"/>
          </rPr>
          <t xml:space="preserve">
SCG request 23 Jun - 2Jul</t>
        </r>
      </text>
    </comment>
    <comment ref="E95" authorId="0" shapeId="0">
      <text>
        <r>
          <rPr>
            <b/>
            <sz val="9"/>
            <color indexed="81"/>
            <rFont val="Tahoma"/>
            <family val="2"/>
          </rPr>
          <t>Quantumuser:</t>
        </r>
        <r>
          <rPr>
            <sz val="9"/>
            <color indexed="81"/>
            <rFont val="Tahoma"/>
            <family val="2"/>
          </rPr>
          <t xml:space="preserve">
rev0 = 90.5 (import 14.5 KT)
rev1 = 95 KT</t>
        </r>
      </text>
    </comment>
    <comment ref="G95" authorId="1" shapeId="0">
      <text>
        <r>
          <rPr>
            <b/>
            <sz val="9"/>
            <color indexed="81"/>
            <rFont val="Tahoma"/>
            <family val="2"/>
          </rPr>
          <t>Windows User:</t>
        </r>
        <r>
          <rPr>
            <sz val="9"/>
            <color indexed="81"/>
            <rFont val="Tahoma"/>
            <family val="2"/>
          </rPr>
          <t xml:space="preserve">
rev0 =74 
rev1= 72 KT cause GSP3 trip</t>
        </r>
      </text>
    </comment>
    <comment ref="H95" authorId="1" shapeId="0">
      <text>
        <r>
          <rPr>
            <b/>
            <sz val="9"/>
            <color indexed="81"/>
            <rFont val="Tahoma"/>
            <family val="2"/>
          </rPr>
          <t>Windows User:</t>
        </r>
        <r>
          <rPr>
            <sz val="9"/>
            <color indexed="81"/>
            <rFont val="Tahoma"/>
            <family val="2"/>
          </rPr>
          <t xml:space="preserve">
rev0 = 68 KT
rev1 = 65.5 KT GC ขอปรับลดเนื่องจาก C2 rate สูง ประมาน 295 -297 ton/hr.
rev2 = 69.5 KT เนื่องจาก GSP TD
- GSP6 reduce 10% of feed gas to fix expander vibration problem during 2-5 Aug
- GSP6 reduce 25% of feed gas to fix expander vibration problem during 6-12 Aug
rev3 = 67.5 KT GC ปรับลด เนื่องจาก Ethane supply will be 300T/h instead of 295T/h 
rev4 = 67 KT GC แจ้ง carry ove rC3 0.5 KT to Sep'19
</t>
        </r>
      </text>
    </comment>
    <comment ref="I95" authorId="0" shapeId="0">
      <text>
        <r>
          <rPr>
            <b/>
            <sz val="9"/>
            <color indexed="81"/>
            <rFont val="Tahoma"/>
            <family val="2"/>
          </rPr>
          <t>Quantumuser:</t>
        </r>
        <r>
          <rPr>
            <sz val="9"/>
            <color indexed="81"/>
            <rFont val="Tahoma"/>
            <family val="2"/>
          </rPr>
          <t xml:space="preserve">
rev0 = 61.5
rev1 = 62 KT เนื่องจาก carry over C3 from Aug 0.5 KT</t>
        </r>
      </text>
    </comment>
    <comment ref="J95" authorId="1" shapeId="0">
      <text>
        <r>
          <rPr>
            <b/>
            <sz val="9"/>
            <color indexed="81"/>
            <rFont val="Tahoma"/>
            <family val="2"/>
          </rPr>
          <t>Windows User:
rev0 = 62
rev1 = 65.6
rev2 = 66 KT
rev3 = 67 KT
rev4 = 63 KT (โยกไปพย 4 KT)</t>
        </r>
      </text>
    </comment>
    <comment ref="K95" authorId="0" shapeId="0">
      <text>
        <r>
          <rPr>
            <b/>
            <sz val="9"/>
            <color indexed="81"/>
            <rFont val="Tahoma"/>
            <family val="2"/>
          </rPr>
          <t>Quantumuser:</t>
        </r>
        <r>
          <rPr>
            <sz val="9"/>
            <color indexed="81"/>
            <rFont val="Tahoma"/>
            <family val="2"/>
          </rPr>
          <t xml:space="preserve">
rev0 = 57
rev1 = 63 (57+4+2) 4 โยกมาจาก ตค และ 2 มาจาก swap (21 เป็น 23)
rev2 = 65 KT (+2 GC ขอรับเพิ่ม)</t>
        </r>
      </text>
    </comment>
    <comment ref="L95" authorId="0" shapeId="0">
      <text>
        <r>
          <rPr>
            <b/>
            <sz val="9"/>
            <color indexed="81"/>
            <rFont val="Tahoma"/>
            <family val="2"/>
          </rPr>
          <t>Quantumuser:</t>
        </r>
        <r>
          <rPr>
            <sz val="9"/>
            <color indexed="81"/>
            <rFont val="Tahoma"/>
            <family val="2"/>
          </rPr>
          <t xml:space="preserve">
rev0 = 59.5
rev1 = 64.5 (swap vol 2.5 KT จาก 21 KT เป็น 23.5 KT)
rev2 = 66.5 (GC ขอรับเพิ่ม +2 KT
rev3 = 68.5
rev4 = 65.5 KT เนื่องจาก GC black out วันที่ 23 ธ.ค. 62
</t>
        </r>
      </text>
    </comment>
    <comment ref="M95" authorId="0" shapeId="0">
      <text>
        <r>
          <rPr>
            <b/>
            <sz val="9"/>
            <color indexed="81"/>
            <rFont val="Tahoma"/>
            <family val="2"/>
          </rPr>
          <t>Quantumuser:</t>
        </r>
        <r>
          <rPr>
            <sz val="9"/>
            <color indexed="81"/>
            <rFont val="Tahoma"/>
            <family val="2"/>
          </rPr>
          <t xml:space="preserve">
I-4/1 SD19 Jan – 24 Feb’20
I-4/2 SD 15 Jan- 16 Feb’20
รอบ Nov 52
รอบ Dec 58
rev0 = 55 KT GSP ลดจาก demand GC 58 KT เพื่อ balabce inven และ LR เนื่องจากหาเรือ importไม่ได้ เพราะติดตรุษจีน
rev1 = 53.5 KT เนื่องจาก GC black out วันที่ 23 ธ.ค. 62
rev2 = 45 GC ขอลดรับ พี่สุคาด PE ลงส่งผลให้ gc กิน C2 ที่ผลิตได้เองก่อน (18 ton/hr) จึงมาลดรับ C3/lpg
rev2 = 49 GC เพิ่มเนื่องจาก เลื่อน TA ออกไป 5 วัน
rev3 = 47 KT GC ขอปรับลด เนื่องจาก we are conducting T/A OLE2 in this period and it cause LPG demand in Jan to be lessor than plan </t>
        </r>
      </text>
    </comment>
    <comment ref="N95" authorId="0" shapeId="0">
      <text>
        <r>
          <rPr>
            <b/>
            <sz val="9"/>
            <color indexed="81"/>
            <rFont val="Tahoma"/>
            <family val="2"/>
          </rPr>
          <t>Quantumuser:</t>
        </r>
        <r>
          <rPr>
            <sz val="9"/>
            <color indexed="81"/>
            <rFont val="Tahoma"/>
            <family val="2"/>
          </rPr>
          <t xml:space="preserve">
I-4/1 SD19 Jan – 24 Feb’20
I-4/2 SD 15 Jan- 16 Feb’20
รอบ Nov 34
รอบ Dec 36
รอบ Jan 27.5 เพราะเลื่อน TA ออกไปกินเดือน กพ เพิ่มขึ้น 5 วัน
rev1 = 25.5
rev2 = 24
rev3 = 22 KT GC เลื่อนการ SD Oleflex จาก 1 มี.ค. 63 – 6 เม.ย. 63 เป็น 24 ก.พ. 63 – 31 มี.ค. 63 
rev4 = 18.9  KT GC i4 delay start up จากแผนเดิมวันที่ 27 ก.พ. 63 </t>
        </r>
      </text>
    </comment>
    <comment ref="O95" authorId="0" shapeId="0">
      <text>
        <r>
          <rPr>
            <b/>
            <sz val="9"/>
            <color indexed="81"/>
            <rFont val="Tahoma"/>
            <family val="2"/>
          </rPr>
          <t>Quantumuser:</t>
        </r>
        <r>
          <rPr>
            <sz val="9"/>
            <color indexed="81"/>
            <rFont val="Tahoma"/>
            <family val="2"/>
          </rPr>
          <t xml:space="preserve">
รอบ Nov 68
รอบ Dec 53
รอบ Jan 52
rev0 = 44.623
rev1 = 41 GC ขอปรับลดเนื่องจาก GC delay S/U of OLE2/1
rev2 = 39 GC ขอปรับลดเนื่องจาก economic ราคาอ้างอิงตก เพราะ ซาอุทะเลาะรัฐเซีย และ demand drop จาก Covid</t>
        </r>
      </text>
    </comment>
    <comment ref="P95" authorId="0" shapeId="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rev3 = 44.5 ปรับลดการจัดส่ง GC 2 KT เนื่องจาก refinery ปรับลดการจัดส่ง 5 KT (ช่วยเหลือ GC 3 KT)</t>
        </r>
      </text>
    </comment>
    <comment ref="Q95" authorId="1" shapeId="0">
      <text>
        <r>
          <rPr>
            <b/>
            <sz val="9"/>
            <color indexed="81"/>
            <rFont val="Tahoma"/>
            <family val="2"/>
          </rPr>
          <t xml:space="preserve">Windows User:
Feb </t>
        </r>
        <r>
          <rPr>
            <sz val="9"/>
            <color indexed="81"/>
            <rFont val="Tahoma"/>
            <family val="2"/>
          </rPr>
          <t>57.488
Mar 36.591</t>
        </r>
      </text>
    </comment>
    <comment ref="R95" authorId="0" shapeId="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rev0 = 58 KT</t>
        </r>
      </text>
    </comment>
    <comment ref="S95" authorId="1" shapeId="0">
      <text>
        <r>
          <rPr>
            <b/>
            <sz val="9"/>
            <color indexed="81"/>
            <rFont val="Tahoma"/>
            <family val="2"/>
          </rPr>
          <t>Windows User:</t>
        </r>
        <r>
          <rPr>
            <sz val="9"/>
            <color indexed="81"/>
            <rFont val="Tahoma"/>
            <family val="2"/>
          </rPr>
          <t xml:space="preserve">
Feb 61.541
Mar 25.252</t>
        </r>
      </text>
    </comment>
    <comment ref="Q97" authorId="1" shapeId="0">
      <text>
        <r>
          <rPr>
            <b/>
            <sz val="9"/>
            <color indexed="81"/>
            <rFont val="Tahoma"/>
            <family val="2"/>
          </rPr>
          <t>Windows User:</t>
        </r>
        <r>
          <rPr>
            <sz val="9"/>
            <color indexed="81"/>
            <rFont val="Tahoma"/>
            <family val="2"/>
          </rPr>
          <t xml:space="preserve">
rev0 = 23.064
rev1 = 26 KT GSP เสนอ GC รับ C3 เพิ่ม เพื่อช่วยลด inv high จาก PTTAC ESD</t>
        </r>
      </text>
    </comment>
    <comment ref="W97" authorId="1" shapeId="0">
      <text>
        <r>
          <rPr>
            <b/>
            <sz val="9"/>
            <color indexed="81"/>
            <rFont val="Tahoma"/>
            <family val="2"/>
          </rPr>
          <t>Windows User:</t>
        </r>
        <r>
          <rPr>
            <sz val="9"/>
            <color indexed="81"/>
            <rFont val="Tahoma"/>
            <family val="2"/>
          </rPr>
          <t xml:space="preserve">
ก่อนเกิดเหต GSP5 = 23 KT
</t>
        </r>
      </text>
    </comment>
    <comment ref="X97" authorId="1" shapeId="0">
      <text>
        <r>
          <rPr>
            <b/>
            <sz val="9"/>
            <color indexed="81"/>
            <rFont val="Tahoma"/>
            <family val="2"/>
          </rPr>
          <t>Windows User:</t>
        </r>
        <r>
          <rPr>
            <sz val="9"/>
            <color indexed="81"/>
            <rFont val="Tahoma"/>
            <family val="2"/>
          </rPr>
          <t xml:space="preserve">
ก่อนเกิดเหต GSP5 = 23 KT
rev1 = 23.5
rev2 = 29 HMC ไฟไหม้</t>
        </r>
      </text>
    </comment>
    <comment ref="AA97" authorId="1" shapeId="0">
      <text>
        <r>
          <rPr>
            <b/>
            <sz val="9"/>
            <color indexed="81"/>
            <rFont val="Tahoma"/>
            <family val="2"/>
          </rPr>
          <t>Windows User:</t>
        </r>
        <r>
          <rPr>
            <sz val="9"/>
            <color indexed="81"/>
            <rFont val="Tahoma"/>
            <family val="2"/>
          </rPr>
          <t xml:space="preserve">
rev0 = 22.32 KT
rev1 = 19.82 KT (GC คุยกับ AC โดย GC จะลด -2.5 KT และ AC จะซื้อ Spot เพิ่ม 2.5 KT)
rev2 = 18.82 KT (GC คุยกับ AC โดย GC จะลด -1 KT และ AC จะซื้อ Spot เพิ่ม 1 KT)</t>
        </r>
      </text>
    </comment>
    <comment ref="AB97" authorId="1" shapeId="0">
      <text>
        <r>
          <rPr>
            <b/>
            <sz val="9"/>
            <color indexed="81"/>
            <rFont val="Tahoma"/>
            <family val="2"/>
          </rPr>
          <t>Windows User:</t>
        </r>
        <r>
          <rPr>
            <sz val="9"/>
            <color indexed="81"/>
            <rFont val="Tahoma"/>
            <family val="2"/>
          </rPr>
          <t xml:space="preserve">
rev0 = 18.4 KT
rev1 = 15.8 KT วันที่ 14 เม.ย. 64 GC แจ้งเหตุไฟฟ้าขัดข้อง จึงลดรับ C3
rev2 = 13 KT delay start up
rev3 = 12KT เนื่องจาก ไฟฟ้าดับเมื่อวันที่ 20 Apr (GC official)</t>
        </r>
      </text>
    </comment>
    <comment ref="AC97" authorId="1" shapeId="0">
      <text>
        <r>
          <rPr>
            <b/>
            <sz val="9"/>
            <color indexed="81"/>
            <rFont val="Tahoma"/>
            <family val="2"/>
          </rPr>
          <t>Windows User:</t>
        </r>
        <r>
          <rPr>
            <sz val="9"/>
            <color indexed="81"/>
            <rFont val="Tahoma"/>
            <family val="2"/>
          </rPr>
          <t xml:space="preserve">
rev0 = 18.556 KT</t>
        </r>
      </text>
    </comment>
    <comment ref="AE97" authorId="1" shapeId="0">
      <text>
        <r>
          <rPr>
            <b/>
            <sz val="9"/>
            <color indexed="81"/>
            <rFont val="Tahoma"/>
            <family val="2"/>
          </rPr>
          <t>Windows User:</t>
        </r>
        <r>
          <rPr>
            <sz val="9"/>
            <color indexed="81"/>
            <rFont val="Tahoma"/>
            <family val="2"/>
          </rPr>
          <t xml:space="preserve">
rev0 = 22.32 KT
rev1 = 16.72 KT GC ปรับลดเนื่องจากโยกไปให้ HMC</t>
        </r>
      </text>
    </comment>
    <comment ref="AF97" authorId="0" shapeId="0">
      <text>
        <r>
          <rPr>
            <b/>
            <sz val="9"/>
            <color indexed="81"/>
            <rFont val="Tahoma"/>
            <family val="2"/>
          </rPr>
          <t>Quantumuser:</t>
        </r>
        <r>
          <rPr>
            <sz val="9"/>
            <color indexed="81"/>
            <rFont val="Tahoma"/>
            <family val="2"/>
          </rPr>
          <t xml:space="preserve">
Oleflex SD Aug'20 -Sep'20</t>
        </r>
      </text>
    </comment>
    <comment ref="AG97" authorId="0" shapeId="0">
      <text>
        <r>
          <rPr>
            <b/>
            <sz val="9"/>
            <color indexed="81"/>
            <rFont val="Tahoma"/>
            <family val="2"/>
          </rPr>
          <t>Quantumuser:</t>
        </r>
        <r>
          <rPr>
            <sz val="9"/>
            <color indexed="81"/>
            <rFont val="Tahoma"/>
            <family val="2"/>
          </rPr>
          <t xml:space="preserve">
Oleflex SD Aug'20 -Sep'20
BZ 20.7259301179628 KT
</t>
        </r>
      </text>
    </comment>
    <comment ref="R98" authorId="1" shapeId="0">
      <text>
        <r>
          <rPr>
            <b/>
            <sz val="9"/>
            <color indexed="81"/>
            <rFont val="Tahoma"/>
            <family val="2"/>
          </rPr>
          <t>Windows User:</t>
        </r>
        <r>
          <rPr>
            <sz val="9"/>
            <color indexed="81"/>
            <rFont val="Tahoma"/>
            <family val="2"/>
          </rPr>
          <t xml:space="preserve">
rev0 =32
rev1 = 30 GC ขอลด เนื่องจาก ขายไม่ออก ของล้น</t>
        </r>
      </text>
    </comment>
    <comment ref="T98" authorId="1" shapeId="0">
      <text>
        <r>
          <rPr>
            <b/>
            <sz val="9"/>
            <color indexed="81"/>
            <rFont val="Tahoma"/>
            <family val="2"/>
          </rPr>
          <t>Windows User:</t>
        </r>
        <r>
          <rPr>
            <sz val="9"/>
            <color indexed="81"/>
            <rFont val="Tahoma"/>
            <family val="2"/>
          </rPr>
          <t xml:space="preserve">
rev0 = 31.25
rev1 = 38.75 GC ขอเพิ่ม ชดชเย C2
rev2 = 36 GC ขอลด เพราะwe got additional ethane supply from your side from 197KT to 198KT, so we would like your support to reduce LPG from 38.75KT to 36KT krub.
</t>
        </r>
      </text>
    </comment>
    <comment ref="U98" authorId="0" shapeId="0">
      <text>
        <r>
          <rPr>
            <b/>
            <sz val="9"/>
            <color indexed="81"/>
            <rFont val="Tahoma"/>
            <family val="2"/>
          </rPr>
          <t>Quantumuser:
rev0 = 32.5
rev1 = 31.5 GC ขอลดรับ เนื่องจากต้องการ  own use Light Naphtha ตาม economic decision
rev2 = 13 KT
rev3 = 22.5 KT เนื่องจาก GSP C2 compo ลดลง จาก 201 KT เป็น 197 KT
rev4 = 24.5 GC ขอเพิ่ม เนื่องจาก GSP C2 compo ลดลง จาก 197 KT เป็น 195 KT
rev5 = 20.5 GC ลดรับ เนื่องจาก GSP C2 compo สูงกว่าแผน</t>
        </r>
      </text>
    </comment>
    <comment ref="V98" authorId="1" shapeId="0">
      <text>
        <r>
          <rPr>
            <b/>
            <sz val="9"/>
            <color indexed="81"/>
            <rFont val="Tahoma"/>
            <family val="2"/>
          </rPr>
          <t>Windows User:</t>
        </r>
        <r>
          <rPr>
            <sz val="9"/>
            <color indexed="81"/>
            <rFont val="Tahoma"/>
            <family val="2"/>
          </rPr>
          <t xml:space="preserve">
25
</t>
        </r>
      </text>
    </comment>
    <comment ref="W98" authorId="1" shapeId="0">
      <text>
        <r>
          <rPr>
            <b/>
            <sz val="9"/>
            <color indexed="81"/>
            <rFont val="Tahoma"/>
            <family val="2"/>
          </rPr>
          <t>Windows User:</t>
        </r>
        <r>
          <rPr>
            <sz val="9"/>
            <color indexed="81"/>
            <rFont val="Tahoma"/>
            <family val="2"/>
          </rPr>
          <t xml:space="preserve">
ก่อนเกิดเหต GSP5 = 18.5 KT
 </t>
        </r>
      </text>
    </comment>
    <comment ref="X98" authorId="1" shapeId="0">
      <text>
        <r>
          <rPr>
            <b/>
            <sz val="9"/>
            <color indexed="81"/>
            <rFont val="Tahoma"/>
            <family val="2"/>
          </rPr>
          <t>Windows User:</t>
        </r>
        <r>
          <rPr>
            <sz val="9"/>
            <color indexed="81"/>
            <rFont val="Tahoma"/>
            <family val="2"/>
          </rPr>
          <t xml:space="preserve">
ก่อนเกิดเหต GSP5 = 19 KT
rev1 = 22 KT GSP5 21 ม.ค. 63
rev2 = 27 KT GSP5 9 ม.ค. 63
rev3 = 29.5 HMC ไฟไหม้</t>
        </r>
      </text>
    </comment>
    <comment ref="Y98" authorId="1" shapeId="0">
      <text>
        <r>
          <rPr>
            <b/>
            <sz val="9"/>
            <color indexed="81"/>
            <rFont val="Tahoma"/>
            <family val="2"/>
          </rPr>
          <t>Windows User:</t>
        </r>
        <r>
          <rPr>
            <sz val="9"/>
            <color indexed="81"/>
            <rFont val="Tahoma"/>
            <family val="2"/>
          </rPr>
          <t xml:space="preserve">
rev0 = 34.1
rev1 = 33.1 GC แจ้ง drop -1 KT โดยยังอยู่ใน 3%</t>
        </r>
      </text>
    </comment>
    <comment ref="Z98" authorId="1" shapeId="0">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AA98" authorId="1" shapeId="0">
      <text>
        <r>
          <rPr>
            <b/>
            <sz val="9"/>
            <color indexed="81"/>
            <rFont val="Tahoma"/>
            <family val="2"/>
          </rPr>
          <t>Windows User:</t>
        </r>
        <r>
          <rPr>
            <sz val="9"/>
            <color indexed="81"/>
            <rFont val="Tahoma"/>
            <family val="2"/>
          </rPr>
          <t xml:space="preserve">
rev0 = 31.5
rev1 = 32.5 เนื่องจาก GC ลดรับ C3 1 KT จึงรับ LPG เพิ่ม 1 KT
</t>
        </r>
      </text>
    </comment>
    <comment ref="AB98" authorId="1" shapeId="0">
      <text>
        <r>
          <rPr>
            <b/>
            <sz val="9"/>
            <color indexed="81"/>
            <rFont val="Tahoma"/>
            <family val="2"/>
          </rPr>
          <t>Windows User:</t>
        </r>
        <r>
          <rPr>
            <sz val="9"/>
            <color indexed="81"/>
            <rFont val="Tahoma"/>
            <family val="2"/>
          </rPr>
          <t xml:space="preserve">
rev0 = 32.904
rev1 = 33.5 GC ปรับเพิ่มเนื่องจาก GSP5 แจ้งแผน TD 50% กระทันหันในวันที่ 19 - 28 เม.ย. 64 
rev2 = 25.4 KT วันที่ 14 เม.ย. 64 GC แจ้งเหตุไฟฟ้าขัดข้อง จึงลดรับ LPG
rev3 = 24 KT เนื่องจาก ไฟฟ้าดับเมื่อวันที่ 20 Apr (GC official)</t>
        </r>
      </text>
    </comment>
    <comment ref="AC98" authorId="1" shapeId="0">
      <text>
        <r>
          <rPr>
            <b/>
            <sz val="9"/>
            <color indexed="81"/>
            <rFont val="Tahoma"/>
            <family val="2"/>
          </rPr>
          <t>Windows User:</t>
        </r>
        <r>
          <rPr>
            <sz val="9"/>
            <color indexed="81"/>
            <rFont val="Tahoma"/>
            <family val="2"/>
          </rPr>
          <t xml:space="preserve">
rev0 = 37.442 KT
rev1 = 42.4 KT เนื่องจาก GC need LPG 50 KT</t>
        </r>
      </text>
    </comment>
    <comment ref="Z99" authorId="1" shapeId="0">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 ref="AB99" authorId="1" shapeId="0">
      <text>
        <r>
          <rPr>
            <b/>
            <sz val="9"/>
            <color indexed="81"/>
            <rFont val="Tahoma"/>
            <family val="2"/>
          </rPr>
          <t>Windows User:</t>
        </r>
        <r>
          <rPr>
            <sz val="9"/>
            <color indexed="81"/>
            <rFont val="Tahoma"/>
            <family val="2"/>
          </rPr>
          <t xml:space="preserve">
MOC ทางท่อ</t>
        </r>
      </text>
    </comment>
    <comment ref="AC99" authorId="1" shapeId="0">
      <text>
        <r>
          <rPr>
            <b/>
            <sz val="9"/>
            <color indexed="81"/>
            <rFont val="Tahoma"/>
            <family val="2"/>
          </rPr>
          <t>Windows User:</t>
        </r>
        <r>
          <rPr>
            <sz val="9"/>
            <color indexed="81"/>
            <rFont val="Tahoma"/>
            <family val="2"/>
          </rPr>
          <t xml:space="preserve">
rev0 = 12.312
rev1 = 10.5 SCG ลดรับ เนื่องจาก GSP จัดส่ง C2 ให้ในเดือน Apr มากขึ้น GSP จึงขอให้ลดการรับ C3 in May GSP จะได้ไม่ต้อง Split cargo</t>
        </r>
      </text>
    </comment>
    <comment ref="AE99" authorId="0" shapeId="0">
      <text>
        <r>
          <rPr>
            <b/>
            <sz val="9"/>
            <color indexed="81"/>
            <rFont val="Tahoma"/>
            <family val="2"/>
          </rPr>
          <t>Quantumuser:</t>
        </r>
        <r>
          <rPr>
            <sz val="9"/>
            <color indexed="81"/>
            <rFont val="Tahoma"/>
            <family val="2"/>
          </rPr>
          <t xml:space="preserve">
GSP6 TA 
ดังนั้นส่งให้ทางเรือแทน ปลายเดือน มิ.ย. 64 = 18 KT ตาม Demand SCG
</t>
        </r>
      </text>
    </comment>
    <comment ref="E101" authorId="0" shapeId="0">
      <text>
        <r>
          <rPr>
            <b/>
            <sz val="9"/>
            <color indexed="81"/>
            <rFont val="Tahoma"/>
            <family val="2"/>
          </rPr>
          <t>Quantumuser:</t>
        </r>
        <r>
          <rPr>
            <sz val="9"/>
            <color indexed="81"/>
            <rFont val="Tahoma"/>
            <family val="2"/>
          </rPr>
          <t xml:space="preserve">
rev0 = 19
rev1 = 22 ROC ขอปรับเพิ่ม โดยโยกมาจากเดือน มิ.ย. เพราะเกรงว่าจะรับ 35 kt ในเดือน Jun ไม่ไหว</t>
        </r>
      </text>
    </comment>
    <comment ref="F101" authorId="0" shapeId="0">
      <text>
        <r>
          <rPr>
            <b/>
            <sz val="9"/>
            <color indexed="81"/>
            <rFont val="Tahoma"/>
            <family val="2"/>
          </rPr>
          <t>Quantumuser:</t>
        </r>
        <r>
          <rPr>
            <sz val="9"/>
            <color indexed="81"/>
            <rFont val="Tahoma"/>
            <family val="2"/>
          </rPr>
          <t xml:space="preserve">
rev0 = 35
rev1 = 32 โยกไปรับเดือน พค. ก่อน 3 KT
</t>
        </r>
      </text>
    </comment>
    <comment ref="G101" authorId="1" shapeId="0">
      <text>
        <r>
          <rPr>
            <b/>
            <sz val="9"/>
            <color indexed="81"/>
            <rFont val="Tahoma"/>
            <family val="2"/>
          </rPr>
          <t>Windows User:</t>
        </r>
        <r>
          <rPr>
            <sz val="9"/>
            <color indexed="81"/>
            <rFont val="Tahoma"/>
            <family val="2"/>
          </rPr>
          <t xml:space="preserve">
rev0 = 19 
rev1= 15 KT cause GSP3 trip</t>
        </r>
      </text>
    </comment>
    <comment ref="L101" authorId="0" shapeId="0">
      <text>
        <r>
          <rPr>
            <b/>
            <sz val="9"/>
            <color indexed="81"/>
            <rFont val="Tahoma"/>
            <family val="2"/>
          </rPr>
          <t>Quantumuser:</t>
        </r>
        <r>
          <rPr>
            <sz val="9"/>
            <color indexed="81"/>
            <rFont val="Tahoma"/>
            <family val="2"/>
          </rPr>
          <t xml:space="preserve">
rev0 = 6 KT
rev1 = 8 KT (GSP ขายเพิ่ม เพื่อ balance ถัง)
rev2 = 13 KT GSP ขายเพิ่ม 5 KT เนื่องจากลูกค้า GC, HMC, PTTAC blackout เมื่อวันที่ 23 ธ.ค. 62 จึงต้องขายเพิ่ม เพื่อรักษา inv รายวัน
</t>
        </r>
      </text>
    </comment>
    <comment ref="P101" authorId="0" shapeId="0">
      <text>
        <r>
          <rPr>
            <b/>
            <sz val="9"/>
            <color indexed="81"/>
            <rFont val="Tahoma"/>
            <family val="2"/>
          </rPr>
          <t>Quantumuser:</t>
        </r>
        <r>
          <rPr>
            <sz val="9"/>
            <color indexed="81"/>
            <rFont val="Tahoma"/>
            <family val="2"/>
          </rPr>
          <t xml:space="preserve">
roc base 12 kt
roc spot 9 kt (MOP’J -80)</t>
        </r>
      </text>
    </comment>
    <comment ref="Q101" authorId="0" shapeId="0">
      <text>
        <r>
          <rPr>
            <b/>
            <sz val="9"/>
            <color indexed="81"/>
            <rFont val="Tahoma"/>
            <family val="2"/>
          </rPr>
          <t>Quantumuser:</t>
        </r>
        <r>
          <rPr>
            <sz val="9"/>
            <color indexed="81"/>
            <rFont val="Tahoma"/>
            <family val="2"/>
          </rPr>
          <t xml:space="preserve">
MOC TA May- Jun'20
roc spot 6 kt (mop,j -80)
rev0 = 0 KT
rev1 = 6 KT GSP ขายเพิ่ม
rev2 = 0 KT โยกไป Oct'20
</t>
        </r>
      </text>
    </comment>
    <comment ref="R101" authorId="0" shapeId="0">
      <text>
        <r>
          <rPr>
            <b/>
            <sz val="9"/>
            <color indexed="81"/>
            <rFont val="Tahoma"/>
            <family val="2"/>
          </rPr>
          <t>Quantumuser:</t>
        </r>
        <r>
          <rPr>
            <sz val="9"/>
            <color indexed="81"/>
            <rFont val="Tahoma"/>
            <family val="2"/>
          </rPr>
          <t xml:space="preserve">
MOC TA May- Jun'20
</t>
        </r>
      </text>
    </comment>
    <comment ref="V101" authorId="1" shapeId="0">
      <text>
        <r>
          <rPr>
            <b/>
            <sz val="9"/>
            <color indexed="81"/>
            <rFont val="Tahoma"/>
            <family val="2"/>
          </rPr>
          <t>Windows User:</t>
        </r>
        <r>
          <rPr>
            <sz val="9"/>
            <color indexed="81"/>
            <rFont val="Tahoma"/>
            <family val="2"/>
          </rPr>
          <t xml:space="preserve">
rev0 = 33.4 
rev1 = 39.4 KT โยกมาจากเดือน May +6 KT
MOC TA</t>
        </r>
      </text>
    </comment>
    <comment ref="W101" authorId="1" shapeId="0">
      <text>
        <r>
          <rPr>
            <b/>
            <sz val="9"/>
            <color indexed="81"/>
            <rFont val="Tahoma"/>
            <family val="2"/>
          </rPr>
          <t>Windows User:</t>
        </r>
        <r>
          <rPr>
            <sz val="9"/>
            <color indexed="81"/>
            <rFont val="Tahoma"/>
            <family val="2"/>
          </rPr>
          <t xml:space="preserve">
MOC TA</t>
        </r>
      </text>
    </comment>
    <comment ref="Z101" authorId="1" shapeId="0">
      <text>
        <r>
          <rPr>
            <b/>
            <sz val="9"/>
            <color indexed="81"/>
            <rFont val="Tahoma"/>
            <family val="2"/>
          </rPr>
          <t>Windows User:</t>
        </r>
        <r>
          <rPr>
            <sz val="9"/>
            <color indexed="81"/>
            <rFont val="Tahoma"/>
            <family val="2"/>
          </rPr>
          <t xml:space="preserve">
17.6 KT เป็น Spot price : MOP'J-70</t>
        </r>
      </text>
    </comment>
    <comment ref="AB101" authorId="1" shapeId="0">
      <text>
        <r>
          <rPr>
            <b/>
            <sz val="9"/>
            <color indexed="81"/>
            <rFont val="Tahoma"/>
            <family val="2"/>
          </rPr>
          <t>Windows User:</t>
        </r>
        <r>
          <rPr>
            <sz val="9"/>
            <color indexed="81"/>
            <rFont val="Tahoma"/>
            <family val="2"/>
          </rPr>
          <t xml:space="preserve">
rev0 = 23 KT
rev1 = 27.5 KT GSP เสนอขายเพิ่มที่ 4.5 KT (MOP'J-105) เพื่อให้ลด Feed น้อยลง
rev2 = 28.1 KT SCG ขอรับเพิ่ม</t>
        </r>
      </text>
    </comment>
    <comment ref="AC101" authorId="1" shapeId="0">
      <text>
        <r>
          <rPr>
            <b/>
            <sz val="9"/>
            <color indexed="81"/>
            <rFont val="Tahoma"/>
            <family val="2"/>
          </rPr>
          <t>Windows User:</t>
        </r>
        <r>
          <rPr>
            <sz val="9"/>
            <color indexed="81"/>
            <rFont val="Tahoma"/>
            <family val="2"/>
          </rPr>
          <t xml:space="preserve">
rev0 = 12 KT
rev1 = 28 KT GSP เสนอขายเพิ่มเพือ balance inv
rev2 = 29.5 KT SCG ขอซื้อเพิ่ม +1.5 KT (MOP'J-80)
rev3 = 30.8 KT SCG ขอซื้อเพิ่ม +1.3 KT (MOP'J-80)</t>
        </r>
      </text>
    </comment>
    <comment ref="AE101" authorId="1" shapeId="0">
      <text>
        <r>
          <rPr>
            <b/>
            <sz val="9"/>
            <color indexed="81"/>
            <rFont val="Tahoma"/>
            <family val="2"/>
          </rPr>
          <t>Windows User:</t>
        </r>
        <r>
          <rPr>
            <sz val="9"/>
            <color indexed="81"/>
            <rFont val="Tahoma"/>
            <family val="2"/>
          </rPr>
          <t xml:space="preserve">
rev0 = 3 KT
rev1 = 0 KT เนื่องจาก SCG เตาเสีย ซ่อมเสร็จไม่ทัน</t>
        </r>
      </text>
    </comment>
    <comment ref="G102" authorId="0" shapeId="0">
      <text>
        <r>
          <rPr>
            <b/>
            <sz val="9"/>
            <color indexed="81"/>
            <rFont val="Tahoma"/>
            <family val="2"/>
          </rPr>
          <t xml:space="preserve">Quantumuser:
rev0  =27.8
rev1 = 24.5   HMC delay start up
</t>
        </r>
      </text>
    </comment>
    <comment ref="H102" authorId="0" shapeId="0">
      <text>
        <r>
          <rPr>
            <b/>
            <sz val="9"/>
            <color indexed="81"/>
            <rFont val="Tahoma"/>
            <family val="2"/>
          </rPr>
          <t>Quantumuser:</t>
        </r>
        <r>
          <rPr>
            <sz val="9"/>
            <color indexed="81"/>
            <rFont val="Tahoma"/>
            <family val="2"/>
          </rPr>
          <t xml:space="preserve">
rev0 = 34.1 
rev1 = 32.55 PDH have some technical problem at main compressor Aug-Sep'19 1,050 KT/day
rev2 = 28.563 HMC มีปัญหา ต้องลด load เพิ่มจาก 1,050 --&gt; 870 Ton/day
 (reduce PDH rate to 80% 10-31 Aug'19)
HMC PP Plant had an unplanned shutdown on last Sunday.  We restarted it in this morning but it had an unplanned shutdown again in this evening.
The propylene storage at PTT tank was full also.  As a result, we have to reduce PDH production in August.
rev3 = 27 KT  HMC มีปัญหา compressor
rev4 = 25 KT  HMC มีปัญหา compressor</t>
        </r>
      </text>
    </comment>
    <comment ref="I102" authorId="0" shapeId="0">
      <text>
        <r>
          <rPr>
            <b/>
            <sz val="9"/>
            <color indexed="81"/>
            <rFont val="Tahoma"/>
            <family val="2"/>
          </rPr>
          <t>Quantumuser:</t>
        </r>
        <r>
          <rPr>
            <sz val="9"/>
            <color indexed="81"/>
            <rFont val="Tahoma"/>
            <family val="2"/>
          </rPr>
          <t xml:space="preserve">
rev0 = 31.5 KT
rev1 = 27.6 KT HMC มีปัญหา compressor
rev2 = 26.737 KT HMC มีปัญหา compressor</t>
        </r>
      </text>
    </comment>
    <comment ref="J102" authorId="0" shapeId="0">
      <text>
        <r>
          <rPr>
            <b/>
            <sz val="9"/>
            <color indexed="81"/>
            <rFont val="Tahoma"/>
            <family val="2"/>
          </rPr>
          <t>Quantumuser:</t>
        </r>
        <r>
          <rPr>
            <sz val="9"/>
            <color indexed="81"/>
            <rFont val="Tahoma"/>
            <family val="2"/>
          </rPr>
          <t xml:space="preserve">
rev0 = 32.55 KT
rev1 = 33.48 KT HMC run 100% @1,080 Ton/day</t>
        </r>
      </text>
    </comment>
    <comment ref="K102" authorId="0" shapeId="0">
      <text>
        <r>
          <rPr>
            <b/>
            <sz val="9"/>
            <color indexed="81"/>
            <rFont val="Tahoma"/>
            <family val="2"/>
          </rPr>
          <t>Quantumuser:</t>
        </r>
        <r>
          <rPr>
            <sz val="9"/>
            <color indexed="81"/>
            <rFont val="Tahoma"/>
            <family val="2"/>
          </rPr>
          <t xml:space="preserve">
rev0 = 33 KT
rev1 = 32.4 KT HMC run 100% @1,080 Ton/day
rev2 = 31.632  KT HMC run 98% @1,060 Ton/day</t>
        </r>
      </text>
    </comment>
    <comment ref="L102" authorId="0" shapeId="0">
      <text>
        <r>
          <rPr>
            <b/>
            <sz val="9"/>
            <color indexed="81"/>
            <rFont val="Tahoma"/>
            <family val="2"/>
          </rPr>
          <t>Quantumuser:</t>
        </r>
        <r>
          <rPr>
            <sz val="9"/>
            <color indexed="81"/>
            <rFont val="Tahoma"/>
            <family val="2"/>
          </rPr>
          <t xml:space="preserve">
HMC has planned to receive Propane at 1,060 Ton/day (98%) 
rev0 = 32.86 
rev1 = 29 KT HMC ขอปรับลดเนื่องจาก PDH plant lost power supply and had an emergency shutdown
rev2 = 23.6 KT HMC ขอปรับลดเนื่องจาก blackout</t>
        </r>
      </text>
    </comment>
    <comment ref="M102" authorId="0" shapeId="0">
      <text>
        <r>
          <rPr>
            <b/>
            <sz val="9"/>
            <color indexed="81"/>
            <rFont val="Tahoma"/>
            <family val="2"/>
          </rPr>
          <t>Quantumuser
HMC has planned to receive Propane at 1,060 Ton/day (98%) เพื่อรักษา catalyst ใน reactor</t>
        </r>
      </text>
    </comment>
    <comment ref="N102" authorId="0" shapeId="0">
      <text>
        <r>
          <rPr>
            <b/>
            <sz val="9"/>
            <color indexed="81"/>
            <rFont val="Tahoma"/>
            <family val="2"/>
          </rPr>
          <t>Quantumuser:</t>
        </r>
        <r>
          <rPr>
            <sz val="9"/>
            <color indexed="81"/>
            <rFont val="Tahoma"/>
            <family val="2"/>
          </rPr>
          <t xml:space="preserve">
HMC has planned to receive Propane at 1,060 Ton/day (98%) เพื่อรักษา catalyst ใน reactor
 HMC แจ้งว่าพบปัญหา critical ที่ equipment (ตัวตัดเม็ด) ที่ Line 3 จึงมีความจำเป็นที่ต้องลง Line 3 พร้อม PDH เพื่อเร่งแก้ปัญหาอย่างเร่งด่วนในช่วงวันที่ 28 กพ -16 มีค 63 
(ซึ่งเป็นระยะเวลาที่เร็วที่สุดที่จะะจัดหา Spare part )
**** เป็นการขอขยับเลื่อน Turnaround เร็วขึ้นจากแผนเดิม 18 วันในเดือนมิถุนายน 63 ****
Dec'19 = 30.74 KT
Jan'20 = 28.82 เนื่องจาก HMC เลื่อน TA จากดือน มิ.ย. 63 เป็น 28Feb-16Mar 
rev0 = 28.82
rev1 = 25.4 KT เนื่องจาก HMC ESD </t>
        </r>
      </text>
    </comment>
    <comment ref="O102" authorId="0" shapeId="0">
      <text>
        <r>
          <rPr>
            <b/>
            <sz val="9"/>
            <color indexed="81"/>
            <rFont val="Tahoma"/>
            <family val="2"/>
          </rPr>
          <t xml:space="preserve">Quantumuser
Dec'19 = 32.86 KT
Jan'20 = 18.52 เนื่องจาก HMC เลื่อน TA จากดือน มิ.ย. 63 เป็น 28Feb-16Mar 
rev0 = 18.52
rev1= 16.645 KT HMC ปรับลดเนื่องจาก step  start up 
</t>
        </r>
      </text>
    </comment>
    <comment ref="P102" authorId="0" shapeId="0">
      <text>
        <r>
          <rPr>
            <b/>
            <sz val="9"/>
            <color indexed="81"/>
            <rFont val="Tahoma"/>
            <family val="2"/>
          </rPr>
          <t>Quantumuser
HMC has planned to receive Propane at 1,080 Ton/day (100%) เนื่องจากเปลี่ยน catalyst ใน reactor ใหม่แล้ว
rev0 32.4 KT
rev1 26.57 KT HMC ไม่ economic
rev2 24 KT HMC ไม่ economic</t>
        </r>
      </text>
    </comment>
    <comment ref="Q102" authorId="0" shapeId="0">
      <text>
        <r>
          <rPr>
            <b/>
            <sz val="9"/>
            <color indexed="81"/>
            <rFont val="Tahoma"/>
            <family val="2"/>
          </rPr>
          <t xml:space="preserve">Quantumuser
HMC has planned to receive Propane at 1,080 Ton/day (100%) เนื่องจากเปลี่ยน catalyst ใน reactor ใหม่แล้ว
rev0 = 24.8
rev1 = 23.184 HMC runเหลือ 75% เพราะ economic ราคาขาย propylene ไม่ ok
</t>
        </r>
      </text>
    </comment>
    <comment ref="R102" authorId="0" shapeId="0">
      <text>
        <r>
          <rPr>
            <b/>
            <sz val="9"/>
            <color indexed="81"/>
            <rFont val="Tahoma"/>
            <family val="2"/>
          </rPr>
          <t xml:space="preserve">Quantumuser
HMC has planned to receive Propane at 1,080 Ton/day (100%) เนื่องจากเปลี่ยน catalyst ใน reactor ใหม่แล้ว
nom May 24
rev0 = 27.6
rev1 = 25.8
rev2 = 24.15 HMC แจ้งปรับลดจาก economic PP plant SD
rev3 = 22.482 HMC แจ้งปรับลดจาก PP plant SD
rev4 = 23.6 HMC ขอเพิ่ม
</t>
        </r>
      </text>
    </comment>
    <comment ref="S102" authorId="0" shapeId="0">
      <text>
        <r>
          <rPr>
            <b/>
            <sz val="9"/>
            <color indexed="81"/>
            <rFont val="Tahoma"/>
            <family val="2"/>
          </rPr>
          <t xml:space="preserve">Quantumuser
rev0 =27
rev1 = 25.8
</t>
        </r>
      </text>
    </comment>
    <comment ref="U102" authorId="0" shapeId="0">
      <text>
        <r>
          <rPr>
            <b/>
            <sz val="9"/>
            <color indexed="81"/>
            <rFont val="Tahoma"/>
            <family val="2"/>
          </rPr>
          <t xml:space="preserve">rev0 = 31.8
rev1 = 30.3 </t>
        </r>
      </text>
    </comment>
    <comment ref="V102" authorId="0" shapeId="0">
      <text>
        <r>
          <rPr>
            <b/>
            <sz val="9"/>
            <color indexed="81"/>
            <rFont val="Tahoma"/>
            <family val="2"/>
          </rPr>
          <t>HMC รับลดลงเหลือ 1000 - 1040 จากแผน 1060 เนื่องจากReactor no3 has high different pressure.</t>
        </r>
      </text>
    </comment>
    <comment ref="W102" authorId="0" shapeId="0">
      <text>
        <r>
          <rPr>
            <b/>
            <sz val="9"/>
            <color indexed="81"/>
            <rFont val="Tahoma"/>
            <family val="2"/>
          </rPr>
          <t xml:space="preserve">Quantumuser
HMC has planned to receive Propane at 1,080 Ton/day (100%) เนื่องจากเปลี่ยน catalyst ใน reactor ใหม่แล้ว
</t>
        </r>
      </text>
    </comment>
    <comment ref="X102" authorId="0" shapeId="0">
      <text>
        <r>
          <rPr>
            <b/>
            <sz val="9"/>
            <color indexed="81"/>
            <rFont val="Tahoma"/>
            <family val="2"/>
          </rPr>
          <t>Quantumuser
HMC รับ 1,040 Ton/hr.
rev0 = 32.24
rev1 = 19.526 HMC เกิเหตุไฟไหม่ silo เก็บเม็ดพลาสติก
rev2 = 25.775 HMC สามารถ run 1040 (95%) ได้ตั้งแต่วันที่ 19 Dec
rev3 = 25.674 HMC ปรับแผน step up</t>
        </r>
      </text>
    </comment>
    <comment ref="Y102" authorId="1" shapeId="0">
      <text>
        <r>
          <rPr>
            <b/>
            <sz val="9"/>
            <color indexed="81"/>
            <rFont val="Tahoma"/>
            <family val="2"/>
          </rPr>
          <t>Windows User:</t>
        </r>
        <r>
          <rPr>
            <sz val="9"/>
            <color indexed="81"/>
            <rFont val="Tahoma"/>
            <family val="2"/>
          </rPr>
          <t xml:space="preserve">
HMC รับ 1,040 Ton/hr.</t>
        </r>
      </text>
    </comment>
    <comment ref="Z102" authorId="1" shapeId="0">
      <text>
        <r>
          <rPr>
            <b/>
            <sz val="9"/>
            <color indexed="81"/>
            <rFont val="Tahoma"/>
            <family val="2"/>
          </rPr>
          <t>Windows User:</t>
        </r>
        <r>
          <rPr>
            <sz val="9"/>
            <color indexed="81"/>
            <rFont val="Tahoma"/>
            <family val="2"/>
          </rPr>
          <t xml:space="preserve">
HMC รับ 1,040 Ton/hr.
rev0 = 29.12
rev1 = 28.10 plant PP shutdown ทำให้ PDH ที่รับ C3 ต้อง slowdown ตาม ลดจาก 100&gt;90%  เริ่มลดตั้งแต่ 12- 19 กพ</t>
        </r>
      </text>
    </comment>
    <comment ref="AA102" authorId="1" shapeId="0">
      <text>
        <r>
          <rPr>
            <b/>
            <sz val="9"/>
            <color indexed="81"/>
            <rFont val="Tahoma"/>
            <family val="2"/>
          </rPr>
          <t>Windows User:</t>
        </r>
        <r>
          <rPr>
            <sz val="9"/>
            <color indexed="81"/>
            <rFont val="Tahoma"/>
            <family val="2"/>
          </rPr>
          <t xml:space="preserve">
HMC รับ 1,040 Ton/day</t>
        </r>
      </text>
    </comment>
    <comment ref="AB102" authorId="1" shapeId="0">
      <text>
        <r>
          <rPr>
            <b/>
            <sz val="9"/>
            <color indexed="81"/>
            <rFont val="Tahoma"/>
            <family val="2"/>
          </rPr>
          <t>Windows User:</t>
        </r>
        <r>
          <rPr>
            <sz val="9"/>
            <color indexed="81"/>
            <rFont val="Tahoma"/>
            <family val="2"/>
          </rPr>
          <t xml:space="preserve">
rev0 = 31.2 KT 
rev1 = 30.015 KT  HMC ลดรับเนื่องจาก 14-Apr at noon, all HMC PP plant had an emergency shutdown due to loss of power and steam.
HMC PDH plant had to run slow rate until PP plant can restart.
rev2 = 29.546 KT จากไฟดับวันที่ 14 Apr HMC จะกลับมารับปกติในวันที่ 22 Apr'21
rev3 = 27.070 KT นื่องจาก ไฟฟ้าดับเมื่อวันที่ 20 Apr
rev4 = 26.143 KT นื่องจาก ไฟฟ้าดับเมื่อวันที่ 20 Apr
rev5 =24.491 KT เนื่องจาก HMC PP plant ยัง start up ไม่ได้เนื่องจากพบ polymer เต็ม reactor ทำให้ PDH plant ต้อง slowdown ลงไป 60%  จึงเริ่มลงช่วงบ่ายวันที่ 28 เม.ย.  - early May </t>
        </r>
      </text>
    </comment>
    <comment ref="AC102" authorId="1" shapeId="0">
      <text>
        <r>
          <rPr>
            <b/>
            <sz val="9"/>
            <color indexed="81"/>
            <rFont val="Tahoma"/>
            <family val="2"/>
          </rPr>
          <t>Windows User:</t>
        </r>
        <r>
          <rPr>
            <sz val="9"/>
            <color indexed="81"/>
            <rFont val="Tahoma"/>
            <family val="2"/>
          </rPr>
          <t xml:space="preserve">
rev0 = 32.24 KT
rev1 = 27.735 KT HMC PP3 plant delay start up
rev2 = 26.955 KT HMC delay full load จาก 13 พค เป็น 15 พ.ค. </t>
        </r>
      </text>
    </comment>
    <comment ref="AE102" authorId="0" shapeId="0">
      <text>
        <r>
          <rPr>
            <b/>
            <sz val="9"/>
            <color indexed="81"/>
            <rFont val="Tahoma"/>
            <family val="2"/>
          </rPr>
          <t>Quantumuser:</t>
        </r>
        <r>
          <rPr>
            <sz val="9"/>
            <color indexed="81"/>
            <rFont val="Tahoma"/>
            <family val="2"/>
          </rPr>
          <t xml:space="preserve">
rev0 = 24.5 KT ตาม BZ เนื่องจาก GSP6 TA แบ่งตามสัดส่วน
rev1 = 29.14 KT โยกมาจาก GC 
rev2 = 24.5 KT GC call volume คืน</t>
        </r>
      </text>
    </comment>
    <comment ref="AG102" authorId="1" shapeId="0">
      <text>
        <r>
          <rPr>
            <b/>
            <sz val="9"/>
            <color indexed="81"/>
            <rFont val="Tahoma"/>
            <family val="2"/>
          </rPr>
          <t>Windows User:</t>
        </r>
        <r>
          <rPr>
            <sz val="9"/>
            <color indexed="81"/>
            <rFont val="Tahoma"/>
            <family val="2"/>
          </rPr>
          <t xml:space="preserve">
HMC SD 10 days</t>
        </r>
      </text>
    </comment>
    <comment ref="AH102" authorId="0" shapeId="0">
      <text>
        <r>
          <rPr>
            <b/>
            <sz val="9"/>
            <color indexed="81"/>
            <rFont val="Tahoma"/>
            <family val="2"/>
          </rPr>
          <t>Quantumuser:</t>
        </r>
        <r>
          <rPr>
            <sz val="9"/>
            <color indexed="81"/>
            <rFont val="Tahoma"/>
            <family val="2"/>
          </rPr>
          <t xml:space="preserve">
HMC SD 30 days</t>
        </r>
      </text>
    </comment>
    <comment ref="F103" authorId="0" shapeId="0">
      <text>
        <r>
          <rPr>
            <b/>
            <sz val="9"/>
            <color indexed="81"/>
            <rFont val="Tahoma"/>
            <family val="2"/>
          </rPr>
          <t>Quantumuser:</t>
        </r>
        <r>
          <rPr>
            <sz val="9"/>
            <color indexed="81"/>
            <rFont val="Tahoma"/>
            <family val="2"/>
          </rPr>
          <t xml:space="preserve">
rev0 = 15.157 KT   PTTAC TA 9May - 12Jun (35 days)
rev1 = 12 KT   PTTAC delay start up from 12Jun to 16 Jun</t>
        </r>
      </text>
    </comment>
    <comment ref="G103" authorId="1" shapeId="0">
      <text>
        <r>
          <rPr>
            <b/>
            <sz val="9"/>
            <color indexed="81"/>
            <rFont val="Tahoma"/>
            <family val="2"/>
          </rPr>
          <t>Windows User:</t>
        </r>
        <r>
          <rPr>
            <sz val="9"/>
            <color indexed="81"/>
            <rFont val="Tahoma"/>
            <family val="2"/>
          </rPr>
          <t xml:space="preserve">
rev0 = 31.837
rev1= 30.837 KT cause GSP3 trip</t>
        </r>
      </text>
    </comment>
    <comment ref="L103" authorId="0" shapeId="0">
      <text>
        <r>
          <rPr>
            <b/>
            <sz val="9"/>
            <color indexed="81"/>
            <rFont val="Tahoma"/>
            <family val="2"/>
          </rPr>
          <t>Quantumuser:</t>
        </r>
        <r>
          <rPr>
            <sz val="9"/>
            <color indexed="81"/>
            <rFont val="Tahoma"/>
            <family val="2"/>
          </rPr>
          <t xml:space="preserve">
SAOWANI DETJAREANSRI:
PTTAC มีความสนใจรับ Propane Spot เพิ่มในช่วงเดือน พฤศจิกายน – ธันวาคม 62 ที่ 23 ตันต่อวัน หรือ 690 ตัน และ 713 ตันต่อเดือนตามลำดับ
rev = 31.129 
rev = 31.394  จัดสรรคืนปริมาณที่ต่ำกว่าแผนให้ PTTAC จากที่เดือน มี.ค. ต่ำกว่าแผน
rev0 (Nom) = 31.694  Refer to PTT GSP decreased Propane supply volume to PTTAC in Jul’19 due to the unplanned shutdown of GSP3. Therefore, the compensate volume totally 300 Ton shall be supply in Dec’19 as PTTAC requirement. 
rev0 = 31.69
rev1 = 23.6 KT PTTAC ขอปรับลด เนื่องจาก blackout</t>
        </r>
      </text>
    </comment>
    <comment ref="M103" authorId="0" shapeId="0">
      <text>
        <r>
          <rPr>
            <b/>
            <sz val="9"/>
            <color indexed="81"/>
            <rFont val="Tahoma"/>
            <family val="2"/>
          </rPr>
          <t>Quantumuser:</t>
        </r>
        <r>
          <rPr>
            <sz val="9"/>
            <color indexed="81"/>
            <rFont val="Tahoma"/>
            <family val="2"/>
          </rPr>
          <t xml:space="preserve">
rev0 = 27.982
rev1 = 17.95  KT PTTAC ขอปรับลด เนื่องจาก blackout</t>
        </r>
      </text>
    </comment>
    <comment ref="N103" authorId="1" shapeId="0">
      <text>
        <r>
          <rPr>
            <b/>
            <sz val="9"/>
            <color indexed="81"/>
            <rFont val="Tahoma"/>
            <family val="2"/>
          </rPr>
          <t>Windows User:</t>
        </r>
        <r>
          <rPr>
            <sz val="9"/>
            <color indexed="81"/>
            <rFont val="Tahoma"/>
            <family val="2"/>
          </rPr>
          <t xml:space="preserve">
rev0 = 26.179 KT
rev1 = 25.31 KT PTTAC ปรับลดเนื่องจากReactor มีปัญหา ในช่วงวันที่ 26-Feb to 12-Mar </t>
        </r>
      </text>
    </comment>
    <comment ref="O103" authorId="1" shapeId="0">
      <text>
        <r>
          <rPr>
            <b/>
            <sz val="9"/>
            <color indexed="81"/>
            <rFont val="Tahoma"/>
            <family val="2"/>
          </rPr>
          <t>Windows User:</t>
        </r>
        <r>
          <rPr>
            <sz val="9"/>
            <color indexed="81"/>
            <rFont val="Tahoma"/>
            <family val="2"/>
          </rPr>
          <t xml:space="preserve">
rev0 = 28.022 KT
rev1 = 27.61 KT PTTAC ปรับลดเนื่องจากReactor มีปัญหา ในช่วงวันที่ 26-Feb to 12-Mar 
rev2 = 26.68 KT PTTAC ปรับลดเนื่อง demand drop from covid</t>
        </r>
      </text>
    </comment>
    <comment ref="P103" authorId="1" shapeId="0">
      <text>
        <r>
          <rPr>
            <b/>
            <sz val="9"/>
            <color indexed="81"/>
            <rFont val="Tahoma"/>
            <family val="2"/>
          </rPr>
          <t>Windows User:</t>
        </r>
        <r>
          <rPr>
            <sz val="9"/>
            <color indexed="81"/>
            <rFont val="Tahoma"/>
            <family val="2"/>
          </rPr>
          <t xml:space="preserve">
rev0 = 27.118
rev1 = 20.55 PTTAC plan to S/D 1 Reactor on 1 Apr’202
</t>
        </r>
      </text>
    </comment>
    <comment ref="Q103" authorId="1" shapeId="0">
      <text>
        <r>
          <rPr>
            <b/>
            <sz val="9"/>
            <color indexed="81"/>
            <rFont val="Tahoma"/>
            <family val="2"/>
          </rPr>
          <t>Windows User:</t>
        </r>
        <r>
          <rPr>
            <sz val="9"/>
            <color indexed="81"/>
            <rFont val="Tahoma"/>
            <family val="2"/>
          </rPr>
          <t xml:space="preserve">
rev= 28.022
rev= 21.235 PTTAC plan to S/D 1 Reactor on 1 Apr’202
rev0 = 19.102
rev1 = 6.92 KT PTTAC ESD (AN Plant has been Emergency Shutdown since 5 May 2020 กลับมารับ 22 May'20)
worst = 4.596 PTTAC กลับมารับ 27 May'20</t>
        </r>
      </text>
    </comment>
    <comment ref="R103" authorId="1" shapeId="0">
      <text>
        <r>
          <rPr>
            <b/>
            <sz val="9"/>
            <color indexed="81"/>
            <rFont val="Tahoma"/>
            <family val="2"/>
          </rPr>
          <t>Windows User:</t>
        </r>
        <r>
          <rPr>
            <sz val="9"/>
            <color indexed="81"/>
            <rFont val="Tahoma"/>
            <family val="2"/>
          </rPr>
          <t xml:space="preserve">
rev0 28.032 
rev1 27.120
May
18.486 
rev0= 20 KT</t>
        </r>
      </text>
    </comment>
    <comment ref="T103" authorId="1" shapeId="0">
      <text>
        <r>
          <rPr>
            <b/>
            <sz val="9"/>
            <color indexed="81"/>
            <rFont val="Tahoma"/>
            <family val="2"/>
          </rPr>
          <t>Windows User:</t>
        </r>
        <r>
          <rPr>
            <sz val="9"/>
            <color indexed="81"/>
            <rFont val="Tahoma"/>
            <family val="2"/>
          </rPr>
          <t xml:space="preserve">
nomination Jun = 25.5
PTTAC request 26.195 KT GSP จะดูให้ ถ้า compo ดี น่าจะส่งให้ได้</t>
        </r>
      </text>
    </comment>
    <comment ref="Y103" authorId="1" shapeId="0">
      <text>
        <r>
          <rPr>
            <b/>
            <sz val="9"/>
            <color indexed="81"/>
            <rFont val="Tahoma"/>
            <family val="2"/>
          </rPr>
          <t>Windows User:</t>
        </r>
        <r>
          <rPr>
            <sz val="9"/>
            <color indexed="81"/>
            <rFont val="Tahoma"/>
            <family val="2"/>
          </rPr>
          <t xml:space="preserve">
ปรับลดจากผลกระทบ GSP5 แล้ว -8%</t>
        </r>
      </text>
    </comment>
    <comment ref="Z103" authorId="1" shapeId="0">
      <text>
        <r>
          <rPr>
            <b/>
            <sz val="9"/>
            <color indexed="81"/>
            <rFont val="Tahoma"/>
            <family val="2"/>
          </rPr>
          <t>Windows User:</t>
        </r>
        <r>
          <rPr>
            <sz val="9"/>
            <color indexed="81"/>
            <rFont val="Tahoma"/>
            <family val="2"/>
          </rPr>
          <t xml:space="preserve">
rev0 = 21.276
rev1 = 25.276 ขาย AC ด้วยราคา import parity 4 KT (CP + 80%balticM-1) +Terminal 20
</t>
        </r>
      </text>
    </comment>
    <comment ref="AB103" authorId="1" shapeId="0">
      <text>
        <r>
          <rPr>
            <b/>
            <sz val="9"/>
            <color indexed="81"/>
            <rFont val="Tahoma"/>
            <family val="2"/>
          </rPr>
          <t>Windows User:
rev0 =22.796 KT
rev1 = 19.7 KT เนื่องจาก วันที่ 20 เม.ย. ไฟฟ้าดับ</t>
        </r>
      </text>
    </comment>
    <comment ref="AC103" authorId="1" shapeId="0">
      <text>
        <r>
          <rPr>
            <b/>
            <sz val="9"/>
            <color indexed="81"/>
            <rFont val="Tahoma"/>
            <family val="2"/>
          </rPr>
          <t>Windows User:</t>
        </r>
        <r>
          <rPr>
            <sz val="9"/>
            <color indexed="81"/>
            <rFont val="Tahoma"/>
            <family val="2"/>
          </rPr>
          <t xml:space="preserve">
rev0 = 23.556 KT
rev1 = 21.5 KT เนื่องจาก วันที่ 21 เม.ย. ไฟฟ้าดับ
rev2 = 20.772 KT เนื่องจาก วันที่ 21 เม.ย. ไฟฟ้าดับ</t>
        </r>
      </text>
    </comment>
    <comment ref="AE103" authorId="0" shapeId="0">
      <text>
        <r>
          <rPr>
            <b/>
            <sz val="9"/>
            <color indexed="81"/>
            <rFont val="Tahoma"/>
            <family val="2"/>
          </rPr>
          <t>Quantumuser:</t>
        </r>
        <r>
          <rPr>
            <sz val="9"/>
            <color indexed="81"/>
            <rFont val="Tahoma"/>
            <family val="2"/>
          </rPr>
          <t xml:space="preserve">
PTTAC TA</t>
        </r>
      </text>
    </comment>
    <comment ref="AF103" authorId="0" shapeId="0">
      <text>
        <r>
          <rPr>
            <b/>
            <sz val="9"/>
            <color indexed="81"/>
            <rFont val="Tahoma"/>
            <family val="2"/>
          </rPr>
          <t>Quantumuser:</t>
        </r>
        <r>
          <rPr>
            <sz val="9"/>
            <color indexed="81"/>
            <rFont val="Tahoma"/>
            <family val="2"/>
          </rPr>
          <t xml:space="preserve">
PTTAC TA 29 Jun - 3 Aug
</t>
        </r>
      </text>
    </comment>
    <comment ref="AA104" authorId="1" shapeId="0">
      <text>
        <r>
          <rPr>
            <b/>
            <sz val="9"/>
            <color indexed="81"/>
            <rFont val="Tahoma"/>
            <family val="2"/>
          </rPr>
          <t xml:space="preserve">Windows User:
rev0 = 4 KT
rev1 = 6.5 KT </t>
        </r>
        <r>
          <rPr>
            <sz val="9"/>
            <color indexed="81"/>
            <rFont val="Tahoma"/>
            <family val="2"/>
          </rPr>
          <t xml:space="preserve">PTTAC แจ้งซื้อ Spot C3 เพิ่มขึ้น +2.5 KT
</t>
        </r>
        <r>
          <rPr>
            <b/>
            <sz val="9"/>
            <color indexed="81"/>
            <rFont val="Tahoma"/>
            <family val="2"/>
          </rPr>
          <t xml:space="preserve">rev2 = 7.5 KT  </t>
        </r>
        <r>
          <rPr>
            <sz val="9"/>
            <color indexed="81"/>
            <rFont val="Tahoma"/>
            <family val="2"/>
          </rPr>
          <t>PTTAC แจ้งซื้อ Spot C3 เพิ่มขึ้น +1 KT</t>
        </r>
      </text>
    </comment>
    <comment ref="AB104" authorId="1" shapeId="0">
      <text>
        <r>
          <rPr>
            <b/>
            <sz val="9"/>
            <color indexed="81"/>
            <rFont val="Tahoma"/>
            <family val="2"/>
          </rPr>
          <t>Windows User:</t>
        </r>
        <r>
          <rPr>
            <sz val="9"/>
            <color indexed="81"/>
            <rFont val="Tahoma"/>
            <family val="2"/>
          </rPr>
          <t xml:space="preserve">
rev0 = 7.2
rev1 = 0  KT เนื่องจาก วันที่ 21 เม.ย. ไฟฟ้าดับ</t>
        </r>
      </text>
    </comment>
    <comment ref="AC104" authorId="1" shapeId="0">
      <text>
        <r>
          <rPr>
            <b/>
            <sz val="9"/>
            <color indexed="81"/>
            <rFont val="Tahoma"/>
            <family val="2"/>
          </rPr>
          <t xml:space="preserve">Windows User:
</t>
        </r>
        <r>
          <rPr>
            <sz val="9"/>
            <color indexed="81"/>
            <rFont val="Tahoma"/>
            <family val="2"/>
          </rPr>
          <t xml:space="preserve">rev0 = 7.764
rev1 = 0  KT เนื่องจาก วันที่ 21 เม.ย. ไฟฟ้าดับ
rev2 = 2 KT  เนื่องจาก  PTTAC แจ้งว่า มีแนวโน้มขึ้นได้เร็ว 2 วัน (เดิมวันที่ 7 &gt;&gt; 5 พ.ค.แทน ) </t>
        </r>
      </text>
    </comment>
    <comment ref="U105" authorId="1" shapeId="0">
      <text>
        <r>
          <rPr>
            <b/>
            <sz val="9"/>
            <color indexed="81"/>
            <rFont val="Tahoma"/>
            <family val="2"/>
          </rPr>
          <t>Windows User:</t>
        </r>
        <r>
          <rPr>
            <sz val="9"/>
            <color indexed="81"/>
            <rFont val="Tahoma"/>
            <family val="2"/>
          </rPr>
          <t xml:space="preserve">
rev0 = 0.27
rev1 = 0.7 KT Ordemand เพิ่ม</t>
        </r>
      </text>
    </comment>
    <comment ref="I111" authorId="1" shapeId="0">
      <text>
        <r>
          <rPr>
            <b/>
            <sz val="9"/>
            <color indexed="81"/>
            <rFont val="Tahoma"/>
            <family val="2"/>
          </rPr>
          <t>Windows User:</t>
        </r>
        <r>
          <rPr>
            <sz val="9"/>
            <color indexed="81"/>
            <rFont val="Tahoma"/>
            <family val="2"/>
          </rPr>
          <t xml:space="preserve">
rev0 = 32
rev1 = 33.28 SGP ขอรับเพิ่ม 4%</t>
        </r>
      </text>
    </comment>
    <comment ref="J111" authorId="1" shapeId="0">
      <text>
        <r>
          <rPr>
            <b/>
            <sz val="9"/>
            <color indexed="81"/>
            <rFont val="Tahoma"/>
            <family val="2"/>
          </rPr>
          <t>Windows User:</t>
        </r>
        <r>
          <rPr>
            <sz val="9"/>
            <color indexed="81"/>
            <rFont val="Tahoma"/>
            <family val="2"/>
          </rPr>
          <t xml:space="preserve">
rev0 = 32
rev1 = 33.6 SGP ขอรับเพิ่ม 5%</t>
        </r>
      </text>
    </comment>
    <comment ref="K111" authorId="1" shapeId="0">
      <text>
        <r>
          <rPr>
            <b/>
            <sz val="9"/>
            <color indexed="81"/>
            <rFont val="Tahoma"/>
            <family val="2"/>
          </rPr>
          <t>Windows User:</t>
        </r>
        <r>
          <rPr>
            <sz val="9"/>
            <color indexed="81"/>
            <rFont val="Tahoma"/>
            <family val="2"/>
          </rPr>
          <t xml:space="preserve">
rev0 = 32
rev1 = 33.6 SGP ขอรับเพิ่ม 5%</t>
        </r>
      </text>
    </comment>
    <comment ref="L111" authorId="1" shapeId="0">
      <text>
        <r>
          <rPr>
            <b/>
            <sz val="9"/>
            <color indexed="81"/>
            <rFont val="Tahoma"/>
            <family val="2"/>
          </rPr>
          <t>Windows User:</t>
        </r>
        <r>
          <rPr>
            <sz val="9"/>
            <color indexed="81"/>
            <rFont val="Tahoma"/>
            <family val="2"/>
          </rPr>
          <t xml:space="preserve">
rev0 = 32
rev1 = 33.6 SGP ขอรับเพิ่ม 5%</t>
        </r>
      </text>
    </comment>
    <comment ref="I112" authorId="1" shapeId="0">
      <text>
        <r>
          <rPr>
            <b/>
            <sz val="9"/>
            <color indexed="81"/>
            <rFont val="Tahoma"/>
            <family val="2"/>
          </rPr>
          <t>Windows User:</t>
        </r>
        <r>
          <rPr>
            <sz val="9"/>
            <color indexed="81"/>
            <rFont val="Tahoma"/>
            <family val="2"/>
          </rPr>
          <t xml:space="preserve">
rev0 = 12 KT
rev1 = 12.48 KT SGP ขอรับเพิ่ม 4%</t>
        </r>
      </text>
    </comment>
    <comment ref="J112" authorId="1" shapeId="0">
      <text>
        <r>
          <rPr>
            <b/>
            <sz val="9"/>
            <color indexed="81"/>
            <rFont val="Tahoma"/>
            <family val="2"/>
          </rPr>
          <t>Windows User:</t>
        </r>
        <r>
          <rPr>
            <sz val="9"/>
            <color indexed="81"/>
            <rFont val="Tahoma"/>
            <family val="2"/>
          </rPr>
          <t xml:space="preserve">
rev0 = 12 KT
rev1 = 12.6 KT SGP ขอรับเพิ่ม 5%</t>
        </r>
      </text>
    </comment>
    <comment ref="K112" authorId="1" shapeId="0">
      <text>
        <r>
          <rPr>
            <b/>
            <sz val="9"/>
            <color indexed="81"/>
            <rFont val="Tahoma"/>
            <family val="2"/>
          </rPr>
          <t>Windows User:</t>
        </r>
        <r>
          <rPr>
            <sz val="9"/>
            <color indexed="81"/>
            <rFont val="Tahoma"/>
            <family val="2"/>
          </rPr>
          <t xml:space="preserve">
rev0 = 12 KT
rev1 = 12.6 KT SGP ขอรับเพิ่ม 5%</t>
        </r>
      </text>
    </comment>
    <comment ref="L112" authorId="1" shapeId="0">
      <text>
        <r>
          <rPr>
            <b/>
            <sz val="9"/>
            <color indexed="81"/>
            <rFont val="Tahoma"/>
            <family val="2"/>
          </rPr>
          <t>Windows User:</t>
        </r>
        <r>
          <rPr>
            <sz val="9"/>
            <color indexed="81"/>
            <rFont val="Tahoma"/>
            <family val="2"/>
          </rPr>
          <t xml:space="preserve">
rev0 = 12 KT
rev1 = 12.6 KT SGP ขอรับเพิ่ม 5%</t>
        </r>
      </text>
    </comment>
    <comment ref="J124" authorId="0" shapeId="0">
      <text>
        <r>
          <rPr>
            <b/>
            <sz val="9"/>
            <color indexed="81"/>
            <rFont val="Tahoma"/>
            <family val="2"/>
          </rPr>
          <t>Quantumuser:</t>
        </r>
        <r>
          <rPr>
            <sz val="9"/>
            <color indexed="81"/>
            <rFont val="Tahoma"/>
            <family val="2"/>
          </rPr>
          <t xml:space="preserve">
rev0 = 2
rev 1 = 1.2 KT</t>
        </r>
      </text>
    </comment>
    <comment ref="K124" authorId="0" shapeId="0">
      <text>
        <r>
          <rPr>
            <b/>
            <sz val="9"/>
            <color indexed="81"/>
            <rFont val="Tahoma"/>
            <family val="2"/>
          </rPr>
          <t>Quantumuser:</t>
        </r>
        <r>
          <rPr>
            <sz val="9"/>
            <color indexed="81"/>
            <rFont val="Tahoma"/>
            <family val="2"/>
          </rPr>
          <t xml:space="preserve">
rev0 3 KT
rev1 = 3.4 KT โยกมาจากเดือน ธค. 62 = 0.4 KT</t>
        </r>
      </text>
    </comment>
    <comment ref="L124" authorId="0" shapeId="0">
      <text>
        <r>
          <rPr>
            <b/>
            <sz val="9"/>
            <color indexed="81"/>
            <rFont val="Tahoma"/>
            <family val="2"/>
          </rPr>
          <t>Quantumuser:</t>
        </r>
        <r>
          <rPr>
            <sz val="9"/>
            <color indexed="81"/>
            <rFont val="Tahoma"/>
            <family val="2"/>
          </rPr>
          <t xml:space="preserve">
rev0 3 KT
rev1 = 2.6 KT โยกไปส่งในเดือน พย. 62 แล้ว = 0.4 KT
rev2 = 3.1 KT ตช. ขายเพิ่ม</t>
        </r>
      </text>
    </comment>
    <comment ref="J129" authorId="1" shapeId="0">
      <text>
        <r>
          <rPr>
            <b/>
            <sz val="9"/>
            <color indexed="81"/>
            <rFont val="Tahoma"/>
            <family val="2"/>
          </rPr>
          <t>Windows User:</t>
        </r>
        <r>
          <rPr>
            <sz val="9"/>
            <color indexed="81"/>
            <rFont val="Tahoma"/>
            <family val="2"/>
          </rPr>
          <t xml:space="preserve">
rev0 = 4
rev1 = 4.2</t>
        </r>
      </text>
    </comment>
    <comment ref="G135" authorId="0" shapeId="0">
      <text>
        <r>
          <rPr>
            <b/>
            <sz val="9"/>
            <color indexed="81"/>
            <rFont val="Tahoma"/>
            <family val="2"/>
          </rPr>
          <t>Quantumuser:
rev0=0
rev1=2  GC ปรับเพิ่มจาก 19 เป็น 21 KT</t>
        </r>
      </text>
    </comment>
    <comment ref="L141" authorId="1" shapeId="0">
      <text>
        <r>
          <rPr>
            <b/>
            <sz val="9"/>
            <color indexed="81"/>
            <rFont val="Tahoma"/>
            <family val="2"/>
          </rPr>
          <t xml:space="preserve">Windows User:
</t>
        </r>
        <r>
          <rPr>
            <sz val="9"/>
            <color indexed="81"/>
            <rFont val="Tahoma"/>
            <family val="2"/>
          </rPr>
          <t>rev0 = 1.8
rev1 = 2.4  ตช ขายเพิ่ม</t>
        </r>
      </text>
    </comment>
    <comment ref="J144" authorId="1" shapeId="0">
      <text>
        <r>
          <rPr>
            <b/>
            <sz val="9"/>
            <color indexed="81"/>
            <rFont val="Tahoma"/>
            <family val="2"/>
          </rPr>
          <t>Windows User:</t>
        </r>
        <r>
          <rPr>
            <sz val="9"/>
            <color indexed="81"/>
            <rFont val="Tahoma"/>
            <family val="2"/>
          </rPr>
          <t xml:space="preserve">
rev0 = 5
rev1 = 6.4</t>
        </r>
      </text>
    </comment>
    <comment ref="K144" authorId="1" shapeId="0">
      <text>
        <r>
          <rPr>
            <b/>
            <sz val="9"/>
            <color indexed="81"/>
            <rFont val="Tahoma"/>
            <family val="2"/>
          </rPr>
          <t>Windows User:</t>
        </r>
        <r>
          <rPr>
            <sz val="9"/>
            <color indexed="81"/>
            <rFont val="Tahoma"/>
            <family val="2"/>
          </rPr>
          <t xml:space="preserve">
rev0 = 5
rev1 = 6.4
rev2 = 5.6
</t>
        </r>
      </text>
    </comment>
    <comment ref="L144" authorId="1" shapeId="0">
      <text>
        <r>
          <rPr>
            <b/>
            <sz val="9"/>
            <color indexed="81"/>
            <rFont val="Tahoma"/>
            <family val="2"/>
          </rPr>
          <t>Windows User:</t>
        </r>
        <r>
          <rPr>
            <sz val="9"/>
            <color indexed="81"/>
            <rFont val="Tahoma"/>
            <family val="2"/>
          </rPr>
          <t xml:space="preserve">
rev0 = 5
rev1 = 5.7
</t>
        </r>
      </text>
    </comment>
  </commentList>
</comments>
</file>

<file path=xl/comments4.xml><?xml version="1.0" encoding="utf-8"?>
<comments xmlns="http://schemas.openxmlformats.org/spreadsheetml/2006/main">
  <authors>
    <author>SAOWANI DETJAREANSRI</author>
    <author>Quantumuser</author>
    <author>Windows User</author>
  </authors>
  <commentList>
    <comment ref="Y6" authorId="0" shapeId="0">
      <text>
        <r>
          <rPr>
            <b/>
            <sz val="9"/>
            <color indexed="81"/>
            <rFont val="Tahoma"/>
            <family val="2"/>
          </rPr>
          <t>SAOWANI DETJAREANSRI:</t>
        </r>
        <r>
          <rPr>
            <sz val="9"/>
            <color indexed="81"/>
            <rFont val="Tahoma"/>
            <family val="2"/>
          </rPr>
          <t xml:space="preserve">
rev0 = 83.3 Km3
rev1 = 85.7 Km3 เนื่องจาก stab เพิ่มขึ้นจากแผนวันละ 100 m3</t>
        </r>
      </text>
    </comment>
    <comment ref="AA6" authorId="0" shapeId="0">
      <text>
        <r>
          <rPr>
            <b/>
            <sz val="9"/>
            <color indexed="81"/>
            <rFont val="Tahoma"/>
            <family val="2"/>
          </rPr>
          <t>SAOWANI DETJAREANSRI:</t>
        </r>
        <r>
          <rPr>
            <sz val="9"/>
            <color indexed="81"/>
            <rFont val="Tahoma"/>
            <family val="2"/>
          </rPr>
          <t xml:space="preserve">
rev0 = 90.5
</t>
        </r>
      </text>
    </comment>
    <comment ref="AB6" authorId="0" shapeId="0">
      <text>
        <r>
          <rPr>
            <b/>
            <sz val="9"/>
            <color indexed="81"/>
            <rFont val="Tahoma"/>
            <family val="2"/>
          </rPr>
          <t>SAOWANI DETJAREANSRI:</t>
        </r>
        <r>
          <rPr>
            <sz val="9"/>
            <color indexed="81"/>
            <rFont val="Tahoma"/>
            <family val="2"/>
          </rPr>
          <t xml:space="preserve">
rev0 = 79.49 Km3
rev1 = 78.212 Km3  เนื่องจาก GSP6 หยุดเดินเครื่องวันที่ 6-7 ก.พ. (2วัน) เพื่อแก้ไขปัญหา Dehydration  </t>
        </r>
      </text>
    </comment>
    <comment ref="AF6" authorId="0" shapeId="0">
      <text>
        <r>
          <rPr>
            <b/>
            <sz val="9"/>
            <color indexed="81"/>
            <rFont val="Tahoma"/>
            <family val="2"/>
          </rPr>
          <t>SAOWANI DETJAREANSRI:</t>
        </r>
        <r>
          <rPr>
            <sz val="9"/>
            <color indexed="81"/>
            <rFont val="Tahoma"/>
            <family val="2"/>
          </rPr>
          <t xml:space="preserve">
rev0 = 83.37 Km3
</t>
        </r>
      </text>
    </comment>
    <comment ref="AG6" authorId="0" shapeId="0">
      <text>
        <r>
          <rPr>
            <b/>
            <sz val="9"/>
            <color indexed="81"/>
            <rFont val="Tahoma"/>
            <family val="2"/>
          </rPr>
          <t>SAOWANI DETJAREANSRI:</t>
        </r>
        <r>
          <rPr>
            <sz val="9"/>
            <color indexed="81"/>
            <rFont val="Tahoma"/>
            <family val="2"/>
          </rPr>
          <t xml:space="preserve">
rev0 = 86 Km3
rev1 = 84 Km3  GSP5 GSP6 TD ผลิตลดลง 2 km3</t>
        </r>
      </text>
    </comment>
    <comment ref="AP6" authorId="0" shapeId="0">
      <text>
        <r>
          <rPr>
            <b/>
            <sz val="9"/>
            <color indexed="81"/>
            <rFont val="Tahoma"/>
            <family val="2"/>
          </rPr>
          <t>SAOWANI DETJAREANSRI:</t>
        </r>
        <r>
          <rPr>
            <sz val="9"/>
            <color indexed="81"/>
            <rFont val="Tahoma"/>
            <family val="2"/>
          </rPr>
          <t xml:space="preserve">
Apr - May 2019 : GSP6 Shutdown 17 Days (Tentatve)</t>
        </r>
      </text>
    </comment>
    <comment ref="BF6" authorId="1" shapeId="0">
      <text>
        <r>
          <rPr>
            <b/>
            <sz val="9"/>
            <color indexed="81"/>
            <rFont val="Tahoma"/>
            <family val="2"/>
          </rPr>
          <t>Quantumuser:
rev0 = 71.59</t>
        </r>
      </text>
    </comment>
    <comment ref="BG6" authorId="2" shapeId="0">
      <text>
        <r>
          <rPr>
            <b/>
            <sz val="9"/>
            <color indexed="81"/>
            <rFont val="Tahoma"/>
            <family val="2"/>
          </rPr>
          <t>Windows User:</t>
        </r>
        <r>
          <rPr>
            <sz val="9"/>
            <color indexed="81"/>
            <rFont val="Tahoma"/>
            <family val="2"/>
          </rPr>
          <t xml:space="preserve">
ผลิตสูงขึ้นจาก stab
</t>
        </r>
      </text>
    </comment>
    <comment ref="L7" authorId="0" shapeId="0">
      <text>
        <r>
          <rPr>
            <b/>
            <sz val="9"/>
            <color indexed="81"/>
            <rFont val="Tahoma"/>
            <family val="2"/>
          </rPr>
          <t>SAOWANI DETJAREANSRI:</t>
        </r>
        <r>
          <rPr>
            <sz val="9"/>
            <color indexed="81"/>
            <rFont val="Tahoma"/>
            <family val="2"/>
          </rPr>
          <t xml:space="preserve">
rev0 = 46.5 
rev1 = 52.5</t>
        </r>
      </text>
    </comment>
    <comment ref="M7" authorId="0" shapeId="0">
      <text>
        <r>
          <rPr>
            <b/>
            <sz val="9"/>
            <color indexed="81"/>
            <rFont val="Tahoma"/>
            <family val="2"/>
          </rPr>
          <t>nom 60 Km3
rev0 = 60
rev1 = 58 เนื่องจาก Hg สูง ต้องส่งออกจึงปรับลดลูกค้า (แต่บอกลูกค้ามี condensate มาน้อย)</t>
        </r>
      </text>
    </comment>
    <comment ref="N7" authorId="0" shapeId="0">
      <text>
        <r>
          <rPr>
            <b/>
            <sz val="9"/>
            <color indexed="81"/>
            <rFont val="Tahoma"/>
            <family val="2"/>
          </rPr>
          <t>SAOWANI DETJAREANSRI:</t>
        </r>
        <r>
          <rPr>
            <sz val="9"/>
            <color indexed="81"/>
            <rFont val="Tahoma"/>
            <family val="2"/>
          </rPr>
          <t xml:space="preserve">
nom ให้ลูกค้า 60.5 km3
rev0 = 60.5
rev1 =  55.648 GSP ขอปรับลดเนื่องจาก condensate มาน้อย (แต่จิงๆ คือ พย. 59 high Hg จึงต้อง Export)</t>
        </r>
      </text>
    </comment>
    <comment ref="O7" authorId="0" shapeId="0">
      <text>
        <r>
          <rPr>
            <b/>
            <sz val="9"/>
            <color indexed="81"/>
            <rFont val="Tahoma"/>
            <family val="2"/>
          </rPr>
          <t>SAOWANI DETJAREANSRI:</t>
        </r>
        <r>
          <rPr>
            <sz val="9"/>
            <color indexed="81"/>
            <rFont val="Tahoma"/>
            <family val="2"/>
          </rPr>
          <t xml:space="preserve">
rev0 = 30.5</t>
        </r>
      </text>
    </comment>
    <comment ref="P7" authorId="0" shapeId="0">
      <text>
        <r>
          <rPr>
            <b/>
            <sz val="9"/>
            <color indexed="81"/>
            <rFont val="Tahoma"/>
            <family val="2"/>
          </rPr>
          <t>SAOWANI DETJAREANSRI:</t>
        </r>
        <r>
          <rPr>
            <sz val="9"/>
            <color indexed="81"/>
            <rFont val="Tahoma"/>
            <family val="2"/>
          </rPr>
          <t xml:space="preserve">
rev0 = 30.5
rev1 = 28.5</t>
        </r>
      </text>
    </comment>
    <comment ref="Q7" authorId="0" shapeId="0">
      <text>
        <r>
          <rPr>
            <b/>
            <sz val="9"/>
            <color indexed="81"/>
            <rFont val="Tahoma"/>
            <family val="2"/>
          </rPr>
          <t>SAOWANI DETJAREANSRI:</t>
        </r>
        <r>
          <rPr>
            <sz val="9"/>
            <color indexed="81"/>
            <rFont val="Tahoma"/>
            <family val="2"/>
          </rPr>
          <t xml:space="preserve">
rev0 = 28.549 Km3
rev1 = 30.2 Km3 เนื่องจาก Demand โรงไฟฟ้าสูง และ LNG max แล้ว ส่งผลให้มีการดึง bypass เพิ่มขึ้น condensate จึงมาสูงกว่าแผน</t>
        </r>
      </text>
    </comment>
    <comment ref="S7" authorId="0" shapeId="0">
      <text>
        <r>
          <rPr>
            <b/>
            <sz val="9"/>
            <color indexed="81"/>
            <rFont val="Tahoma"/>
            <family val="2"/>
          </rPr>
          <t>SAOWANI DETJAREANSRI:</t>
        </r>
        <r>
          <rPr>
            <sz val="9"/>
            <color indexed="81"/>
            <rFont val="Tahoma"/>
            <family val="2"/>
          </rPr>
          <t xml:space="preserve">
PTTGC I-4/1 Olefins 2/1 TA 26 พ.ค. 60 – 3 ก.ค. 60 (39 วัน)</t>
        </r>
      </text>
    </comment>
    <comment ref="T7" authorId="0" shapeId="0">
      <text>
        <r>
          <rPr>
            <b/>
            <sz val="9"/>
            <color indexed="81"/>
            <rFont val="Tahoma"/>
            <family val="2"/>
          </rPr>
          <t>SAOWANI DETJAREANSRI:</t>
        </r>
        <r>
          <rPr>
            <sz val="9"/>
            <color indexed="81"/>
            <rFont val="Tahoma"/>
            <family val="2"/>
          </rPr>
          <t xml:space="preserve">
PTTGC I-4/1 Olefins 2/1 TA 26 พ.ค. 60 – 3 ก.ค. 60 (39 วัน)</t>
        </r>
      </text>
    </comment>
    <comment ref="Y7" authorId="0" shapeId="0">
      <text>
        <r>
          <rPr>
            <b/>
            <sz val="9"/>
            <color indexed="81"/>
            <rFont val="Tahoma"/>
            <family val="2"/>
          </rPr>
          <t>SAOWANI DETJAREANSRI:</t>
        </r>
        <r>
          <rPr>
            <sz val="9"/>
            <color indexed="81"/>
            <rFont val="Tahoma"/>
            <family val="2"/>
          </rPr>
          <t xml:space="preserve">
rev0 = 27.8 Km3
rev1= 31 Km3 เนื่องจาก condensate เพิ่มขึ้น จากการ Test (14 พ.ย. 60 - 14 ม.ค. 61) สลับก๊าซจากแหล่ง จากท่อ 34" มาที่ท่อ 42"
rev2= 34 Km3 เนื่องจาก condensate เพิ่มขึ้น</t>
        </r>
      </text>
    </comment>
    <comment ref="Z7" authorId="0" shapeId="0">
      <text>
        <r>
          <rPr>
            <b/>
            <sz val="9"/>
            <color indexed="81"/>
            <rFont val="Tahoma"/>
            <family val="2"/>
          </rPr>
          <t>SAOWANI DETJAREANSRI:
rev0 = 33.174 km3 (21.5 KT)
rev1 = 35.179 km3 (22.8 KT)</t>
        </r>
      </text>
    </comment>
    <comment ref="AG7" authorId="0" shapeId="0">
      <text>
        <r>
          <rPr>
            <b/>
            <sz val="9"/>
            <color indexed="81"/>
            <rFont val="Tahoma"/>
            <family val="2"/>
          </rPr>
          <t>SAOWANI DETJAREANSRI:
rev0 = 29.32 
rev1 = 27.32 KT ปรับลด 2 km3 เนื่องจาก stab น้อย</t>
        </r>
      </text>
    </comment>
    <comment ref="AK7" authorId="0" shapeId="0">
      <text>
        <r>
          <rPr>
            <b/>
            <sz val="9"/>
            <color indexed="81"/>
            <rFont val="Tahoma"/>
            <family val="2"/>
          </rPr>
          <t>SAOWANI DETJAREANSRI:</t>
        </r>
        <r>
          <rPr>
            <sz val="9"/>
            <color indexed="81"/>
            <rFont val="Tahoma"/>
            <family val="2"/>
          </rPr>
          <t xml:space="preserve">
rev0 = 15 KT
rev1 = 19 KT ปรับคาม Inv GSP
rev2 = 22 KT (โยกจากเดือน ธ.ค. มา 3 KT)
rev3 = 23 KT GSP เสนอขายเพิ่ม 1 KT</t>
        </r>
      </text>
    </comment>
    <comment ref="AL7" authorId="0" shapeId="0">
      <text>
        <r>
          <rPr>
            <b/>
            <sz val="9"/>
            <color indexed="81"/>
            <rFont val="Tahoma"/>
            <family val="2"/>
          </rPr>
          <t>SAOWANI DETJAREANSRI:</t>
        </r>
        <r>
          <rPr>
            <sz val="9"/>
            <color indexed="81"/>
            <rFont val="Tahoma"/>
            <family val="2"/>
          </rPr>
          <t xml:space="preserve">
rev0 = 20 KT
rev1 = 17 KT (โยกไปขายเดือน พย. 3 KT)
rev2 = 18 KT GSP เสนอขายเพิ่ม
rev3 = 19.5 KT GSP เสนอขายเพิ่ม</t>
        </r>
      </text>
    </comment>
    <comment ref="AM7" authorId="0" shapeId="0">
      <text>
        <r>
          <rPr>
            <b/>
            <sz val="9"/>
            <color indexed="81"/>
            <rFont val="Tahoma"/>
            <family val="2"/>
          </rPr>
          <t>SAOWANI DETJAREANSRI:</t>
        </r>
        <r>
          <rPr>
            <sz val="9"/>
            <color indexed="81"/>
            <rFont val="Tahoma"/>
            <family val="2"/>
          </rPr>
          <t xml:space="preserve">
rev0 = 16 KT
rev1 = 12 KT GSP ตัด เนื่องจากพายุปาบึก</t>
        </r>
      </text>
    </comment>
    <comment ref="AN7" authorId="0" shapeId="0">
      <text>
        <r>
          <rPr>
            <b/>
            <sz val="9"/>
            <color indexed="81"/>
            <rFont val="Tahoma"/>
            <family val="2"/>
          </rPr>
          <t>SAOWANI DETJAREANSRI:</t>
        </r>
        <r>
          <rPr>
            <sz val="9"/>
            <color indexed="81"/>
            <rFont val="Tahoma"/>
            <family val="2"/>
          </rPr>
          <t xml:space="preserve">
rev0 = 14 KT
rev1 = 15 KT ปรับเพิ่มให้ตาม stab ที่เพิ่มขึ้น เนื่องจาก GC ช่วยปรับแผนรับ C3/LPG ลดลงในช่วงครึ่งเดือนแรกของ กพ</t>
        </r>
      </text>
    </comment>
    <comment ref="AO7" authorId="0" shapeId="0">
      <text>
        <r>
          <rPr>
            <b/>
            <sz val="9"/>
            <color indexed="81"/>
            <rFont val="Tahoma"/>
            <family val="2"/>
          </rPr>
          <t>SAOWANI DETJAREANSRI:</t>
        </r>
        <r>
          <rPr>
            <sz val="9"/>
            <color indexed="81"/>
            <rFont val="Tahoma"/>
            <family val="2"/>
          </rPr>
          <t xml:space="preserve">
rev0 = 19
rev1 = 21</t>
        </r>
      </text>
    </comment>
    <comment ref="AP7" authorId="1" shapeId="0">
      <text>
        <r>
          <rPr>
            <b/>
            <sz val="9"/>
            <color indexed="81"/>
            <rFont val="Tahoma"/>
            <family val="2"/>
          </rPr>
          <t>Quantumuser:</t>
        </r>
        <r>
          <rPr>
            <sz val="9"/>
            <color indexed="81"/>
            <rFont val="Tahoma"/>
            <family val="2"/>
          </rPr>
          <t xml:space="preserve">
rev0 = 19 KT
rev1 = 20 KT</t>
        </r>
      </text>
    </comment>
    <comment ref="AQ7" authorId="1" shapeId="0">
      <text>
        <r>
          <rPr>
            <b/>
            <sz val="9"/>
            <color indexed="81"/>
            <rFont val="Tahoma"/>
            <family val="2"/>
          </rPr>
          <t>Quantumuser:</t>
        </r>
        <r>
          <rPr>
            <sz val="9"/>
            <color indexed="81"/>
            <rFont val="Tahoma"/>
            <family val="2"/>
          </rPr>
          <t xml:space="preserve">
rev0 = 16 KT
rev1 = 17 KT</t>
        </r>
      </text>
    </comment>
    <comment ref="AS7" authorId="1" shapeId="0">
      <text>
        <r>
          <rPr>
            <b/>
            <sz val="9"/>
            <color indexed="81"/>
            <rFont val="Tahoma"/>
            <family val="2"/>
          </rPr>
          <t>Quantumuser:</t>
        </r>
        <r>
          <rPr>
            <sz val="9"/>
            <color indexed="81"/>
            <rFont val="Tahoma"/>
            <family val="2"/>
          </rPr>
          <t xml:space="preserve">
rev0 = 17 KT
</t>
        </r>
      </text>
    </comment>
    <comment ref="AT7" authorId="1" shapeId="0">
      <text>
        <r>
          <rPr>
            <b/>
            <sz val="9"/>
            <color indexed="81"/>
            <rFont val="Tahoma"/>
            <family val="2"/>
          </rPr>
          <t>Quantumuser:</t>
        </r>
        <r>
          <rPr>
            <sz val="9"/>
            <color indexed="81"/>
            <rFont val="Tahoma"/>
            <family val="2"/>
          </rPr>
          <t xml:space="preserve">
Nom @Jun = 18 KT
</t>
        </r>
      </text>
    </comment>
    <comment ref="AV7" authorId="2" shapeId="0">
      <text>
        <r>
          <rPr>
            <b/>
            <sz val="9"/>
            <color indexed="81"/>
            <rFont val="Tahoma"/>
            <family val="2"/>
          </rPr>
          <t>Windows User:</t>
        </r>
        <r>
          <rPr>
            <sz val="9"/>
            <color indexed="81"/>
            <rFont val="Tahoma"/>
            <family val="2"/>
          </rPr>
          <t xml:space="preserve">
rev0 = 18 KT
rev1 = 18.5 KT กผ. ให้แทน LPG ที่ลดลง จาก GSP5 เพิ่มจำนวนวัน TD </t>
        </r>
      </text>
    </comment>
    <comment ref="AX7" authorId="1" shapeId="0">
      <text>
        <r>
          <rPr>
            <b/>
            <sz val="9"/>
            <color indexed="81"/>
            <rFont val="Tahoma"/>
            <family val="2"/>
          </rPr>
          <t>Quantumuser:</t>
        </r>
        <r>
          <rPr>
            <sz val="9"/>
            <color indexed="81"/>
            <rFont val="Tahoma"/>
            <family val="2"/>
          </rPr>
          <t xml:space="preserve">
rev0 = 17 
rev1 = 19 GSP balance inv
rev2 = 21 GSP balance inv</t>
        </r>
      </text>
    </comment>
    <comment ref="AY7" authorId="1" shapeId="0">
      <text>
        <r>
          <rPr>
            <b/>
            <sz val="9"/>
            <color indexed="81"/>
            <rFont val="Tahoma"/>
            <family val="2"/>
          </rPr>
          <t>Quantumuser:
rev0 = 15
rev1 = 18
rev2 = 19 KT</t>
        </r>
      </text>
    </comment>
    <comment ref="AZ7" authorId="2" shapeId="0">
      <text>
        <r>
          <rPr>
            <b/>
            <sz val="9"/>
            <color indexed="81"/>
            <rFont val="Tahoma"/>
            <family val="2"/>
          </rPr>
          <t>Windows User:</t>
        </r>
        <r>
          <rPr>
            <sz val="9"/>
            <color indexed="81"/>
            <rFont val="Tahoma"/>
            <family val="2"/>
          </rPr>
          <t xml:space="preserve">
rev0 = 13.5 KT
rev1 = 12.5 KT GSP ปรับลดเนื่องจาก stab มาลดลง
rev2 = 9.8 KT เนื่องจาก GC พบปัญหากระบวนการผลิตหลังการ Start up และ Inventory สูง จึงขอหยุดการรับตั้งแต่วันที่ 22 ก.พ. เวลา 12:00 น. – 26 ก.พ. 2563
rev3 = 5 KT เนื่องจาก i4 delay start up จากเดิมวันที่ 27 กพ. 63</t>
        </r>
      </text>
    </comment>
    <comment ref="BA7" authorId="1" shapeId="0">
      <text>
        <r>
          <rPr>
            <b/>
            <sz val="9"/>
            <color indexed="81"/>
            <rFont val="Tahoma"/>
            <family val="2"/>
          </rPr>
          <t>Quantumuser:
rev0 = 22.5 KT
rev1 = 25.2 KT เนื่องจากโยก 2.7 KT มาจากเดือน ก.พ. 63</t>
        </r>
      </text>
    </comment>
    <comment ref="BB7" authorId="2" shapeId="0">
      <text>
        <r>
          <rPr>
            <b/>
            <sz val="9"/>
            <color indexed="81"/>
            <rFont val="Tahoma"/>
            <family val="2"/>
          </rPr>
          <t>Windows User:</t>
        </r>
        <r>
          <rPr>
            <sz val="9"/>
            <color indexed="81"/>
            <rFont val="Tahoma"/>
            <family val="2"/>
          </rPr>
          <t xml:space="preserve">
rev0 = 23
rev1 = 20 KT เนื่องจาก GSP ปรับลดกำลังการผลิต optimum case + ปรับเพิ่ม C3/LPG ให้พอขาย GC เพื่อชดชเย C2
rev2 = 19 KT GC แจ้งปรับลดจาก Economi
rev3 = 15 KT GC แจ้งปรับลดจาก Economi</t>
        </r>
      </text>
    </comment>
    <comment ref="BG7" authorId="2" shapeId="0">
      <text>
        <r>
          <rPr>
            <b/>
            <sz val="9"/>
            <color indexed="81"/>
            <rFont val="Tahoma"/>
            <family val="2"/>
          </rPr>
          <t>Windows User:</t>
        </r>
        <r>
          <rPr>
            <sz val="9"/>
            <color indexed="81"/>
            <rFont val="Tahoma"/>
            <family val="2"/>
          </rPr>
          <t xml:space="preserve">
rev0 = 21 KT
rev1 = 23 KT GSP เสนอเพิ่ม เพื่อ balance inv</t>
        </r>
      </text>
    </comment>
    <comment ref="BH7" authorId="2" shapeId="0">
      <text>
        <r>
          <rPr>
            <b/>
            <sz val="9"/>
            <color indexed="81"/>
            <rFont val="Tahoma"/>
            <family val="2"/>
          </rPr>
          <t>Windows User:</t>
        </r>
        <r>
          <rPr>
            <sz val="9"/>
            <color indexed="81"/>
            <rFont val="Tahoma"/>
            <family val="2"/>
          </rPr>
          <t xml:space="preserve">
rev0 = 24.5 KT
rev1 = 25.5 KT</t>
        </r>
      </text>
    </comment>
    <comment ref="BI7" authorId="2" shapeId="0">
      <text>
        <r>
          <rPr>
            <b/>
            <sz val="9"/>
            <color indexed="81"/>
            <rFont val="Tahoma"/>
            <family val="2"/>
          </rPr>
          <t>Windows User:
rev0 = 21.5 KT
rev1 = 20 KT เหตุจาก GSP5</t>
        </r>
      </text>
    </comment>
    <comment ref="BJ7" authorId="2" shapeId="0">
      <text>
        <r>
          <rPr>
            <b/>
            <sz val="9"/>
            <color indexed="81"/>
            <rFont val="Tahoma"/>
            <family val="2"/>
          </rPr>
          <t>Windows User:</t>
        </r>
        <r>
          <rPr>
            <sz val="9"/>
            <color indexed="81"/>
            <rFont val="Tahoma"/>
            <family val="2"/>
          </rPr>
          <t xml:space="preserve">
20</t>
        </r>
      </text>
    </comment>
    <comment ref="BK7" authorId="2" shapeId="0">
      <text>
        <r>
          <rPr>
            <b/>
            <sz val="9"/>
            <color indexed="81"/>
            <rFont val="Tahoma"/>
            <family val="2"/>
          </rPr>
          <t>Windows User:</t>
        </r>
        <r>
          <rPr>
            <sz val="9"/>
            <color indexed="81"/>
            <rFont val="Tahoma"/>
            <family val="2"/>
          </rPr>
          <t xml:space="preserve">
rev1 = 24.5 KT
</t>
        </r>
      </text>
    </comment>
    <comment ref="BL7" authorId="2" shapeId="0">
      <text>
        <r>
          <rPr>
            <b/>
            <sz val="9"/>
            <color indexed="81"/>
            <rFont val="Tahoma"/>
            <family val="2"/>
          </rPr>
          <t>Windows User:</t>
        </r>
        <r>
          <rPr>
            <sz val="9"/>
            <color indexed="81"/>
            <rFont val="Tahoma"/>
            <family val="2"/>
          </rPr>
          <t xml:space="preserve">
rev0 = 23 KT
rev1 = 24.5 KT GSP ปรับเพิ่ม เพื่อ balance inventory
</t>
        </r>
      </text>
    </comment>
    <comment ref="BN7" authorId="2" shapeId="0">
      <text>
        <r>
          <rPr>
            <b/>
            <sz val="9"/>
            <color indexed="81"/>
            <rFont val="Tahoma"/>
            <family val="2"/>
          </rPr>
          <t>Windows User:</t>
        </r>
        <r>
          <rPr>
            <sz val="9"/>
            <color indexed="81"/>
            <rFont val="Tahoma"/>
            <family val="2"/>
          </rPr>
          <t xml:space="preserve">
rev0 = 22.5 KT
rev1 = 20.5 KT GC ขอรับเท่า rev0 เนื่องจาก inv LN high
</t>
        </r>
      </text>
    </comment>
    <comment ref="BO7" authorId="2" shapeId="0">
      <text>
        <r>
          <rPr>
            <b/>
            <sz val="9"/>
            <color indexed="81"/>
            <rFont val="Tahoma"/>
            <family val="2"/>
          </rPr>
          <t>Windows User:</t>
        </r>
        <r>
          <rPr>
            <sz val="9"/>
            <color indexed="81"/>
            <rFont val="Tahoma"/>
            <family val="2"/>
          </rPr>
          <t xml:space="preserve">
rev0 = 27.5 KT
rev1 = 26.5 KT
rev2 = 26 KT</t>
        </r>
      </text>
    </comment>
    <comment ref="CH7" authorId="2" shapeId="0">
      <text>
        <r>
          <rPr>
            <b/>
            <sz val="9"/>
            <color indexed="81"/>
            <rFont val="Tahoma"/>
            <family val="2"/>
          </rPr>
          <t>Windows User:</t>
        </r>
        <r>
          <rPr>
            <sz val="9"/>
            <color indexed="81"/>
            <rFont val="Tahoma"/>
            <family val="2"/>
          </rPr>
          <t xml:space="preserve">
สัญญา &gt; 250 KT</t>
        </r>
      </text>
    </comment>
    <comment ref="I8" authorId="0" shapeId="0">
      <text>
        <r>
          <rPr>
            <b/>
            <sz val="9"/>
            <color indexed="81"/>
            <rFont val="Tahoma"/>
            <family val="2"/>
          </rPr>
          <t>SAOWANI DETJAREANSRI:
30 GSP เสนอเป็น 33 (มิย กด ให้ 33 33 รวมเพิ่ม 6 Km3)
33 ลดเป็น 32 เพราะให้ก่อนแล้วในเดือน พค 1 Km3 แต่หากมีของจะให้เพิ่มขึ้นจาก 32 เป็นเท่าไหร่ขอดูการผลิตก่อน</t>
        </r>
      </text>
    </comment>
    <comment ref="L8" authorId="0" shapeId="0">
      <text>
        <r>
          <rPr>
            <sz val="9"/>
            <color indexed="81"/>
            <rFont val="Tahoma"/>
            <family val="2"/>
          </rPr>
          <t xml:space="preserve">ทำ nom ให้ลูกค้า 30 Km3
</t>
        </r>
      </text>
    </comment>
    <comment ref="M8" authorId="0" shapeId="0">
      <text>
        <r>
          <rPr>
            <sz val="9"/>
            <color indexed="81"/>
            <rFont val="Tahoma"/>
            <family val="2"/>
          </rPr>
          <t>ROC T/A : 4 พ.ย. 59 – 13 ธ.ค. 59</t>
        </r>
      </text>
    </comment>
    <comment ref="N8" authorId="0" shapeId="0">
      <text>
        <r>
          <rPr>
            <sz val="9"/>
            <color indexed="81"/>
            <rFont val="Tahoma"/>
            <family val="2"/>
          </rPr>
          <t>ROC T/A : 4 พ.ย. 59 – 13 ธ.ค. 59
rev0 = 31.514
rev1 = 29.11  GSP ขอปรับลดเนื่องจาก condensate มาน้อย (แต่จิงๆ คือ พย. 59 high Hg จึงต้อง Export)</t>
        </r>
      </text>
    </comment>
    <comment ref="Q8" authorId="0" shapeId="0">
      <text>
        <r>
          <rPr>
            <b/>
            <sz val="9"/>
            <color indexed="81"/>
            <rFont val="Tahoma"/>
            <family val="2"/>
          </rPr>
          <t>SAOWANI DETJAREANSRI:</t>
        </r>
        <r>
          <rPr>
            <sz val="9"/>
            <color indexed="81"/>
            <rFont val="Tahoma"/>
            <family val="2"/>
          </rPr>
          <t xml:space="preserve">
rev0 = 53 Km3
rev1 = 53.8 Km3 เนื่องจาก Demand โรงไฟฟ้าสูง และ LNG max แล้ว ส่งผลให้มีการดึง bypass เพิ่มขึ้น condensate จึงมาสูงกว่าแผน</t>
        </r>
      </text>
    </comment>
    <comment ref="V8" authorId="0" shapeId="0">
      <text>
        <r>
          <rPr>
            <b/>
            <sz val="9"/>
            <color indexed="81"/>
            <rFont val="Tahoma"/>
            <family val="2"/>
          </rPr>
          <t>SAOWANI DETJAREANSRI:</t>
        </r>
        <r>
          <rPr>
            <sz val="9"/>
            <color indexed="81"/>
            <rFont val="Tahoma"/>
            <family val="2"/>
          </rPr>
          <t xml:space="preserve">
rev0 = 56 KT
rev1 = 55 KT GSP ขอลด  เนื่องจากช่วงวันแม่ GSP ลด feed และจะ compensate ให้ใน Sep'17)</t>
        </r>
      </text>
    </comment>
    <comment ref="W8" authorId="0" shapeId="0">
      <text>
        <r>
          <rPr>
            <b/>
            <sz val="9"/>
            <color indexed="81"/>
            <rFont val="Tahoma"/>
            <family val="2"/>
          </rPr>
          <t xml:space="preserve">SAOWANI DETJAREANSRI:
rev 0 = 53 (nom plan)
rev1 = 54 (compensate 1 Km3 จากที่เดือน ส.ค. 60 GSP ขอลดไป เนื่องจากช่วงวันแม่ GSP ลด feed)
 </t>
        </r>
      </text>
    </comment>
    <comment ref="Z8" authorId="0" shapeId="0">
      <text>
        <r>
          <rPr>
            <b/>
            <sz val="9"/>
            <color indexed="81"/>
            <rFont val="Tahoma"/>
            <family val="2"/>
          </rPr>
          <t>SAOWANI DETJAREANSRI:</t>
        </r>
        <r>
          <rPr>
            <sz val="9"/>
            <color indexed="81"/>
            <rFont val="Tahoma"/>
            <family val="2"/>
          </rPr>
          <t xml:space="preserve">
ROC ไม่อยากให้เกิน max meter ที่ prove ไว้ 48 T/hr</t>
        </r>
      </text>
    </comment>
    <comment ref="AM8" authorId="0" shapeId="0">
      <text>
        <r>
          <rPr>
            <b/>
            <sz val="9"/>
            <color indexed="81"/>
            <rFont val="Tahoma"/>
            <family val="2"/>
          </rPr>
          <t>SAOWANI DETJAREANSRI:</t>
        </r>
        <r>
          <rPr>
            <sz val="9"/>
            <color indexed="81"/>
            <rFont val="Tahoma"/>
            <family val="2"/>
          </rPr>
          <t xml:space="preserve">
rev0 = 55 km3
</t>
        </r>
      </text>
    </comment>
    <comment ref="AO8" authorId="0" shapeId="0">
      <text>
        <r>
          <rPr>
            <b/>
            <sz val="9"/>
            <color indexed="81"/>
            <rFont val="Tahoma"/>
            <family val="2"/>
          </rPr>
          <t>SAOWANI DETJAREANSRI:</t>
        </r>
        <r>
          <rPr>
            <sz val="9"/>
            <color indexed="81"/>
            <rFont val="Tahoma"/>
            <family val="2"/>
          </rPr>
          <t xml:space="preserve">
rev0 = 54 Km3
rev1 = 55 Km3 เพื่อ balance inv GSP</t>
        </r>
      </text>
    </comment>
    <comment ref="AU8" authorId="1" shapeId="0">
      <text>
        <r>
          <rPr>
            <b/>
            <sz val="9"/>
            <color indexed="81"/>
            <rFont val="Tahoma"/>
            <family val="2"/>
          </rPr>
          <t>Quantumuser
Rev0 = 53 Km3
Rev1 = 51.5 Km3 เนื่องจาก GSP RY วันที่ 10 ก.ย. 62 มีงาน overhaul valve NGL เนื่องจากมี วาล์ลติดขัดเลยจะทำการเปลี่ยน ส่งผลให้ต้องหยุดส่งลูกค้า 2 เจ้า 1 วัน
ROC. ไม่สามารถจ่ายคืนได้เพราะ max meter  แจ้งลูกค้ารับทราบแล้ว ทำให้ vol เดือนอยู่ 51.5 km3.</t>
        </r>
      </text>
    </comment>
    <comment ref="AY8" authorId="1" shapeId="0">
      <text>
        <r>
          <rPr>
            <b/>
            <sz val="9"/>
            <color indexed="81"/>
            <rFont val="Tahoma"/>
            <family val="2"/>
          </rPr>
          <t>Quantumuser:</t>
        </r>
        <r>
          <rPr>
            <sz val="9"/>
            <color indexed="81"/>
            <rFont val="Tahoma"/>
            <family val="2"/>
          </rPr>
          <t xml:space="preserve">
rev0 = 53 km3
rev1 = 55 km3</t>
        </r>
      </text>
    </comment>
    <comment ref="BC8" authorId="2" shapeId="0">
      <text>
        <r>
          <rPr>
            <b/>
            <sz val="9"/>
            <color indexed="81"/>
            <rFont val="Tahoma"/>
            <family val="2"/>
          </rPr>
          <t>Windows User:</t>
        </r>
        <r>
          <rPr>
            <sz val="9"/>
            <color indexed="81"/>
            <rFont val="Tahoma"/>
            <family val="2"/>
          </rPr>
          <t xml:space="preserve">
rev0 = 43.6 Km3
</t>
        </r>
      </text>
    </comment>
    <comment ref="BD8" authorId="2" shapeId="0">
      <text>
        <r>
          <rPr>
            <b/>
            <sz val="9"/>
            <color indexed="81"/>
            <rFont val="Tahoma"/>
            <family val="2"/>
          </rPr>
          <t>Windows User:</t>
        </r>
        <r>
          <rPr>
            <sz val="9"/>
            <color indexed="81"/>
            <rFont val="Tahoma"/>
            <family val="2"/>
          </rPr>
          <t xml:space="preserve">
53.3 Km3 (Spot MOP'J - 34.5)</t>
        </r>
      </text>
    </comment>
    <comment ref="BE8" authorId="2" shapeId="0">
      <text>
        <r>
          <rPr>
            <b/>
            <sz val="9"/>
            <color indexed="81"/>
            <rFont val="Tahoma"/>
            <family val="2"/>
          </rPr>
          <t>Windows User:</t>
        </r>
        <r>
          <rPr>
            <sz val="9"/>
            <color indexed="81"/>
            <rFont val="Tahoma"/>
            <family val="2"/>
          </rPr>
          <t xml:space="preserve">
rev0 = 55 Km3 (30 Km3 normal price + 25 Km3 Spot MOP'J - 30)
rev1 = 58.858 Km3 (30 Km3 normal price + 30 up  Km3 Spot MOP'J - 30)</t>
        </r>
      </text>
    </comment>
    <comment ref="BI8" authorId="2" shapeId="0">
      <text>
        <r>
          <rPr>
            <b/>
            <sz val="9"/>
            <color indexed="81"/>
            <rFont val="Tahoma"/>
            <family val="2"/>
          </rPr>
          <t>Windows User:</t>
        </r>
        <r>
          <rPr>
            <sz val="9"/>
            <color indexed="81"/>
            <rFont val="Tahoma"/>
            <family val="2"/>
          </rPr>
          <t xml:space="preserve">
rev0 = 42.22 Km3
rev1 = 40 Km3
</t>
        </r>
      </text>
    </comment>
    <comment ref="BJ8" authorId="2" shapeId="0">
      <text>
        <r>
          <rPr>
            <b/>
            <sz val="9"/>
            <color indexed="81"/>
            <rFont val="Tahoma"/>
            <family val="2"/>
          </rPr>
          <t>Windows User:</t>
        </r>
        <r>
          <rPr>
            <sz val="9"/>
            <color indexed="81"/>
            <rFont val="Tahoma"/>
            <family val="2"/>
          </rPr>
          <t xml:space="preserve">
rev0 = 40.6 Km3
rev1 = 42.6 Km3 SCG ขอเพิ่ม</t>
        </r>
      </text>
    </comment>
    <comment ref="BK8" authorId="2" shapeId="0">
      <text>
        <r>
          <rPr>
            <b/>
            <sz val="9"/>
            <color indexed="81"/>
            <rFont val="Tahoma"/>
            <family val="2"/>
          </rPr>
          <t xml:space="preserve">Windows User:rev1
rev 1 = 45 Km3
</t>
        </r>
      </text>
    </comment>
    <comment ref="K10" authorId="0" shapeId="0">
      <text>
        <r>
          <rPr>
            <b/>
            <sz val="9"/>
            <color indexed="81"/>
            <rFont val="Tahoma"/>
            <family val="2"/>
          </rPr>
          <t>SAOWANI DETJAREANSRI:</t>
        </r>
        <r>
          <rPr>
            <sz val="9"/>
            <color indexed="81"/>
            <rFont val="Tahoma"/>
            <family val="2"/>
          </rPr>
          <t xml:space="preserve">
confirm Trading week ที่ 2-3 อาจจะออก ต.ค. ให้แจ้ง Trading ออก ต.ค. 59 แต่อาจจะเลื่อนเป็น ปลาย กย ถ้าของทะลัก</t>
        </r>
      </text>
    </comment>
    <comment ref="U10" authorId="0" shapeId="0">
      <text>
        <r>
          <rPr>
            <b/>
            <sz val="9"/>
            <color indexed="81"/>
            <rFont val="Tahoma"/>
            <family val="2"/>
          </rPr>
          <t>SAOWANI DETJAREANSRI:</t>
        </r>
        <r>
          <rPr>
            <sz val="9"/>
            <color indexed="81"/>
            <rFont val="Tahoma"/>
            <family val="2"/>
          </rPr>
          <t xml:space="preserve">
ออก MT 1 ลำ : 2,400 m3 (ของส่งมาเก็บที่ MT ตั้งแต่ Jun'17)</t>
        </r>
      </text>
    </comment>
    <comment ref="Z10" authorId="0" shapeId="0">
      <text>
        <r>
          <rPr>
            <b/>
            <sz val="9"/>
            <color indexed="81"/>
            <rFont val="Tahoma"/>
            <family val="2"/>
          </rPr>
          <t>SAOWANI DETJAREANSRI:</t>
        </r>
        <r>
          <rPr>
            <sz val="9"/>
            <color indexed="81"/>
            <rFont val="Tahoma"/>
            <family val="2"/>
          </rPr>
          <t xml:space="preserve">
Laycan 27-29 Nov'17 Dekay จาก Voyage ก่อนหน้า</t>
        </r>
      </text>
    </comment>
    <comment ref="AE10" authorId="0" shapeId="0">
      <text>
        <r>
          <rPr>
            <b/>
            <sz val="9"/>
            <color indexed="81"/>
            <rFont val="Tahoma"/>
            <family val="2"/>
          </rPr>
          <t>SAOWANI DETJAREANSRI:</t>
        </r>
        <r>
          <rPr>
            <sz val="9"/>
            <color indexed="81"/>
            <rFont val="Tahoma"/>
            <family val="2"/>
          </rPr>
          <t xml:space="preserve">
***เลื่อน 
1,800 m3
Laycan 28-30 May 2018
@MT
ของมีอยู่แล้วที่ MT 2,300 m3 หัก dead stock 700 m3 เหลือ 1,550 m3 ดังนั้น GSP จึงส่ง NGL ไปเพิ่ม 780 m3 เพื่อให้พอออก 1,800 m3</t>
        </r>
      </text>
    </comment>
    <comment ref="AG10" authorId="0" shapeId="0">
      <text>
        <r>
          <rPr>
            <b/>
            <sz val="9"/>
            <color indexed="81"/>
            <rFont val="Tahoma"/>
            <family val="2"/>
          </rPr>
          <t>SAOWANI DETJAREANSRI:</t>
        </r>
        <r>
          <rPr>
            <sz val="9"/>
            <color indexed="81"/>
            <rFont val="Tahoma"/>
            <family val="2"/>
          </rPr>
          <t xml:space="preserve">
20-22 July 18
PTT TANK</t>
        </r>
      </text>
    </comment>
    <comment ref="AI10" authorId="0" shapeId="0">
      <text>
        <r>
          <rPr>
            <b/>
            <sz val="9"/>
            <color indexed="81"/>
            <rFont val="Tahoma"/>
            <family val="2"/>
          </rPr>
          <t>SAOWANI DETJAREANSRI:</t>
        </r>
        <r>
          <rPr>
            <sz val="9"/>
            <color indexed="81"/>
            <rFont val="Tahoma"/>
            <family val="2"/>
          </rPr>
          <t xml:space="preserve">
PTT TANK</t>
        </r>
      </text>
    </comment>
    <comment ref="AJ10" authorId="0" shapeId="0">
      <text>
        <r>
          <rPr>
            <b/>
            <sz val="9"/>
            <color indexed="81"/>
            <rFont val="Tahoma"/>
            <family val="2"/>
          </rPr>
          <t>SAOWANI DETJAREANSRI:</t>
        </r>
        <r>
          <rPr>
            <sz val="9"/>
            <color indexed="81"/>
            <rFont val="Tahoma"/>
            <family val="2"/>
          </rPr>
          <t xml:space="preserve">
PTT TANK</t>
        </r>
      </text>
    </comment>
    <comment ref="AZ10" authorId="1" shapeId="0">
      <text>
        <r>
          <rPr>
            <b/>
            <sz val="9"/>
            <color indexed="81"/>
            <rFont val="Tahoma"/>
            <family val="2"/>
          </rPr>
          <t xml:space="preserve">Quantumuser:
rev 0 = 1.9 Km3
rev1 = 0.5 Km3 cancel
</t>
        </r>
      </text>
    </comment>
    <comment ref="BJ10" authorId="2" shapeId="0">
      <text>
        <r>
          <rPr>
            <b/>
            <sz val="9"/>
            <color indexed="81"/>
            <rFont val="Tahoma"/>
            <family val="2"/>
          </rPr>
          <t>Windows User:</t>
        </r>
        <r>
          <rPr>
            <sz val="9"/>
            <color indexed="81"/>
            <rFont val="Tahoma"/>
            <family val="2"/>
          </rPr>
          <t xml:space="preserve">
NGL Export @MT = 1.8 Km3 clear ของ MT</t>
        </r>
      </text>
    </comment>
    <comment ref="BK10" authorId="2" shapeId="0">
      <text>
        <r>
          <rPr>
            <b/>
            <sz val="9"/>
            <color indexed="81"/>
            <rFont val="Tahoma"/>
            <family val="2"/>
          </rPr>
          <t>Windows User:</t>
        </r>
        <r>
          <rPr>
            <sz val="9"/>
            <color indexed="81"/>
            <rFont val="Tahoma"/>
            <family val="2"/>
          </rPr>
          <t xml:space="preserve">
ส่งออก NGL to TBU 3-5 Feb
</t>
        </r>
      </text>
    </comment>
    <comment ref="AX12" authorId="2" shapeId="0">
      <text>
        <r>
          <rPr>
            <b/>
            <sz val="9"/>
            <color indexed="81"/>
            <rFont val="Tahoma"/>
            <family val="2"/>
          </rPr>
          <t>Windows User:</t>
        </r>
        <r>
          <rPr>
            <sz val="9"/>
            <color indexed="81"/>
            <rFont val="Tahoma"/>
            <family val="2"/>
          </rPr>
          <t xml:space="preserve">
ห้ามเกิน 47%</t>
        </r>
      </text>
    </comment>
    <comment ref="AY12" authorId="1" shapeId="0">
      <text>
        <r>
          <rPr>
            <b/>
            <sz val="9"/>
            <color indexed="81"/>
            <rFont val="Tahoma"/>
            <family val="2"/>
          </rPr>
          <t>Quantumuser:</t>
        </r>
        <r>
          <rPr>
            <sz val="9"/>
            <color indexed="81"/>
            <rFont val="Tahoma"/>
            <family val="2"/>
          </rPr>
          <t xml:space="preserve">
ไม่ควรปิดสูงกว่า 35%</t>
        </r>
      </text>
    </comment>
  </commentList>
</comments>
</file>

<file path=xl/sharedStrings.xml><?xml version="1.0" encoding="utf-8"?>
<sst xmlns="http://schemas.openxmlformats.org/spreadsheetml/2006/main" count="609" uniqueCount="223">
  <si>
    <t>GC</t>
  </si>
  <si>
    <t>SPRC</t>
  </si>
  <si>
    <t>PTTEP (LKB)</t>
  </si>
  <si>
    <t>GSP RY</t>
  </si>
  <si>
    <t>Supply</t>
  </si>
  <si>
    <t>GSP KHM</t>
  </si>
  <si>
    <t>Demand</t>
  </si>
  <si>
    <t>Source</t>
  </si>
  <si>
    <t>Petro</t>
  </si>
  <si>
    <t>M.7</t>
  </si>
  <si>
    <t>Delivery Point</t>
  </si>
  <si>
    <t>GC (C3/LPG)</t>
  </si>
  <si>
    <t>HMC (C3)</t>
  </si>
  <si>
    <t>PTTAC (C3)</t>
  </si>
  <si>
    <t>MT</t>
  </si>
  <si>
    <t>SGP</t>
  </si>
  <si>
    <t>UGP</t>
  </si>
  <si>
    <t>BCP</t>
  </si>
  <si>
    <t>Big gas</t>
  </si>
  <si>
    <t>PTT TANK</t>
  </si>
  <si>
    <t>PTTOR</t>
  </si>
  <si>
    <t xml:space="preserve">BRP </t>
  </si>
  <si>
    <t>PTT TANK (Truck)</t>
  </si>
  <si>
    <t>PAP</t>
  </si>
  <si>
    <t>WP</t>
  </si>
  <si>
    <t xml:space="preserve">SPRC </t>
  </si>
  <si>
    <t>PTTEP/LKB (Truck)</t>
  </si>
  <si>
    <t xml:space="preserve">PTTEP/LKB </t>
  </si>
  <si>
    <t>IRPC</t>
  </si>
  <si>
    <t>ESSO</t>
  </si>
  <si>
    <t>Customer</t>
  </si>
  <si>
    <t>Total Supply</t>
  </si>
  <si>
    <t>Supply Source</t>
  </si>
  <si>
    <t>Updated</t>
  </si>
  <si>
    <t>Old</t>
  </si>
  <si>
    <t>Lastest</t>
  </si>
  <si>
    <t>Demand Petro</t>
  </si>
  <si>
    <t>Petro M.7</t>
  </si>
  <si>
    <t>Petro Non M.7</t>
  </si>
  <si>
    <t>GC+ROC</t>
  </si>
  <si>
    <t>HMC+PTTAC</t>
  </si>
  <si>
    <t>% Inventory</t>
  </si>
  <si>
    <t>Diff</t>
  </si>
  <si>
    <t>KT</t>
  </si>
  <si>
    <t>TON</t>
  </si>
  <si>
    <t>%</t>
  </si>
  <si>
    <t>Import</t>
  </si>
  <si>
    <t>รอจำหน่าย</t>
  </si>
  <si>
    <t>Total Demand</t>
  </si>
  <si>
    <t>PTTOR (C3)</t>
  </si>
  <si>
    <t>ดึง Unknow untax</t>
  </si>
  <si>
    <t>UNO</t>
  </si>
  <si>
    <t>NGL (km3)</t>
  </si>
  <si>
    <t>Km3</t>
  </si>
  <si>
    <t>Supply (IN)</t>
  </si>
  <si>
    <t>Demand (OUT)</t>
  </si>
  <si>
    <t xml:space="preserve">PTTGC (km3) </t>
  </si>
  <si>
    <t>Export RY</t>
  </si>
  <si>
    <t>-</t>
  </si>
  <si>
    <t>Inventory</t>
  </si>
  <si>
    <t>End Inventory (m3)</t>
  </si>
  <si>
    <t>End Inventory (%)</t>
  </si>
  <si>
    <t>ROC 2019 ต้องมากกว่า 600 Km3 เพื่อความพึงพอใจของลูกค้า</t>
  </si>
  <si>
    <t>Surplus/Deficit</t>
  </si>
  <si>
    <t>Total Petro</t>
  </si>
  <si>
    <t>Non M.7</t>
  </si>
  <si>
    <t>PTTGC (kTON)</t>
  </si>
  <si>
    <t>ROC</t>
  </si>
  <si>
    <t>NGL 2019</t>
  </si>
  <si>
    <t>MOP'J-15.5</t>
  </si>
  <si>
    <t>MOP'J-12</t>
  </si>
  <si>
    <t>นับ GC 200 KT</t>
  </si>
  <si>
    <t>Unit</t>
  </si>
  <si>
    <t>10-15 KT</t>
  </si>
  <si>
    <t>ดึง Import จ่ายเพิ่ม</t>
  </si>
  <si>
    <t>Import จ่ายแทน GSP</t>
  </si>
  <si>
    <t>8-12 KT</t>
  </si>
  <si>
    <t>Ability 11 rev0</t>
  </si>
  <si>
    <t>Ability 11 rev0 (stab 600)</t>
  </si>
  <si>
    <t>Orchid</t>
  </si>
  <si>
    <t>(LPG GSP to MT,BRP)-GC-import</t>
  </si>
  <si>
    <t>LPG limit @MT/BRP 184 KT</t>
  </si>
  <si>
    <t>เพื่อดูไฟล์ Daily LPG GSP to MT/BRP/PTT TANK</t>
  </si>
  <si>
    <t>เพื่อดู Limit max cap ท่อ</t>
  </si>
  <si>
    <t>PTTOR (LPG ไม่มีกลิ่น)</t>
  </si>
  <si>
    <t>เพื่อใส่ใน New balance</t>
  </si>
  <si>
    <t>เพื่อดู การเสนอราคา import to PTTOR</t>
  </si>
  <si>
    <t>Import Cargo</t>
  </si>
  <si>
    <t>MT+BRP</t>
  </si>
  <si>
    <t xml:space="preserve">Supply </t>
  </si>
  <si>
    <t>GSP RY Production</t>
  </si>
  <si>
    <t>GC Production</t>
  </si>
  <si>
    <t>แผนขาย Petro</t>
  </si>
  <si>
    <t>จ่าย Domestic</t>
  </si>
  <si>
    <t>- PTT Tank</t>
  </si>
  <si>
    <t>- MT&amp;BRP (Vary)</t>
  </si>
  <si>
    <t>- GSP RY</t>
  </si>
  <si>
    <t>รอขายเพิ่ม</t>
  </si>
  <si>
    <t>GSP RY Ending Inventory</t>
  </si>
  <si>
    <t>MT&amp;BRP</t>
  </si>
  <si>
    <t>GSP</t>
  </si>
  <si>
    <t xml:space="preserve">- GSP ดึงจ่าย import </t>
  </si>
  <si>
    <t>- Re-Export</t>
  </si>
  <si>
    <t xml:space="preserve">Domestic </t>
  </si>
  <si>
    <t>Re-Export</t>
  </si>
  <si>
    <t>- TBU ดึง Import ขาย Re-Export</t>
  </si>
  <si>
    <t>- GSP ดึง Import ขาย Re-Export (Vessel)</t>
  </si>
  <si>
    <t>- GSP ดึง Import ขาย Re-Export (Truck)</t>
  </si>
  <si>
    <t>BRP Ending Inventory</t>
  </si>
  <si>
    <t>Total LR (GSP RY+MT+BRP)</t>
  </si>
  <si>
    <t>Stock (GSP RY+MT+BRP)</t>
  </si>
  <si>
    <t xml:space="preserve">LR by Legal </t>
  </si>
  <si>
    <t>LR by Internal Control</t>
  </si>
  <si>
    <t>MT-Sphere Ending Inventory</t>
  </si>
  <si>
    <t>MT-C3 Refig Ending Inventory</t>
  </si>
  <si>
    <t>MT-C4 Refig Ending Inventory</t>
  </si>
  <si>
    <t>MT-C3 Refig Ending Inventory (LIFE)</t>
  </si>
  <si>
    <t>MT-C4 Refig Ending Inventory (LIFE)</t>
  </si>
  <si>
    <t>SCG</t>
  </si>
  <si>
    <t>MOP'J-12.5</t>
  </si>
  <si>
    <t>NGL 2020</t>
  </si>
  <si>
    <t>LPG GSP RY + KHM (156 + 5%) 161 KT</t>
  </si>
  <si>
    <t>GC (C3)</t>
  </si>
  <si>
    <t>SCG (C3)</t>
  </si>
  <si>
    <t>SCG/ROC (LPG)</t>
  </si>
  <si>
    <t>SUM</t>
  </si>
  <si>
    <t>Balance C3</t>
  </si>
  <si>
    <t>Balance LPG</t>
  </si>
  <si>
    <t>Balance C3/LPG</t>
  </si>
  <si>
    <t>C3 End Inventory</t>
  </si>
  <si>
    <t>LPG End Inventory</t>
  </si>
  <si>
    <t>C3/LPG End Inventory</t>
  </si>
  <si>
    <t>C3/LPG GSP RY</t>
  </si>
  <si>
    <t>C3 GSP RY</t>
  </si>
  <si>
    <t>LPG GSP RY</t>
  </si>
  <si>
    <t>% C3/LPG Inventory</t>
  </si>
  <si>
    <t xml:space="preserve">Balance C3 (Directly) --&gt; (-) ผลิตน้อยกว่าขาย </t>
  </si>
  <si>
    <t>Check</t>
  </si>
  <si>
    <t>GC (LPG)</t>
  </si>
  <si>
    <t>จำนวนวัน</t>
  </si>
  <si>
    <t>All Source</t>
  </si>
  <si>
    <t xml:space="preserve">Total Demand Petro + M.7 </t>
  </si>
  <si>
    <t>All Delivery Point</t>
  </si>
  <si>
    <t>All</t>
  </si>
  <si>
    <t>Demand M.7</t>
  </si>
  <si>
    <t>Demand Petro + M.7</t>
  </si>
  <si>
    <t>All Refinery</t>
  </si>
  <si>
    <t>M.7 C3+LPG Total Demand</t>
  </si>
  <si>
    <t>M.7 LPG Total Demand</t>
  </si>
  <si>
    <t>หน้า GSP RY</t>
  </si>
  <si>
    <r>
      <rPr>
        <b/>
        <sz val="11"/>
        <color theme="1"/>
        <rFont val="Calibri"/>
        <family val="2"/>
        <scheme val="minor"/>
      </rPr>
      <t>PTTOR</t>
    </r>
    <r>
      <rPr>
        <sz val="11"/>
        <color theme="1"/>
        <rFont val="Calibri"/>
        <family val="2"/>
        <scheme val="minor"/>
      </rPr>
      <t xml:space="preserve"> C3+LPG Total Demand</t>
    </r>
  </si>
  <si>
    <r>
      <t xml:space="preserve">M.7 </t>
    </r>
    <r>
      <rPr>
        <b/>
        <sz val="11"/>
        <color theme="1"/>
        <rFont val="Calibri"/>
        <family val="2"/>
        <scheme val="minor"/>
      </rPr>
      <t xml:space="preserve">LPG Total Demand </t>
    </r>
  </si>
  <si>
    <r>
      <rPr>
        <b/>
        <sz val="11"/>
        <color theme="1"/>
        <rFont val="Calibri"/>
        <family val="2"/>
        <scheme val="minor"/>
      </rPr>
      <t xml:space="preserve">WP </t>
    </r>
    <r>
      <rPr>
        <sz val="11"/>
        <color theme="1"/>
        <rFont val="Calibri"/>
        <family val="2"/>
        <scheme val="minor"/>
      </rPr>
      <t>LPG Total Demand</t>
    </r>
  </si>
  <si>
    <r>
      <rPr>
        <b/>
        <sz val="11"/>
        <color theme="1"/>
        <rFont val="Calibri"/>
        <family val="2"/>
        <scheme val="minor"/>
      </rPr>
      <t xml:space="preserve">PAP </t>
    </r>
    <r>
      <rPr>
        <sz val="11"/>
        <color theme="1"/>
        <rFont val="Calibri"/>
        <family val="2"/>
        <scheme val="minor"/>
      </rPr>
      <t>LPG Total Demand</t>
    </r>
  </si>
  <si>
    <r>
      <rPr>
        <b/>
        <sz val="11"/>
        <color theme="1"/>
        <rFont val="Calibri"/>
        <family val="2"/>
        <scheme val="minor"/>
      </rPr>
      <t xml:space="preserve">SGP+UGP </t>
    </r>
    <r>
      <rPr>
        <sz val="11"/>
        <color theme="1"/>
        <rFont val="Calibri"/>
        <family val="2"/>
        <scheme val="minor"/>
      </rPr>
      <t>LPG Total Demand</t>
    </r>
  </si>
  <si>
    <t>% Inventory (&lt;30% จจ. พิจารณาดึง import แทน C3 Cross to LPG)</t>
  </si>
  <si>
    <t>MT ก่อนหัก import</t>
  </si>
  <si>
    <t>SPRC+EP+KHM</t>
  </si>
  <si>
    <r>
      <rPr>
        <b/>
        <sz val="8"/>
        <color theme="0" tint="-0.499984740745262"/>
        <rFont val="Calibri"/>
        <family val="2"/>
        <scheme val="minor"/>
      </rPr>
      <t>PTTOR</t>
    </r>
    <r>
      <rPr>
        <sz val="8"/>
        <color theme="0" tint="-0.499984740745262"/>
        <rFont val="Calibri"/>
        <family val="2"/>
        <scheme val="minor"/>
      </rPr>
      <t xml:space="preserve"> C3+LPG หัก C3 Truck/Ordourant</t>
    </r>
  </si>
  <si>
    <t>SUM Y2021</t>
  </si>
  <si>
    <t>Chevron</t>
  </si>
  <si>
    <r>
      <rPr>
        <b/>
        <sz val="11"/>
        <color theme="1"/>
        <rFont val="Calibri"/>
        <family val="2"/>
        <scheme val="minor"/>
      </rPr>
      <t xml:space="preserve">Chevron </t>
    </r>
    <r>
      <rPr>
        <sz val="11"/>
        <color theme="1"/>
        <rFont val="Calibri"/>
        <family val="2"/>
        <scheme val="minor"/>
      </rPr>
      <t>LPG Total Demand</t>
    </r>
  </si>
  <si>
    <t>เสนอ import OR (+)</t>
  </si>
  <si>
    <t>Atlas</t>
  </si>
  <si>
    <r>
      <rPr>
        <b/>
        <sz val="11"/>
        <color theme="1"/>
        <rFont val="Calibri"/>
        <family val="2"/>
        <scheme val="minor"/>
      </rPr>
      <t xml:space="preserve">BCP </t>
    </r>
    <r>
      <rPr>
        <sz val="11"/>
        <color theme="1"/>
        <rFont val="Calibri"/>
        <family val="2"/>
        <scheme val="minor"/>
      </rPr>
      <t>LPG Total Demand</t>
    </r>
  </si>
  <si>
    <r>
      <rPr>
        <b/>
        <sz val="11"/>
        <color theme="1"/>
        <rFont val="Calibri"/>
        <family val="2"/>
        <scheme val="minor"/>
      </rPr>
      <t xml:space="preserve">Big Gas </t>
    </r>
    <r>
      <rPr>
        <sz val="11"/>
        <color theme="1"/>
        <rFont val="Calibri"/>
        <family val="2"/>
        <scheme val="minor"/>
      </rPr>
      <t>LPG Total Demand</t>
    </r>
  </si>
  <si>
    <r>
      <rPr>
        <b/>
        <sz val="11"/>
        <color theme="1"/>
        <rFont val="Calibri"/>
        <family val="2"/>
        <scheme val="minor"/>
      </rPr>
      <t xml:space="preserve">Atlas </t>
    </r>
    <r>
      <rPr>
        <sz val="11"/>
        <color theme="1"/>
        <rFont val="Calibri"/>
        <family val="2"/>
        <scheme val="minor"/>
      </rPr>
      <t>LPG Total Demand</t>
    </r>
  </si>
  <si>
    <t>Term import</t>
  </si>
  <si>
    <t>GSP need</t>
  </si>
  <si>
    <t>GSP C2 Production</t>
  </si>
  <si>
    <t>Ton/hr.</t>
  </si>
  <si>
    <t>Low CO2 (ETU 65 Ton/hr.)</t>
  </si>
  <si>
    <t>Standard Rate</t>
  </si>
  <si>
    <t>Allocate ลดลงตามสัดส่วน</t>
  </si>
  <si>
    <t>C2 GC</t>
  </si>
  <si>
    <t>C2 SCG</t>
  </si>
  <si>
    <t xml:space="preserve">Diff New - Old </t>
  </si>
  <si>
    <t>Allo C2 Low CO2 to SCG</t>
  </si>
  <si>
    <t>Allo C2 Low CO2 to GC</t>
  </si>
  <si>
    <t>Allo C2 High CO2 to GC</t>
  </si>
  <si>
    <t>SCG (Sum C3)</t>
  </si>
  <si>
    <t>MOC (Sub C3)</t>
  </si>
  <si>
    <t>C3 import</t>
  </si>
  <si>
    <t>Export to IRPC@MT</t>
  </si>
  <si>
    <r>
      <t>ROC</t>
    </r>
    <r>
      <rPr>
        <sz val="8"/>
        <color theme="1"/>
        <rFont val="Calibri"/>
        <family val="2"/>
        <scheme val="minor"/>
      </rPr>
      <t xml:space="preserve"> (max meter 48 T/hr.)72 m3/hr)--&gt; 38 T/hr.</t>
    </r>
  </si>
  <si>
    <t>Ton/day</t>
  </si>
  <si>
    <t>MT (หัก import แล้ว)</t>
  </si>
  <si>
    <t>PTTAC (C3 Spot)</t>
  </si>
  <si>
    <t>LPG Petro Tank capacity (11,502 TON)</t>
  </si>
  <si>
    <t>LPG Petro End Inventory</t>
  </si>
  <si>
    <t>% LPG Petro Inventory (&gt;30%)</t>
  </si>
  <si>
    <t>Balance LPG Dom</t>
  </si>
  <si>
    <t>LPG Dom End Inventory</t>
  </si>
  <si>
    <t>% LPG Dom Inventory (&gt;30%)</t>
  </si>
  <si>
    <t>LPG Tank capacity (36,655.2 TON)</t>
  </si>
  <si>
    <t>C3 Tank capacity (10,820.4 TON)</t>
  </si>
  <si>
    <t>LPG Dom Tank capacity (25,153.2 TON)</t>
  </si>
  <si>
    <t>C3/LPG Tank capacity (47,475.6 TON)</t>
  </si>
  <si>
    <t>LPG GSP RY - Petro</t>
  </si>
  <si>
    <t>LPG GSP RY - Dom</t>
  </si>
  <si>
    <t>LPG Petro Cross to LPG Dom</t>
  </si>
  <si>
    <t>GSP C2 Low CO2 Production &lt; 65 Ton/hr.</t>
  </si>
  <si>
    <t>Total C2 to GC</t>
  </si>
  <si>
    <t xml:space="preserve">Balance Total C2 </t>
  </si>
  <si>
    <t>Balance C2 Low CO2</t>
  </si>
  <si>
    <t>Total Allo to GC</t>
  </si>
  <si>
    <r>
      <t xml:space="preserve">Closing stock @GSP+MT+BRP (LR) </t>
    </r>
    <r>
      <rPr>
        <b/>
        <sz val="10"/>
        <rFont val="Calibri"/>
        <family val="2"/>
        <scheme val="minor"/>
      </rPr>
      <t>(min กม. 19 KT/ internal LR 36 KT)</t>
    </r>
  </si>
  <si>
    <t>SCG Demand (Updated on 31/3/64)</t>
  </si>
  <si>
    <t>C2 Low CO2 to SCG</t>
  </si>
  <si>
    <t>น้ำเงิน</t>
  </si>
  <si>
    <t>แดง</t>
  </si>
  <si>
    <t>Tentative</t>
  </si>
  <si>
    <t>ลูกค้า OK</t>
  </si>
  <si>
    <t>Ability 5rev2_16Apr'21</t>
  </si>
  <si>
    <t>Total C2 (Ability 5rev2_16Apr'21)</t>
  </si>
  <si>
    <t>Balance LPG Petro (ประมาณ 54 KT check เดือนต่อเดือน)</t>
  </si>
  <si>
    <t>Since Jul'21 วาง max 15 Ton/hr. แล้วตัดตามอัตราส่วน</t>
  </si>
  <si>
    <t>Ability6rev0_7May'21 (ฉบับแก้ไข)</t>
  </si>
  <si>
    <t>Ability 6rev0_7May'21 (ฉบับแก้ไข)</t>
  </si>
  <si>
    <t>Total C2 (Ability 6rev0_7May'21) (ฉบับแก้ไข)</t>
  </si>
  <si>
    <t>Cross to LPG (normal cross C3 to aerosol 1,000 Ton/เดือน)</t>
  </si>
  <si>
    <t>9-11</t>
  </si>
  <si>
    <t>12-15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</si>
</sst>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5">
    <numFmt numFmtId="43" formatCode="_-* #,##0.00_-;\-* #,##0.00_-;_-* &quot;-&quot;??_-;_-@_-"/>
    <numFmt numFmtId="164" formatCode="_(* #,##0.00_);_(* \(#,##0.00\);_(* &quot;-&quot;??_);_(@_)"/>
    <numFmt numFmtId="165" formatCode="&quot;฿&quot;#,##0_);\(&quot;฿&quot;#,##0\)"/>
    <numFmt numFmtId="166" formatCode="&quot;฿&quot;#,##0_);[Red]\(&quot;฿&quot;#,##0\)"/>
    <numFmt numFmtId="167" formatCode="_(&quot;฿&quot;* #,##0_);_(&quot;฿&quot;* \(#,##0\);_(&quot;฿&quot;* &quot;-&quot;_);_(@_)"/>
    <numFmt numFmtId="168" formatCode="_(* #,##0_);_(* \(#,##0\);_(* &quot;-&quot;_);_(@_)"/>
    <numFmt numFmtId="169" formatCode="_(&quot;฿&quot;* #,##0.00_);_(&quot;฿&quot;* \(#,##0.00\);_(&quot;฿&quot;* &quot;-&quot;??_);_(@_)"/>
    <numFmt numFmtId="170" formatCode="B1mmm\-yy"/>
    <numFmt numFmtId="171" formatCode="_-* #,##0.0_-;\-* #,##0.0_-;_-* &quot;-&quot;??_-;_-@_-"/>
    <numFmt numFmtId="172" formatCode="B1d\-mmm"/>
    <numFmt numFmtId="173" formatCode="_-* #,##0_-;\-* #,##0_-;_-* &quot;-&quot;??_-;_-@_-"/>
    <numFmt numFmtId="174" formatCode="_(* #,##0_);_(* \(#,##0\);_(* &quot;-&quot;??_);_(@_)"/>
    <numFmt numFmtId="175" formatCode="_(* #,##0.0_);_(* \(#,##0.0\);_(* &quot;-&quot;??_);_(@_)"/>
    <numFmt numFmtId="176" formatCode="&quot;$&quot;#,##0_);[Red]\(&quot;$&quot;#,##0\)"/>
    <numFmt numFmtId="177" formatCode="&quot;$&quot;#,##0.00_);[Red]\(&quot;$&quot;#,##0.00\)"/>
    <numFmt numFmtId="178" formatCode="0.0"/>
    <numFmt numFmtId="179" formatCode="0.00_)"/>
    <numFmt numFmtId="180" formatCode="0.00000_)"/>
    <numFmt numFmtId="181" formatCode="0000"/>
    <numFmt numFmtId="182" formatCode="&quot;฿&quot;##,#00_);\(&quot;฿&quot;##,#00\)"/>
    <numFmt numFmtId="183" formatCode="#,##0.000000"/>
    <numFmt numFmtId="184" formatCode="\t#,##0.00_);\(\t#,##0.00\)"/>
    <numFmt numFmtId="185" formatCode="#,##0.0;[Red]\(#,##0.0\)"/>
    <numFmt numFmtId="186" formatCode="#,##0;\(#,##0\)"/>
    <numFmt numFmtId="187" formatCode="&quot;$&quot;#,##0.0_);\(&quot;$&quot;#,##0.0\)"/>
    <numFmt numFmtId="188" formatCode="&quot;$&quot;#,##0.0"/>
    <numFmt numFmtId="189" formatCode="General_)"/>
    <numFmt numFmtId="190" formatCode="&quot;?&quot;#,##0.0;\(&quot;?&quot;#,##0.0\)"/>
    <numFmt numFmtId="191" formatCode="#,##0\ \d\a\y\s"/>
    <numFmt numFmtId="192" formatCode="#,##0\ \m\o\n\t\h"/>
    <numFmt numFmtId="193" formatCode="[$-409]mmmm\ yyyy;@"/>
    <numFmt numFmtId="194" formatCode="[$-409]dd/mmm/yy;@"/>
    <numFmt numFmtId="195" formatCode="[$-409]mmm\-yy;@"/>
    <numFmt numFmtId="196" formatCode="yyyy"/>
    <numFmt numFmtId="197" formatCode="#,##0\ \y\r."/>
  </numFmts>
  <fonts count="184">
    <font>
      <sz val="11"/>
      <color theme="1"/>
      <name val="Calibri"/>
      <family val="2"/>
      <charset val="222"/>
      <scheme val="minor"/>
    </font>
    <font>
      <sz val="11"/>
      <color theme="1"/>
      <name val="Calibri"/>
      <family val="2"/>
      <charset val="222"/>
      <scheme val="minor"/>
    </font>
    <font>
      <sz val="11"/>
      <color rgb="FFFF0000"/>
      <name val="Calibri"/>
      <family val="2"/>
      <charset val="222"/>
      <scheme val="minor"/>
    </font>
    <font>
      <b/>
      <sz val="11"/>
      <color rgb="FFFF0000"/>
      <name val="Calibri"/>
      <family val="2"/>
      <scheme val="minor"/>
    </font>
    <font>
      <b/>
      <sz val="11"/>
      <color theme="1"/>
      <name val="Calibri"/>
      <family val="2"/>
      <scheme val="minor"/>
    </font>
    <font>
      <sz val="11"/>
      <color theme="1"/>
      <name val="Calibri"/>
      <family val="2"/>
      <scheme val="minor"/>
    </font>
    <font>
      <sz val="11"/>
      <color rgb="FF0000FF"/>
      <name val="Calibri"/>
      <family val="2"/>
      <scheme val="minor"/>
    </font>
    <font>
      <sz val="11"/>
      <name val="Calibri"/>
      <family val="2"/>
      <scheme val="minor"/>
    </font>
    <font>
      <sz val="11"/>
      <color rgb="FFFF0000"/>
      <name val="Calibri"/>
      <family val="2"/>
      <scheme val="minor"/>
    </font>
    <font>
      <sz val="11"/>
      <color theme="5" tint="-0.249977111117893"/>
      <name val="Calibri"/>
      <family val="2"/>
      <scheme val="minor"/>
    </font>
    <font>
      <sz val="11"/>
      <color theme="8" tint="-0.249977111117893"/>
      <name val="Calibri"/>
      <family val="2"/>
      <scheme val="minor"/>
    </font>
    <font>
      <sz val="11"/>
      <color rgb="FF7030A0"/>
      <name val="Calibri"/>
      <family val="2"/>
      <scheme val="minor"/>
    </font>
    <font>
      <sz val="11"/>
      <color rgb="FF00B050"/>
      <name val="Calibri"/>
      <family val="2"/>
      <scheme val="minor"/>
    </font>
    <font>
      <b/>
      <sz val="18"/>
      <color rgb="FF0000FF"/>
      <name val="Calibri"/>
      <family val="2"/>
      <scheme val="minor"/>
    </font>
    <font>
      <b/>
      <sz val="11"/>
      <color rgb="FFC00000"/>
      <name val="Calibri"/>
      <family val="2"/>
      <scheme val="minor"/>
    </font>
    <font>
      <sz val="11"/>
      <color rgb="FFC00000"/>
      <name val="Calibri"/>
      <family val="2"/>
      <charset val="222"/>
      <scheme val="minor"/>
    </font>
    <font>
      <b/>
      <sz val="11"/>
      <color theme="8" tint="-0.249977111117893"/>
      <name val="Calibri"/>
      <family val="2"/>
      <scheme val="minor"/>
    </font>
    <font>
      <b/>
      <sz val="11"/>
      <name val="Calibri"/>
      <family val="2"/>
      <scheme val="minor"/>
    </font>
    <font>
      <b/>
      <sz val="11"/>
      <color theme="0"/>
      <name val="Calibri"/>
      <family val="2"/>
      <scheme val="minor"/>
    </font>
    <font>
      <sz val="8"/>
      <color theme="1"/>
      <name val="Calibri"/>
      <family val="2"/>
      <scheme val="minor"/>
    </font>
    <font>
      <sz val="9"/>
      <color indexed="81"/>
      <name val="Tahoma"/>
      <family val="2"/>
    </font>
    <font>
      <b/>
      <sz val="9"/>
      <color indexed="81"/>
      <name val="Tahoma"/>
      <family val="2"/>
    </font>
    <font>
      <sz val="11"/>
      <color rgb="FF0000FF"/>
      <name val="Calibri"/>
      <family val="2"/>
      <charset val="222"/>
      <scheme val="minor"/>
    </font>
    <font>
      <sz val="11"/>
      <name val="Calibri"/>
      <family val="2"/>
      <charset val="222"/>
      <scheme val="minor"/>
    </font>
    <font>
      <b/>
      <sz val="11"/>
      <color rgb="FF0000FF"/>
      <name val="Calibri"/>
      <family val="2"/>
      <scheme val="minor"/>
    </font>
    <font>
      <b/>
      <sz val="11"/>
      <color rgb="FF0000FF"/>
      <name val="Tahoma"/>
      <family val="2"/>
    </font>
    <font>
      <b/>
      <sz val="11"/>
      <color rgb="FFFF0000"/>
      <name val="Tahoma"/>
      <family val="2"/>
    </font>
    <font>
      <b/>
      <sz val="11"/>
      <color theme="6" tint="0.59999389629810485"/>
      <name val="Tahoma"/>
      <family val="2"/>
    </font>
    <font>
      <b/>
      <sz val="11"/>
      <color rgb="FF92D050"/>
      <name val="Calibri"/>
      <family val="2"/>
      <scheme val="minor"/>
    </font>
    <font>
      <b/>
      <sz val="11"/>
      <color rgb="FFFF00FF"/>
      <name val="Calibri"/>
      <family val="2"/>
      <scheme val="minor"/>
    </font>
    <font>
      <sz val="11"/>
      <color rgb="FF00B050"/>
      <name val="Calibri"/>
      <family val="2"/>
      <charset val="222"/>
      <scheme val="minor"/>
    </font>
    <font>
      <sz val="9"/>
      <color rgb="FF0000FF"/>
      <name val="Calibri"/>
      <family val="2"/>
      <scheme val="minor"/>
    </font>
    <font>
      <b/>
      <sz val="9"/>
      <color theme="1"/>
      <name val="Calibri"/>
      <family val="2"/>
      <scheme val="minor"/>
    </font>
    <font>
      <sz val="11"/>
      <color theme="1"/>
      <name val="Arial"/>
      <family val="2"/>
      <charset val="222"/>
    </font>
    <font>
      <b/>
      <u/>
      <sz val="11"/>
      <color rgb="FFC00000"/>
      <name val="Calibri"/>
      <family val="2"/>
      <scheme val="minor"/>
    </font>
    <font>
      <b/>
      <u/>
      <sz val="11"/>
      <color rgb="FF0000FF"/>
      <name val="Calibri"/>
      <family val="2"/>
      <scheme val="minor"/>
    </font>
    <font>
      <sz val="11"/>
      <color rgb="FF00B0F0"/>
      <name val="Calibri"/>
      <family val="2"/>
      <scheme val="minor"/>
    </font>
    <font>
      <sz val="11"/>
      <color theme="5"/>
      <name val="Calibri"/>
      <family val="2"/>
      <scheme val="minor"/>
    </font>
    <font>
      <sz val="14"/>
      <name val="AngsanaUPC"/>
      <family val="1"/>
      <charset val="222"/>
    </font>
    <font>
      <sz val="10"/>
      <name val="MS Dialog Light"/>
      <family val="2"/>
    </font>
    <font>
      <sz val="12"/>
      <name val="นูลมรผ"/>
      <charset val="129"/>
    </font>
    <font>
      <sz val="14"/>
      <name val="Cordia New"/>
      <family val="2"/>
    </font>
    <font>
      <b/>
      <sz val="12"/>
      <name val="Arial"/>
      <family val="2"/>
    </font>
    <font>
      <sz val="14"/>
      <name val="CordiaUPC"/>
      <family val="2"/>
      <charset val="222"/>
    </font>
    <font>
      <b/>
      <i/>
      <sz val="16"/>
      <name val="Helv"/>
    </font>
    <font>
      <sz val="10"/>
      <name val="Arial"/>
      <family val="2"/>
    </font>
    <font>
      <b/>
      <sz val="10"/>
      <name val="Arial"/>
      <family val="2"/>
    </font>
    <font>
      <sz val="10"/>
      <color indexed="10"/>
      <name val="Arial"/>
      <family val="2"/>
    </font>
    <font>
      <sz val="8"/>
      <name val="Arial"/>
      <family val="2"/>
    </font>
    <font>
      <sz val="11"/>
      <color indexed="8"/>
      <name val="Tahoma"/>
      <family val="2"/>
    </font>
    <font>
      <sz val="11"/>
      <color indexed="9"/>
      <name val="Tahoma"/>
      <family val="2"/>
    </font>
    <font>
      <sz val="11"/>
      <color indexed="20"/>
      <name val="Tahoma"/>
      <family val="2"/>
    </font>
    <font>
      <b/>
      <sz val="11"/>
      <color indexed="52"/>
      <name val="Tahoma"/>
      <family val="2"/>
    </font>
    <font>
      <b/>
      <sz val="11"/>
      <color indexed="9"/>
      <name val="Tahoma"/>
      <family val="2"/>
    </font>
    <font>
      <sz val="14"/>
      <name val="Angsana New"/>
      <family val="1"/>
    </font>
    <font>
      <i/>
      <sz val="11"/>
      <color indexed="23"/>
      <name val="Tahoma"/>
      <family val="2"/>
    </font>
    <font>
      <sz val="11"/>
      <color indexed="17"/>
      <name val="Tahoma"/>
      <family val="2"/>
    </font>
    <font>
      <b/>
      <sz val="15"/>
      <color indexed="56"/>
      <name val="Tahoma"/>
      <family val="2"/>
    </font>
    <font>
      <b/>
      <sz val="13"/>
      <color indexed="56"/>
      <name val="Tahoma"/>
      <family val="2"/>
    </font>
    <font>
      <b/>
      <sz val="11"/>
      <color indexed="56"/>
      <name val="Tahoma"/>
      <family val="2"/>
    </font>
    <font>
      <sz val="11"/>
      <color indexed="62"/>
      <name val="Tahoma"/>
      <family val="2"/>
    </font>
    <font>
      <sz val="11"/>
      <color indexed="52"/>
      <name val="Tahoma"/>
      <family val="2"/>
    </font>
    <font>
      <sz val="11"/>
      <color indexed="60"/>
      <name val="Tahoma"/>
      <family val="2"/>
    </font>
    <font>
      <b/>
      <sz val="11"/>
      <color indexed="63"/>
      <name val="Tahoma"/>
      <family val="2"/>
    </font>
    <font>
      <b/>
      <sz val="18"/>
      <color indexed="56"/>
      <name val="Tahoma"/>
      <family val="2"/>
    </font>
    <font>
      <b/>
      <sz val="11"/>
      <color indexed="8"/>
      <name val="Tahoma"/>
      <family val="2"/>
    </font>
    <font>
      <sz val="11"/>
      <color indexed="10"/>
      <name val="Tahoma"/>
      <family val="2"/>
    </font>
    <font>
      <sz val="12"/>
      <name val="Arial"/>
      <family val="2"/>
    </font>
    <font>
      <sz val="14"/>
      <name val="Arial"/>
      <family val="2"/>
    </font>
    <font>
      <b/>
      <sz val="10"/>
      <color indexed="8"/>
      <name val="Arial"/>
      <family val="2"/>
    </font>
    <font>
      <sz val="10"/>
      <color indexed="8"/>
      <name val="Arial"/>
      <family val="2"/>
    </font>
    <font>
      <sz val="10"/>
      <name val="Tahoma"/>
      <family val="2"/>
    </font>
    <font>
      <sz val="10"/>
      <name val="Times New Roman"/>
      <family val="1"/>
    </font>
    <font>
      <sz val="10"/>
      <color indexed="39"/>
      <name val="Arial"/>
      <family val="2"/>
    </font>
    <font>
      <b/>
      <sz val="12"/>
      <color indexed="8"/>
      <name val="Arial"/>
      <family val="2"/>
    </font>
    <font>
      <b/>
      <sz val="16"/>
      <color indexed="23"/>
      <name val="Arial"/>
      <family val="2"/>
    </font>
    <font>
      <sz val="11"/>
      <color indexed="8"/>
      <name val="Calibri"/>
      <family val="2"/>
    </font>
    <font>
      <sz val="10"/>
      <name val="Courier"/>
      <family val="3"/>
    </font>
    <font>
      <sz val="16"/>
      <name val="Angsana New"/>
      <family val="1"/>
    </font>
    <font>
      <sz val="11"/>
      <color theme="1"/>
      <name val="Calibri"/>
      <family val="2"/>
      <charset val="222"/>
    </font>
    <font>
      <b/>
      <sz val="10"/>
      <name val="Tms Rmn"/>
    </font>
    <font>
      <u/>
      <sz val="9"/>
      <color theme="10"/>
      <name val="Tahoma"/>
      <family val="2"/>
    </font>
    <font>
      <u/>
      <sz val="10"/>
      <color indexed="12"/>
      <name val="Arial"/>
      <family val="2"/>
    </font>
    <font>
      <sz val="10"/>
      <name val="MS Sans Serif"/>
      <family val="2"/>
      <charset val="222"/>
    </font>
    <font>
      <sz val="7"/>
      <name val="Small Fonts"/>
      <family val="2"/>
    </font>
    <font>
      <sz val="19"/>
      <color indexed="48"/>
      <name val="Arial"/>
      <family val="2"/>
    </font>
    <font>
      <sz val="11"/>
      <color indexed="8"/>
      <name val="Calibri"/>
      <family val="2"/>
      <charset val="222"/>
    </font>
    <font>
      <sz val="11"/>
      <color indexed="9"/>
      <name val="Calibri"/>
      <family val="2"/>
      <charset val="222"/>
    </font>
    <font>
      <sz val="11"/>
      <color indexed="9"/>
      <name val="Calibri"/>
      <family val="2"/>
    </font>
    <font>
      <sz val="11"/>
      <color indexed="20"/>
      <name val="Calibri"/>
      <family val="2"/>
      <charset val="222"/>
    </font>
    <font>
      <sz val="11"/>
      <color indexed="37"/>
      <name val="Calibri"/>
      <family val="2"/>
    </font>
    <font>
      <b/>
      <sz val="11"/>
      <color indexed="52"/>
      <name val="Calibri"/>
      <family val="2"/>
      <charset val="222"/>
    </font>
    <font>
      <b/>
      <sz val="11"/>
      <color indexed="17"/>
      <name val="Calibri"/>
      <family val="2"/>
    </font>
    <font>
      <b/>
      <sz val="11"/>
      <color indexed="9"/>
      <name val="Calibri"/>
      <family val="2"/>
      <charset val="222"/>
    </font>
    <font>
      <b/>
      <sz val="11"/>
      <color indexed="9"/>
      <name val="Calibri"/>
      <family val="2"/>
    </font>
    <font>
      <sz val="11"/>
      <color indexed="8"/>
      <name val="Tahoma"/>
      <family val="2"/>
      <charset val="222"/>
    </font>
    <font>
      <b/>
      <sz val="11"/>
      <color indexed="8"/>
      <name val="Calibri"/>
      <family val="2"/>
    </font>
    <font>
      <i/>
      <sz val="11"/>
      <color indexed="23"/>
      <name val="Calibri"/>
      <family val="2"/>
      <charset val="222"/>
    </font>
    <font>
      <b/>
      <sz val="15"/>
      <color indexed="56"/>
      <name val="Calibri"/>
      <family val="2"/>
      <charset val="222"/>
    </font>
    <font>
      <b/>
      <sz val="15"/>
      <color indexed="62"/>
      <name val="Calibri"/>
      <family val="2"/>
    </font>
    <font>
      <b/>
      <sz val="13"/>
      <color indexed="56"/>
      <name val="Calibri"/>
      <family val="2"/>
      <charset val="222"/>
    </font>
    <font>
      <b/>
      <sz val="13"/>
      <color indexed="62"/>
      <name val="Calibri"/>
      <family val="2"/>
    </font>
    <font>
      <b/>
      <sz val="11"/>
      <color indexed="56"/>
      <name val="Calibri"/>
      <family val="2"/>
      <charset val="222"/>
    </font>
    <font>
      <b/>
      <sz val="11"/>
      <color indexed="62"/>
      <name val="Calibri"/>
      <family val="2"/>
    </font>
    <font>
      <u/>
      <sz val="14"/>
      <color indexed="12"/>
      <name val="Cordia New"/>
      <family val="2"/>
    </font>
    <font>
      <sz val="11"/>
      <color indexed="48"/>
      <name val="Calibri"/>
      <family val="2"/>
    </font>
    <font>
      <sz val="11"/>
      <color indexed="62"/>
      <name val="Calibri"/>
      <family val="2"/>
      <charset val="222"/>
    </font>
    <font>
      <sz val="11"/>
      <color indexed="52"/>
      <name val="Calibri"/>
      <family val="2"/>
      <charset val="222"/>
    </font>
    <font>
      <sz val="11"/>
      <color indexed="17"/>
      <name val="Calibri"/>
      <family val="2"/>
    </font>
    <font>
      <sz val="11"/>
      <color indexed="60"/>
      <name val="Calibri"/>
      <family val="2"/>
      <charset val="222"/>
    </font>
    <font>
      <sz val="14"/>
      <name val="AngsanaUPC"/>
      <family val="1"/>
    </font>
    <font>
      <b/>
      <sz val="11"/>
      <color indexed="63"/>
      <name val="Calibri"/>
      <family val="2"/>
      <charset val="222"/>
    </font>
    <font>
      <b/>
      <sz val="11"/>
      <color indexed="63"/>
      <name val="Calibri"/>
      <family val="2"/>
    </font>
    <font>
      <b/>
      <sz val="10"/>
      <color indexed="39"/>
      <name val="Arial"/>
      <family val="2"/>
    </font>
    <font>
      <sz val="8"/>
      <color indexed="62"/>
      <name val="Arial"/>
      <family val="2"/>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b/>
      <sz val="18"/>
      <color indexed="56"/>
      <name val="Cambria"/>
      <family val="2"/>
      <charset val="222"/>
    </font>
    <font>
      <b/>
      <sz val="11"/>
      <color indexed="8"/>
      <name val="Calibri"/>
      <family val="2"/>
      <charset val="222"/>
    </font>
    <font>
      <sz val="11"/>
      <color indexed="10"/>
      <name val="Calibri"/>
      <family val="2"/>
      <charset val="222"/>
    </font>
    <font>
      <sz val="11"/>
      <color indexed="14"/>
      <name val="Calibri"/>
      <family val="2"/>
    </font>
    <font>
      <sz val="11"/>
      <color rgb="FF006100"/>
      <name val="Calibri"/>
      <family val="2"/>
      <charset val="222"/>
    </font>
    <font>
      <u/>
      <sz val="10"/>
      <color theme="10"/>
      <name val="Arial"/>
      <family val="2"/>
    </font>
    <font>
      <sz val="11"/>
      <color indexed="9"/>
      <name val="Tahoma"/>
      <family val="2"/>
      <charset val="222"/>
    </font>
    <font>
      <sz val="11"/>
      <color indexed="20"/>
      <name val="Tahoma"/>
      <family val="2"/>
      <charset val="222"/>
    </font>
    <font>
      <b/>
      <sz val="11"/>
      <color indexed="52"/>
      <name val="Tahoma"/>
      <family val="2"/>
      <charset val="222"/>
    </font>
    <font>
      <b/>
      <sz val="11"/>
      <color indexed="9"/>
      <name val="Tahoma"/>
      <family val="2"/>
      <charset val="222"/>
    </font>
    <font>
      <sz val="10"/>
      <color indexed="8"/>
      <name val="Tahoma"/>
      <family val="2"/>
    </font>
    <font>
      <sz val="12"/>
      <name val="EucrosiaUPC"/>
      <family val="1"/>
      <charset val="222"/>
    </font>
    <font>
      <sz val="8"/>
      <color indexed="17"/>
      <name val="Arial"/>
      <family val="2"/>
    </font>
    <font>
      <i/>
      <sz val="11"/>
      <color indexed="23"/>
      <name val="Tahoma"/>
      <family val="2"/>
      <charset val="222"/>
    </font>
    <font>
      <sz val="11"/>
      <color indexed="17"/>
      <name val="Tahoma"/>
      <family val="2"/>
      <charset val="222"/>
    </font>
    <font>
      <b/>
      <i/>
      <sz val="9"/>
      <name val="Arial"/>
      <family val="2"/>
    </font>
    <font>
      <b/>
      <sz val="14"/>
      <name val="Arial Black"/>
      <family val="2"/>
    </font>
    <font>
      <b/>
      <sz val="15"/>
      <color indexed="56"/>
      <name val="Tahoma"/>
      <family val="2"/>
      <charset val="222"/>
    </font>
    <font>
      <b/>
      <sz val="13"/>
      <color indexed="56"/>
      <name val="Tahoma"/>
      <family val="2"/>
      <charset val="222"/>
    </font>
    <font>
      <b/>
      <sz val="11"/>
      <color indexed="56"/>
      <name val="Tahoma"/>
      <family val="2"/>
      <charset val="222"/>
    </font>
    <font>
      <u/>
      <sz val="10.5"/>
      <color indexed="12"/>
      <name val="CordiaUPC"/>
      <family val="2"/>
      <charset val="222"/>
    </font>
    <font>
      <sz val="11"/>
      <color indexed="62"/>
      <name val="Tahoma"/>
      <family val="2"/>
      <charset val="222"/>
    </font>
    <font>
      <sz val="11"/>
      <color indexed="52"/>
      <name val="Tahoma"/>
      <family val="2"/>
      <charset val="222"/>
    </font>
    <font>
      <sz val="9"/>
      <color indexed="17"/>
      <name val="Arial Narrow"/>
      <family val="2"/>
    </font>
    <font>
      <sz val="11"/>
      <color indexed="60"/>
      <name val="Tahoma"/>
      <family val="2"/>
      <charset val="222"/>
    </font>
    <font>
      <sz val="8"/>
      <name val="Tahoma"/>
      <family val="2"/>
    </font>
    <font>
      <sz val="16"/>
      <name val="DilleniaUPC"/>
      <family val="1"/>
      <charset val="222"/>
    </font>
    <font>
      <sz val="8"/>
      <color indexed="8"/>
      <name val="Tahoma"/>
      <family val="2"/>
    </font>
    <font>
      <b/>
      <sz val="11"/>
      <color indexed="63"/>
      <name val="Tahoma"/>
      <family val="2"/>
      <charset val="222"/>
    </font>
    <font>
      <sz val="11"/>
      <name val="Tahoma"/>
      <family val="2"/>
    </font>
    <font>
      <sz val="10"/>
      <name val="Tms Rmn"/>
      <charset val="222"/>
    </font>
    <font>
      <b/>
      <sz val="18"/>
      <color indexed="56"/>
      <name val="Tahoma"/>
      <family val="2"/>
      <charset val="222"/>
    </font>
    <font>
      <b/>
      <sz val="11"/>
      <color indexed="8"/>
      <name val="Tahoma"/>
      <family val="2"/>
      <charset val="222"/>
    </font>
    <font>
      <sz val="11"/>
      <color indexed="10"/>
      <name val="Tahoma"/>
      <family val="2"/>
      <charset val="222"/>
    </font>
    <font>
      <sz val="8"/>
      <color indexed="17"/>
      <name val="Arial Narrow"/>
      <family val="2"/>
    </font>
    <font>
      <sz val="8"/>
      <color theme="1"/>
      <name val="Tahoma"/>
      <family val="2"/>
    </font>
    <font>
      <b/>
      <sz val="10"/>
      <name val="Calibri"/>
      <family val="2"/>
      <scheme val="minor"/>
    </font>
    <font>
      <sz val="11"/>
      <color theme="0" tint="-0.499984740745262"/>
      <name val="Calibri"/>
      <family val="2"/>
      <scheme val="minor"/>
    </font>
    <font>
      <sz val="8"/>
      <color theme="0" tint="-0.499984740745262"/>
      <name val="Calibri"/>
      <family val="2"/>
      <scheme val="minor"/>
    </font>
    <font>
      <b/>
      <sz val="8"/>
      <color theme="0" tint="-0.499984740745262"/>
      <name val="Calibri"/>
      <family val="2"/>
      <scheme val="minor"/>
    </font>
    <font>
      <sz val="11"/>
      <color theme="0" tint="-0.499984740745262"/>
      <name val="Calibri"/>
      <family val="2"/>
      <charset val="222"/>
      <scheme val="minor"/>
    </font>
    <font>
      <sz val="11"/>
      <color rgb="FFC00000"/>
      <name val="Calibri"/>
      <family val="2"/>
      <scheme val="minor"/>
    </font>
    <font>
      <b/>
      <sz val="8"/>
      <color rgb="FF0000FF"/>
      <name val="Calibri"/>
      <family val="2"/>
      <scheme val="minor"/>
    </font>
    <font>
      <b/>
      <sz val="11"/>
      <color theme="1"/>
      <name val="Calibri"/>
      <family val="2"/>
      <charset val="222"/>
      <scheme val="minor"/>
    </font>
    <font>
      <sz val="10"/>
      <color theme="1"/>
      <name val="Tahoma"/>
      <family val="2"/>
    </font>
    <font>
      <b/>
      <sz val="10"/>
      <name val="Tahoma"/>
      <family val="2"/>
    </font>
    <font>
      <b/>
      <sz val="11"/>
      <color rgb="FF0033CC"/>
      <name val="Calibri"/>
      <family val="2"/>
      <charset val="222"/>
      <scheme val="minor"/>
    </font>
    <font>
      <sz val="11"/>
      <color rgb="FF0033CC"/>
      <name val="Calibri"/>
      <family val="2"/>
      <charset val="222"/>
      <scheme val="minor"/>
    </font>
    <font>
      <b/>
      <sz val="11"/>
      <color theme="0" tint="-0.499984740745262"/>
      <name val="Calibri"/>
      <family val="2"/>
      <charset val="222"/>
      <scheme val="minor"/>
    </font>
    <font>
      <sz val="11"/>
      <color theme="0" tint="-0.499984740745262"/>
      <name val="Tahoma"/>
      <family val="2"/>
      <charset val="222"/>
    </font>
    <font>
      <sz val="11"/>
      <name val="Tahoma"/>
      <family val="2"/>
      <charset val="222"/>
    </font>
    <font>
      <b/>
      <sz val="10"/>
      <color theme="0" tint="-0.499984740745262"/>
      <name val="Tahoma"/>
      <family val="2"/>
    </font>
    <font>
      <b/>
      <sz val="10"/>
      <color rgb="FF0000FF"/>
      <name val="Tahoma"/>
      <family val="2"/>
    </font>
    <font>
      <sz val="9"/>
      <color theme="1"/>
      <name val="Calibri"/>
      <family val="2"/>
      <charset val="222"/>
      <scheme val="minor"/>
    </font>
    <font>
      <b/>
      <sz val="11"/>
      <color rgb="FF0000FF"/>
      <name val="Calibri"/>
      <family val="2"/>
      <charset val="222"/>
      <scheme val="minor"/>
    </font>
    <font>
      <sz val="10"/>
      <color rgb="FFFF0000"/>
      <name val="Tahoma"/>
      <family val="2"/>
    </font>
    <font>
      <b/>
      <sz val="10"/>
      <color rgb="FFFF0000"/>
      <name val="Calibri"/>
      <family val="2"/>
      <scheme val="minor"/>
    </font>
    <font>
      <sz val="12"/>
      <color rgb="FF0000FF"/>
      <name val="Calibri"/>
      <family val="2"/>
      <scheme val="minor"/>
    </font>
    <font>
      <sz val="11"/>
      <color theme="1"/>
      <name val="Tahoma"/>
      <family val="2"/>
      <charset val="222"/>
    </font>
    <font>
      <b/>
      <sz val="11"/>
      <name val="Calibri"/>
      <family val="2"/>
      <charset val="222"/>
      <scheme val="minor"/>
    </font>
    <font>
      <sz val="11"/>
      <color rgb="FF0000FF"/>
      <name val="Tahoma"/>
      <family val="2"/>
      <charset val="222"/>
    </font>
    <font>
      <b/>
      <sz val="10"/>
      <color rgb="FF7030A0"/>
      <name val="Tahoma"/>
      <family val="2"/>
    </font>
    <font>
      <sz val="11"/>
      <color rgb="FF7030A0"/>
      <name val="Calibri"/>
      <family val="2"/>
      <charset val="222"/>
      <scheme val="minor"/>
    </font>
  </fonts>
  <fills count="115">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5FF"/>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theme="9" tint="-0.249977111117893"/>
        <bgColor indexed="64"/>
      </patternFill>
    </fill>
    <fill>
      <patternFill patternType="solid">
        <fgColor theme="9"/>
        <bgColor indexed="64"/>
      </patternFill>
    </fill>
    <fill>
      <patternFill patternType="solid">
        <fgColor rgb="FFFFFF0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CD5B4"/>
        <bgColor rgb="FF000000"/>
      </patternFill>
    </fill>
    <fill>
      <patternFill patternType="solid">
        <fgColor theme="6" tint="0.59999389629810485"/>
        <bgColor rgb="FF000000"/>
      </patternFill>
    </fill>
    <fill>
      <patternFill patternType="solid">
        <fgColor rgb="FFD8E4BC"/>
        <bgColor rgb="FF000000"/>
      </patternFill>
    </fill>
    <fill>
      <patternFill patternType="solid">
        <fgColor theme="6" tint="0.79998168889431442"/>
        <bgColor indexed="64"/>
      </patternFill>
    </fill>
    <fill>
      <patternFill patternType="solid">
        <fgColor rgb="FFEBF1DE"/>
        <bgColor rgb="FF000000"/>
      </patternFill>
    </fill>
    <fill>
      <patternFill patternType="solid">
        <fgColor rgb="FFFFFF00"/>
        <bgColor rgb="FF000000"/>
      </patternFill>
    </fill>
    <fill>
      <patternFill patternType="solid">
        <fgColor theme="5"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C6EFCE"/>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40"/>
      </patternFill>
    </fill>
    <fill>
      <patternFill patternType="solid">
        <fgColor indexed="41"/>
      </patternFill>
    </fill>
    <fill>
      <patternFill patternType="solid">
        <fgColor indexed="22"/>
        <bgColor indexed="64"/>
      </patternFill>
    </fill>
    <fill>
      <patternFill patternType="solid">
        <fgColor indexed="41"/>
        <bgColor indexed="64"/>
      </patternFill>
    </fill>
    <fill>
      <patternFill patternType="solid">
        <fgColor indexed="44"/>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15"/>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48"/>
        <bgColor indexed="48"/>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25"/>
        <bgColor indexed="25"/>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bgColor indexed="57"/>
      </patternFill>
    </fill>
    <fill>
      <patternFill patternType="solid">
        <fgColor indexed="55"/>
        <bgColor indexed="55"/>
      </patternFill>
    </fill>
    <fill>
      <patternFill patternType="solid">
        <fgColor indexed="18"/>
        <bgColor indexed="18"/>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bgColor indexed="53"/>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60"/>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23"/>
      </patternFill>
    </fill>
    <fill>
      <patternFill patternType="solid">
        <fgColor indexed="9"/>
      </patternFill>
    </fill>
    <fill>
      <patternFill patternType="solid">
        <fgColor indexed="9"/>
        <bgColor indexed="64"/>
      </patternFill>
    </fill>
    <fill>
      <patternFill patternType="solid">
        <fgColor indexed="20"/>
      </patternFill>
    </fill>
    <fill>
      <patternFill patternType="solid">
        <fgColor theme="2"/>
        <bgColor indexed="64"/>
      </patternFill>
    </fill>
    <fill>
      <patternFill patternType="solid">
        <fgColor rgb="FF8ADFF6"/>
        <bgColor indexed="64"/>
      </patternFill>
    </fill>
    <fill>
      <patternFill patternType="solid">
        <fgColor rgb="FF92D050"/>
        <bgColor indexed="64"/>
      </patternFill>
    </fill>
    <fill>
      <patternFill patternType="solid">
        <fgColor rgb="FFFFC000"/>
        <bgColor rgb="FF000000"/>
      </patternFill>
    </fill>
    <fill>
      <patternFill patternType="solid">
        <fgColor theme="7"/>
        <bgColor indexed="64"/>
      </patternFill>
    </fill>
    <fill>
      <patternFill patternType="solid">
        <fgColor theme="4" tint="0.39997558519241921"/>
        <bgColor indexed="64"/>
      </patternFill>
    </fill>
  </fills>
  <borders count="59">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indexed="63"/>
      </left>
      <right style="thin">
        <color indexed="63"/>
      </right>
      <top style="thin">
        <color indexed="64"/>
      </top>
      <bottom style="thin">
        <color indexed="63"/>
      </bottom>
      <diagonal/>
    </border>
    <border>
      <left style="thin">
        <color indexed="18"/>
      </left>
      <right style="thin">
        <color indexed="18"/>
      </right>
      <top style="thin">
        <color indexed="18"/>
      </top>
      <bottom style="thin">
        <color indexed="18"/>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style="thin">
        <color indexed="8"/>
      </left>
      <right style="thin">
        <color indexed="8"/>
      </right>
      <top style="thin">
        <color indexed="8"/>
      </top>
      <bottom style="thin">
        <color indexed="8"/>
      </bottom>
      <diagonal/>
    </border>
    <border>
      <left style="thin">
        <color indexed="41"/>
      </left>
      <right style="thin">
        <color indexed="48"/>
      </right>
      <top style="medium">
        <color indexed="41"/>
      </top>
      <bottom style="thin">
        <color indexed="4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thin">
        <color indexed="48"/>
      </top>
      <bottom style="double">
        <color indexed="48"/>
      </bottom>
      <diagonal/>
    </border>
    <border>
      <left/>
      <right/>
      <top/>
      <bottom style="dashDotDot">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4111">
    <xf numFmtId="0" fontId="0" fillId="0" borderId="0"/>
    <xf numFmtId="164" fontId="1" fillId="0" borderId="0" applyFont="0" applyFill="0" applyBorder="0" applyAlignment="0" applyProtection="0"/>
    <xf numFmtId="9" fontId="1" fillId="0" borderId="0" applyFont="0" applyFill="0" applyBorder="0" applyAlignment="0" applyProtection="0"/>
    <xf numFmtId="0" fontId="1" fillId="0" borderId="0"/>
    <xf numFmtId="164" fontId="5" fillId="0" borderId="0" applyFont="0" applyFill="0" applyBorder="0" applyAlignment="0" applyProtection="0"/>
    <xf numFmtId="0" fontId="33" fillId="0" borderId="0"/>
    <xf numFmtId="164" fontId="1" fillId="0" borderId="0" applyFont="0" applyFill="0" applyBorder="0" applyAlignment="0" applyProtection="0"/>
    <xf numFmtId="0" fontId="38" fillId="0" borderId="0"/>
    <xf numFmtId="0" fontId="49" fillId="30" borderId="0" applyNumberFormat="0" applyBorder="0" applyAlignment="0" applyProtection="0"/>
    <xf numFmtId="0" fontId="49" fillId="30" borderId="0" applyNumberFormat="0" applyBorder="0" applyAlignment="0" applyProtection="0"/>
    <xf numFmtId="0" fontId="49" fillId="30" borderId="0" applyNumberFormat="0" applyBorder="0" applyAlignment="0" applyProtection="0"/>
    <xf numFmtId="0" fontId="49" fillId="31" borderId="0" applyNumberFormat="0" applyBorder="0" applyAlignment="0" applyProtection="0"/>
    <xf numFmtId="0" fontId="49" fillId="31"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5" borderId="0" applyNumberFormat="0" applyBorder="0" applyAlignment="0" applyProtection="0"/>
    <xf numFmtId="0" fontId="49" fillId="35"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49" fillId="37" borderId="0" applyNumberFormat="0" applyBorder="0" applyAlignment="0" applyProtection="0"/>
    <xf numFmtId="0" fontId="49" fillId="37" borderId="0" applyNumberFormat="0" applyBorder="0" applyAlignment="0" applyProtection="0"/>
    <xf numFmtId="0" fontId="49" fillId="37" borderId="0" applyNumberFormat="0" applyBorder="0" applyAlignment="0" applyProtection="0"/>
    <xf numFmtId="0" fontId="49" fillId="38" borderId="0" applyNumberFormat="0" applyBorder="0" applyAlignment="0" applyProtection="0"/>
    <xf numFmtId="0" fontId="49" fillId="38" borderId="0" applyNumberFormat="0" applyBorder="0" applyAlignment="0" applyProtection="0"/>
    <xf numFmtId="0" fontId="49" fillId="38"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49" fillId="36" borderId="0" applyNumberFormat="0" applyBorder="0" applyAlignment="0" applyProtection="0"/>
    <xf numFmtId="0" fontId="49" fillId="39" borderId="0" applyNumberFormat="0" applyBorder="0" applyAlignment="0" applyProtection="0"/>
    <xf numFmtId="0" fontId="49" fillId="39" borderId="0" applyNumberFormat="0" applyBorder="0" applyAlignment="0" applyProtection="0"/>
    <xf numFmtId="0" fontId="49" fillId="39"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50" fillId="38" borderId="0" applyNumberFormat="0" applyBorder="0" applyAlignment="0" applyProtection="0"/>
    <xf numFmtId="0" fontId="50" fillId="38" borderId="0" applyNumberFormat="0" applyBorder="0" applyAlignment="0" applyProtection="0"/>
    <xf numFmtId="0" fontId="50" fillId="38"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9" fontId="38" fillId="0" borderId="0"/>
    <xf numFmtId="9" fontId="38" fillId="0" borderId="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1" fillId="31" borderId="0" applyNumberFormat="0" applyBorder="0" applyAlignment="0" applyProtection="0"/>
    <xf numFmtId="0" fontId="51" fillId="31" borderId="0" applyNumberFormat="0" applyBorder="0" applyAlignment="0" applyProtection="0"/>
    <xf numFmtId="0" fontId="51" fillId="31" borderId="0" applyNumberFormat="0" applyBorder="0" applyAlignment="0" applyProtection="0"/>
    <xf numFmtId="0" fontId="52" fillId="48" borderId="33" applyNumberFormat="0" applyAlignment="0" applyProtection="0"/>
    <xf numFmtId="0" fontId="52" fillId="48" borderId="33" applyNumberFormat="0" applyAlignment="0" applyProtection="0"/>
    <xf numFmtId="0" fontId="52" fillId="48" borderId="33" applyNumberFormat="0" applyAlignment="0" applyProtection="0"/>
    <xf numFmtId="0" fontId="53" fillId="49" borderId="34" applyNumberFormat="0" applyAlignment="0" applyProtection="0"/>
    <xf numFmtId="0" fontId="53" fillId="49" borderId="34" applyNumberFormat="0" applyAlignment="0" applyProtection="0"/>
    <xf numFmtId="0" fontId="53" fillId="49" borderId="34" applyNumberFormat="0" applyAlignment="0" applyProtection="0"/>
    <xf numFmtId="164" fontId="39"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80" fontId="38" fillId="0" borderId="0"/>
    <xf numFmtId="183" fontId="38" fillId="0" borderId="0"/>
    <xf numFmtId="14" fontId="38" fillId="0" borderId="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6" fillId="32" borderId="0" applyNumberFormat="0" applyBorder="0" applyAlignment="0" applyProtection="0"/>
    <xf numFmtId="0" fontId="56" fillId="32" borderId="0" applyNumberFormat="0" applyBorder="0" applyAlignment="0" applyProtection="0"/>
    <xf numFmtId="0" fontId="56" fillId="32" borderId="0" applyNumberFormat="0" applyBorder="0" applyAlignment="0" applyProtection="0"/>
    <xf numFmtId="0" fontId="42" fillId="0" borderId="15" applyNumberFormat="0" applyAlignment="0" applyProtection="0">
      <alignment horizontal="left" vertical="center"/>
    </xf>
    <xf numFmtId="0" fontId="42" fillId="0" borderId="26">
      <alignment horizontal="left" vertical="center"/>
    </xf>
    <xf numFmtId="0" fontId="57" fillId="0" borderId="35" applyNumberFormat="0" applyFill="0" applyAlignment="0" applyProtection="0"/>
    <xf numFmtId="0" fontId="57" fillId="0" borderId="35" applyNumberFormat="0" applyFill="0" applyAlignment="0" applyProtection="0"/>
    <xf numFmtId="0" fontId="57" fillId="0" borderId="35" applyNumberFormat="0" applyFill="0" applyAlignment="0" applyProtection="0"/>
    <xf numFmtId="0" fontId="58" fillId="0" borderId="36" applyNumberFormat="0" applyFill="0" applyAlignment="0" applyProtection="0"/>
    <xf numFmtId="0" fontId="58" fillId="0" borderId="36" applyNumberFormat="0" applyFill="0" applyAlignment="0" applyProtection="0"/>
    <xf numFmtId="0" fontId="58" fillId="0" borderId="36" applyNumberFormat="0" applyFill="0" applyAlignment="0" applyProtection="0"/>
    <xf numFmtId="0" fontId="59" fillId="0" borderId="37" applyNumberFormat="0" applyFill="0" applyAlignment="0" applyProtection="0"/>
    <xf numFmtId="0" fontId="59" fillId="0" borderId="37" applyNumberFormat="0" applyFill="0" applyAlignment="0" applyProtection="0"/>
    <xf numFmtId="0" fontId="59" fillId="0" borderId="37" applyNumberFormat="0" applyFill="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60" fillId="35" borderId="33" applyNumberFormat="0" applyAlignment="0" applyProtection="0"/>
    <xf numFmtId="0" fontId="60" fillId="35" borderId="33" applyNumberFormat="0" applyAlignment="0" applyProtection="0"/>
    <xf numFmtId="0" fontId="60" fillId="35" borderId="33" applyNumberFormat="0" applyAlignment="0" applyProtection="0"/>
    <xf numFmtId="0" fontId="61" fillId="0" borderId="38" applyNumberFormat="0" applyFill="0" applyAlignment="0" applyProtection="0"/>
    <xf numFmtId="0" fontId="61" fillId="0" borderId="38" applyNumberFormat="0" applyFill="0" applyAlignment="0" applyProtection="0"/>
    <xf numFmtId="0" fontId="61" fillId="0" borderId="38" applyNumberFormat="0" applyFill="0" applyAlignment="0" applyProtection="0"/>
    <xf numFmtId="0" fontId="62" fillId="50" borderId="0" applyNumberFormat="0" applyBorder="0" applyAlignment="0" applyProtection="0"/>
    <xf numFmtId="0" fontId="62" fillId="50" borderId="0" applyNumberFormat="0" applyBorder="0" applyAlignment="0" applyProtection="0"/>
    <xf numFmtId="0" fontId="62" fillId="50" borderId="0" applyNumberFormat="0" applyBorder="0" applyAlignment="0" applyProtection="0"/>
    <xf numFmtId="179" fontId="44" fillId="0" borderId="0"/>
    <xf numFmtId="0" fontId="45" fillId="0" borderId="0"/>
    <xf numFmtId="0" fontId="45" fillId="0" borderId="0"/>
    <xf numFmtId="0" fontId="45" fillId="0" borderId="0"/>
    <xf numFmtId="0" fontId="5" fillId="0" borderId="0"/>
    <xf numFmtId="0" fontId="38" fillId="0" borderId="0"/>
    <xf numFmtId="0" fontId="54" fillId="51" borderId="39" applyNumberFormat="0" applyFont="0" applyAlignment="0" applyProtection="0"/>
    <xf numFmtId="0" fontId="54" fillId="51" borderId="39" applyNumberFormat="0" applyFont="0" applyAlignment="0" applyProtection="0"/>
    <xf numFmtId="0" fontId="54" fillId="51" borderId="39" applyNumberFormat="0" applyFont="0" applyAlignment="0" applyProtection="0"/>
    <xf numFmtId="0" fontId="63" fillId="48" borderId="40" applyNumberFormat="0" applyAlignment="0" applyProtection="0"/>
    <xf numFmtId="0" fontId="63" fillId="48" borderId="40" applyNumberFormat="0" applyAlignment="0" applyProtection="0"/>
    <xf numFmtId="0" fontId="63" fillId="48" borderId="40" applyNumberFormat="0" applyAlignment="0" applyProtection="0"/>
    <xf numFmtId="4" fontId="69" fillId="50" borderId="41" applyNumberFormat="0" applyProtection="0">
      <alignment vertical="center"/>
    </xf>
    <xf numFmtId="4" fontId="69" fillId="52" borderId="41" applyNumberFormat="0" applyProtection="0">
      <alignment horizontal="left" vertical="center" indent="1"/>
    </xf>
    <xf numFmtId="4" fontId="69" fillId="53" borderId="0" applyNumberFormat="0" applyProtection="0">
      <alignment horizontal="left" vertical="center" indent="1"/>
    </xf>
    <xf numFmtId="4" fontId="70" fillId="54" borderId="41" applyNumberFormat="0" applyProtection="0">
      <alignment horizontal="right" vertical="center"/>
    </xf>
    <xf numFmtId="4" fontId="70" fillId="55" borderId="41" applyNumberFormat="0" applyProtection="0">
      <alignment horizontal="right" vertical="center"/>
    </xf>
    <xf numFmtId="4" fontId="70" fillId="54" borderId="41" applyNumberFormat="0" applyProtection="0">
      <alignment horizontal="left" vertical="center" indent="1"/>
    </xf>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42" applyNumberFormat="0" applyFill="0" applyAlignment="0" applyProtection="0"/>
    <xf numFmtId="0" fontId="65" fillId="0" borderId="42" applyNumberFormat="0" applyFill="0" applyAlignment="0" applyProtection="0"/>
    <xf numFmtId="0" fontId="65" fillId="0" borderId="42" applyNumberFormat="0" applyFill="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9" fontId="40" fillId="0" borderId="0" applyFont="0" applyFill="0" applyBorder="0" applyAlignment="0" applyProtection="0"/>
    <xf numFmtId="182" fontId="38" fillId="0" borderId="0" applyFont="0" applyFill="0" applyBorder="0" applyAlignment="0" applyProtection="0"/>
    <xf numFmtId="184" fontId="38" fillId="0" borderId="0" applyFont="0" applyFill="0" applyBorder="0" applyAlignment="0" applyProtection="0"/>
    <xf numFmtId="181" fontId="38" fillId="0" borderId="0" applyFont="0" applyFill="0" applyBorder="0" applyAlignment="0" applyProtection="0"/>
    <xf numFmtId="185" fontId="39" fillId="0" borderId="0" applyFont="0" applyFill="0" applyBorder="0" applyAlignment="0" applyProtection="0"/>
    <xf numFmtId="0" fontId="40" fillId="0" borderId="0"/>
    <xf numFmtId="0" fontId="38" fillId="0" borderId="0"/>
    <xf numFmtId="0" fontId="5" fillId="0" borderId="0"/>
    <xf numFmtId="0" fontId="38" fillId="0" borderId="0"/>
    <xf numFmtId="0" fontId="41" fillId="0" borderId="0"/>
    <xf numFmtId="0" fontId="5" fillId="0" borderId="0"/>
    <xf numFmtId="164" fontId="39" fillId="0" borderId="0" applyFont="0" applyFill="0" applyBorder="0" applyAlignment="0" applyProtection="0"/>
    <xf numFmtId="186" fontId="72" fillId="0" borderId="0"/>
    <xf numFmtId="187" fontId="43" fillId="0" borderId="0"/>
    <xf numFmtId="188" fontId="43" fillId="0" borderId="0"/>
    <xf numFmtId="0" fontId="45" fillId="0" borderId="0"/>
    <xf numFmtId="0" fontId="5" fillId="0" borderId="0"/>
    <xf numFmtId="9" fontId="38" fillId="0" borderId="0" applyFont="0" applyFill="0" applyBorder="0" applyAlignment="0" applyProtection="0"/>
    <xf numFmtId="0" fontId="5" fillId="0" borderId="0"/>
    <xf numFmtId="0" fontId="5" fillId="0" borderId="0"/>
    <xf numFmtId="0" fontId="1" fillId="0" borderId="0"/>
    <xf numFmtId="4" fontId="70" fillId="52" borderId="40" applyNumberFormat="0" applyProtection="0">
      <alignment vertical="center"/>
    </xf>
    <xf numFmtId="4" fontId="73" fillId="52" borderId="40" applyNumberFormat="0" applyProtection="0">
      <alignment vertical="center"/>
    </xf>
    <xf numFmtId="4" fontId="70" fillId="52" borderId="40" applyNumberFormat="0" applyProtection="0">
      <alignment horizontal="left" vertical="center" indent="1"/>
    </xf>
    <xf numFmtId="4" fontId="70" fillId="52" borderId="40" applyNumberFormat="0" applyProtection="0">
      <alignment horizontal="left" vertical="center" indent="1"/>
    </xf>
    <xf numFmtId="0" fontId="45" fillId="59" borderId="40" applyNumberFormat="0" applyProtection="0">
      <alignment horizontal="left" vertical="center" indent="1"/>
    </xf>
    <xf numFmtId="4" fontId="70" fillId="60" borderId="40" applyNumberFormat="0" applyProtection="0">
      <alignment horizontal="right" vertical="center"/>
    </xf>
    <xf numFmtId="4" fontId="70" fillId="61" borderId="40" applyNumberFormat="0" applyProtection="0">
      <alignment horizontal="right" vertical="center"/>
    </xf>
    <xf numFmtId="4" fontId="70" fillId="62" borderId="40" applyNumberFormat="0" applyProtection="0">
      <alignment horizontal="right" vertical="center"/>
    </xf>
    <xf numFmtId="4" fontId="70" fillId="63" borderId="40" applyNumberFormat="0" applyProtection="0">
      <alignment horizontal="right" vertical="center"/>
    </xf>
    <xf numFmtId="4" fontId="70" fillId="64" borderId="40" applyNumberFormat="0" applyProtection="0">
      <alignment horizontal="right" vertical="center"/>
    </xf>
    <xf numFmtId="4" fontId="70" fillId="65" borderId="40" applyNumberFormat="0" applyProtection="0">
      <alignment horizontal="right" vertical="center"/>
    </xf>
    <xf numFmtId="4" fontId="70" fillId="66" borderId="40" applyNumberFormat="0" applyProtection="0">
      <alignment horizontal="right" vertical="center"/>
    </xf>
    <xf numFmtId="4" fontId="70" fillId="67" borderId="40" applyNumberFormat="0" applyProtection="0">
      <alignment horizontal="right" vertical="center"/>
    </xf>
    <xf numFmtId="4" fontId="70" fillId="68" borderId="40" applyNumberFormat="0" applyProtection="0">
      <alignment horizontal="right" vertical="center"/>
    </xf>
    <xf numFmtId="4" fontId="69" fillId="69" borderId="40" applyNumberFormat="0" applyProtection="0">
      <alignment horizontal="left" vertical="center" indent="1"/>
    </xf>
    <xf numFmtId="4" fontId="70" fillId="70" borderId="43" applyNumberFormat="0" applyProtection="0">
      <alignment horizontal="left" vertical="center" indent="1"/>
    </xf>
    <xf numFmtId="4" fontId="74" fillId="71" borderId="0" applyNumberFormat="0" applyProtection="0">
      <alignment horizontal="left" vertical="center" indent="1"/>
    </xf>
    <xf numFmtId="0" fontId="45" fillId="59" borderId="40" applyNumberFormat="0" applyProtection="0">
      <alignment horizontal="left" vertical="center" indent="1"/>
    </xf>
    <xf numFmtId="4" fontId="70" fillId="70" borderId="40" applyNumberFormat="0" applyProtection="0">
      <alignment horizontal="left" vertical="center" indent="1"/>
    </xf>
    <xf numFmtId="4" fontId="70" fillId="72" borderId="40" applyNumberFormat="0" applyProtection="0">
      <alignment horizontal="left" vertical="center" indent="1"/>
    </xf>
    <xf numFmtId="0" fontId="45" fillId="72" borderId="40" applyNumberFormat="0" applyProtection="0">
      <alignment horizontal="left" vertical="center" indent="1"/>
    </xf>
    <xf numFmtId="0" fontId="45" fillId="72" borderId="40" applyNumberFormat="0" applyProtection="0">
      <alignment horizontal="left" vertical="center" indent="1"/>
    </xf>
    <xf numFmtId="0" fontId="45" fillId="73" borderId="40" applyNumberFormat="0" applyProtection="0">
      <alignment horizontal="left" vertical="center" indent="1"/>
    </xf>
    <xf numFmtId="0" fontId="45" fillId="73" borderId="40" applyNumberFormat="0" applyProtection="0">
      <alignment horizontal="left" vertical="center" indent="1"/>
    </xf>
    <xf numFmtId="0" fontId="45" fillId="56" borderId="40" applyNumberFormat="0" applyProtection="0">
      <alignment horizontal="left" vertical="center" indent="1"/>
    </xf>
    <xf numFmtId="0" fontId="45" fillId="56"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4" fontId="70" fillId="74" borderId="40" applyNumberFormat="0" applyProtection="0">
      <alignment vertical="center"/>
    </xf>
    <xf numFmtId="4" fontId="73" fillId="74" borderId="40" applyNumberFormat="0" applyProtection="0">
      <alignment vertical="center"/>
    </xf>
    <xf numFmtId="4" fontId="70" fillId="74" borderId="40" applyNumberFormat="0" applyProtection="0">
      <alignment horizontal="left" vertical="center" indent="1"/>
    </xf>
    <xf numFmtId="4" fontId="70" fillId="74" borderId="40" applyNumberFormat="0" applyProtection="0">
      <alignment horizontal="left" vertical="center" indent="1"/>
    </xf>
    <xf numFmtId="4" fontId="70" fillId="70" borderId="40" applyNumberFormat="0" applyProtection="0">
      <alignment horizontal="right" vertical="center"/>
    </xf>
    <xf numFmtId="4" fontId="73" fillId="70" borderId="40" applyNumberFormat="0" applyProtection="0">
      <alignment horizontal="right" vertical="center"/>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75" fillId="0" borderId="0"/>
    <xf numFmtId="4" fontId="47" fillId="70" borderId="40" applyNumberFormat="0" applyProtection="0">
      <alignment horizontal="right" vertical="center"/>
    </xf>
    <xf numFmtId="164" fontId="1" fillId="0" borderId="0" applyFont="0" applyFill="0" applyBorder="0" applyAlignment="0" applyProtection="0"/>
    <xf numFmtId="0" fontId="1" fillId="0" borderId="0"/>
    <xf numFmtId="0" fontId="5" fillId="0" borderId="0"/>
    <xf numFmtId="0" fontId="5" fillId="0" borderId="0"/>
    <xf numFmtId="164" fontId="39" fillId="0" borderId="0" applyFont="0" applyFill="0" applyBorder="0" applyAlignment="0" applyProtection="0"/>
    <xf numFmtId="164" fontId="45" fillId="0" borderId="0" applyFont="0" applyFill="0" applyBorder="0" applyAlignment="0" applyProtection="0"/>
    <xf numFmtId="0" fontId="45" fillId="0" borderId="0"/>
    <xf numFmtId="0" fontId="5" fillId="0" borderId="0"/>
    <xf numFmtId="0" fontId="5" fillId="0" borderId="0"/>
    <xf numFmtId="0" fontId="5" fillId="0" borderId="0"/>
    <xf numFmtId="0" fontId="45" fillId="0" borderId="0"/>
    <xf numFmtId="164" fontId="41" fillId="0" borderId="0" applyFont="0" applyFill="0" applyBorder="0" applyAlignment="0" applyProtection="0"/>
    <xf numFmtId="164" fontId="76" fillId="0" borderId="0" applyFont="0" applyFill="0" applyBorder="0" applyAlignment="0" applyProtection="0"/>
    <xf numFmtId="164" fontId="45" fillId="0" borderId="0" applyFont="0" applyFill="0" applyBorder="0" applyAlignment="0" applyProtection="0"/>
    <xf numFmtId="164" fontId="5" fillId="0" borderId="0" applyFont="0" applyFill="0" applyBorder="0" applyAlignment="0" applyProtection="0"/>
    <xf numFmtId="164" fontId="67" fillId="0" borderId="0" applyFont="0" applyFill="0" applyBorder="0" applyAlignment="0" applyProtection="0"/>
    <xf numFmtId="0" fontId="45" fillId="0" borderId="0"/>
    <xf numFmtId="0" fontId="45" fillId="0" borderId="0"/>
    <xf numFmtId="164" fontId="38" fillId="0" borderId="0" applyFont="0" applyFill="0" applyBorder="0" applyAlignment="0" applyProtection="0"/>
    <xf numFmtId="168" fontId="67" fillId="0" borderId="0" applyFont="0" applyFill="0" applyBorder="0" applyAlignment="0" applyProtection="0"/>
    <xf numFmtId="0" fontId="5" fillId="0" borderId="0"/>
    <xf numFmtId="0" fontId="1" fillId="0" borderId="0"/>
    <xf numFmtId="164" fontId="76" fillId="0" borderId="0" applyFont="0" applyFill="0" applyBorder="0" applyAlignment="0" applyProtection="0"/>
    <xf numFmtId="0" fontId="1" fillId="0" borderId="0"/>
    <xf numFmtId="164" fontId="1" fillId="0" borderId="0" applyFont="0" applyFill="0" applyBorder="0" applyAlignment="0" applyProtection="0"/>
    <xf numFmtId="0" fontId="45" fillId="0" borderId="0"/>
    <xf numFmtId="0" fontId="45" fillId="0" borderId="0"/>
    <xf numFmtId="0" fontId="5" fillId="0" borderId="0"/>
    <xf numFmtId="0" fontId="45" fillId="0" borderId="0"/>
    <xf numFmtId="0" fontId="45" fillId="0" borderId="0"/>
    <xf numFmtId="0" fontId="78" fillId="0" borderId="0"/>
    <xf numFmtId="0" fontId="45" fillId="0" borderId="0"/>
    <xf numFmtId="0" fontId="45" fillId="0" borderId="0"/>
    <xf numFmtId="0" fontId="45" fillId="0" borderId="0"/>
    <xf numFmtId="0" fontId="78" fillId="0" borderId="0"/>
    <xf numFmtId="0" fontId="45" fillId="0" borderId="0"/>
    <xf numFmtId="0" fontId="79" fillId="0" borderId="0"/>
    <xf numFmtId="0" fontId="45" fillId="0" borderId="0"/>
    <xf numFmtId="0" fontId="45" fillId="0" borderId="0"/>
    <xf numFmtId="9" fontId="76" fillId="0" borderId="0" applyFont="0" applyFill="0" applyBorder="0" applyAlignment="0" applyProtection="0"/>
    <xf numFmtId="9" fontId="45" fillId="0" borderId="0" applyFont="0" applyFill="0" applyBorder="0" applyAlignment="0" applyProtection="0"/>
    <xf numFmtId="9" fontId="76" fillId="0" borderId="0" applyFont="0" applyFill="0" applyBorder="0" applyAlignment="0" applyProtection="0"/>
    <xf numFmtId="9" fontId="38" fillId="0" borderId="0" applyFont="0" applyFill="0" applyBorder="0" applyAlignment="0" applyProtection="0"/>
    <xf numFmtId="0" fontId="1" fillId="0" borderId="0"/>
    <xf numFmtId="189" fontId="77" fillId="0" borderId="0"/>
    <xf numFmtId="167" fontId="67" fillId="0" borderId="0" applyFont="0" applyFill="0" applyBorder="0" applyAlignment="0" applyProtection="0"/>
    <xf numFmtId="169" fontId="67" fillId="0" borderId="0" applyFont="0" applyFill="0" applyBorder="0" applyAlignment="0" applyProtection="0"/>
    <xf numFmtId="0" fontId="1" fillId="0" borderId="0"/>
    <xf numFmtId="164" fontId="38" fillId="0" borderId="0" applyFont="0" applyFill="0" applyBorder="0" applyAlignment="0" applyProtection="0"/>
    <xf numFmtId="0" fontId="80" fillId="0" borderId="0"/>
    <xf numFmtId="164" fontId="45"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39"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1"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38"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0" fontId="80" fillId="0" borderId="0"/>
    <xf numFmtId="0" fontId="80" fillId="0" borderId="0"/>
    <xf numFmtId="38" fontId="48" fillId="56" borderId="0" applyNumberFormat="0" applyBorder="0" applyAlignment="0" applyProtection="0"/>
    <xf numFmtId="0" fontId="81"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10" fontId="48" fillId="74" borderId="28" applyNumberFormat="0" applyBorder="0" applyAlignment="0" applyProtection="0"/>
    <xf numFmtId="38" fontId="83" fillId="0" borderId="0" applyFont="0" applyFill="0" applyBorder="0" applyAlignment="0" applyProtection="0"/>
    <xf numFmtId="40" fontId="83" fillId="0" borderId="0" applyFont="0" applyFill="0" applyBorder="0" applyAlignment="0" applyProtection="0"/>
    <xf numFmtId="176" fontId="83" fillId="0" borderId="0" applyFont="0" applyFill="0" applyBorder="0" applyAlignment="0" applyProtection="0"/>
    <xf numFmtId="177" fontId="83" fillId="0" borderId="0" applyFont="0" applyFill="0" applyBorder="0" applyAlignment="0" applyProtection="0"/>
    <xf numFmtId="37" fontId="84" fillId="0" borderId="0"/>
    <xf numFmtId="0" fontId="80" fillId="0" borderId="0"/>
    <xf numFmtId="0" fontId="71" fillId="0" borderId="0"/>
    <xf numFmtId="0" fontId="38" fillId="0" borderId="0"/>
    <xf numFmtId="0" fontId="41" fillId="0" borderId="0"/>
    <xf numFmtId="0" fontId="45" fillId="0" borderId="0"/>
    <xf numFmtId="0" fontId="71" fillId="0" borderId="0"/>
    <xf numFmtId="0" fontId="38" fillId="0" borderId="0"/>
    <xf numFmtId="0" fontId="45" fillId="0" borderId="0"/>
    <xf numFmtId="0" fontId="71" fillId="0" borderId="0"/>
    <xf numFmtId="0" fontId="45" fillId="0" borderId="0"/>
    <xf numFmtId="0" fontId="38" fillId="0" borderId="0"/>
    <xf numFmtId="0" fontId="45" fillId="0" borderId="0"/>
    <xf numFmtId="0" fontId="45" fillId="0" borderId="0"/>
    <xf numFmtId="0" fontId="71" fillId="0" borderId="0"/>
    <xf numFmtId="0" fontId="41" fillId="0" borderId="0"/>
    <xf numFmtId="0" fontId="41" fillId="0" borderId="0"/>
    <xf numFmtId="0" fontId="45" fillId="0" borderId="0"/>
    <xf numFmtId="0" fontId="45" fillId="0" borderId="0"/>
    <xf numFmtId="0" fontId="71" fillId="0" borderId="0"/>
    <xf numFmtId="0" fontId="5" fillId="0" borderId="0"/>
    <xf numFmtId="0" fontId="38" fillId="0" borderId="0"/>
    <xf numFmtId="0" fontId="38" fillId="0" borderId="0"/>
    <xf numFmtId="0" fontId="38" fillId="0" borderId="0"/>
    <xf numFmtId="0" fontId="71" fillId="0" borderId="0"/>
    <xf numFmtId="0" fontId="45" fillId="0" borderId="0"/>
    <xf numFmtId="0" fontId="45" fillId="0" borderId="0"/>
    <xf numFmtId="0" fontId="38" fillId="0" borderId="0"/>
    <xf numFmtId="0" fontId="71" fillId="0" borderId="0"/>
    <xf numFmtId="0" fontId="45" fillId="0" borderId="0"/>
    <xf numFmtId="0" fontId="71" fillId="0" borderId="0"/>
    <xf numFmtId="0" fontId="38" fillId="0" borderId="0"/>
    <xf numFmtId="0" fontId="41" fillId="0" borderId="0"/>
    <xf numFmtId="0" fontId="71" fillId="0" borderId="0"/>
    <xf numFmtId="0" fontId="45" fillId="0" borderId="0"/>
    <xf numFmtId="0" fontId="45" fillId="0" borderId="0"/>
    <xf numFmtId="0" fontId="45" fillId="0" borderId="0"/>
    <xf numFmtId="0" fontId="38" fillId="0" borderId="0"/>
    <xf numFmtId="0" fontId="71" fillId="0" borderId="0"/>
    <xf numFmtId="0" fontId="45" fillId="0" borderId="0"/>
    <xf numFmtId="0" fontId="45" fillId="0" borderId="0"/>
    <xf numFmtId="0" fontId="45" fillId="0" borderId="0"/>
    <xf numFmtId="0" fontId="45" fillId="0" borderId="0"/>
    <xf numFmtId="0" fontId="41" fillId="0" borderId="0"/>
    <xf numFmtId="0" fontId="41" fillId="0" borderId="0"/>
    <xf numFmtId="0" fontId="71" fillId="0" borderId="0"/>
    <xf numFmtId="0" fontId="38" fillId="0" borderId="0"/>
    <xf numFmtId="0" fontId="45" fillId="0" borderId="0"/>
    <xf numFmtId="0" fontId="71" fillId="0" borderId="0"/>
    <xf numFmtId="0" fontId="38" fillId="0" borderId="0"/>
    <xf numFmtId="0" fontId="71" fillId="0" borderId="0"/>
    <xf numFmtId="0" fontId="71" fillId="0" borderId="0"/>
    <xf numFmtId="0" fontId="71" fillId="0" borderId="0"/>
    <xf numFmtId="0" fontId="71" fillId="0" borderId="0"/>
    <xf numFmtId="0" fontId="38" fillId="0" borderId="0"/>
    <xf numFmtId="0" fontId="38" fillId="0" borderId="0"/>
    <xf numFmtId="0" fontId="71" fillId="0" borderId="0"/>
    <xf numFmtId="0" fontId="45" fillId="0" borderId="0"/>
    <xf numFmtId="0" fontId="71" fillId="0" borderId="0"/>
    <xf numFmtId="0" fontId="38" fillId="0" borderId="0"/>
    <xf numFmtId="0" fontId="71" fillId="0" borderId="0"/>
    <xf numFmtId="0" fontId="45" fillId="0" borderId="0"/>
    <xf numFmtId="0" fontId="71" fillId="0" borderId="0"/>
    <xf numFmtId="0" fontId="71" fillId="0" borderId="0"/>
    <xf numFmtId="0" fontId="71" fillId="0" borderId="0"/>
    <xf numFmtId="0" fontId="45" fillId="0" borderId="0"/>
    <xf numFmtId="0" fontId="38" fillId="0" borderId="0"/>
    <xf numFmtId="0" fontId="45" fillId="0" borderId="0"/>
    <xf numFmtId="0" fontId="71" fillId="0" borderId="0"/>
    <xf numFmtId="0" fontId="38" fillId="0" borderId="0"/>
    <xf numFmtId="0" fontId="45" fillId="0" borderId="0"/>
    <xf numFmtId="0" fontId="45" fillId="0" borderId="0"/>
    <xf numFmtId="0" fontId="71" fillId="0" borderId="0"/>
    <xf numFmtId="0" fontId="71" fillId="0" borderId="0"/>
    <xf numFmtId="0" fontId="38" fillId="0" borderId="0"/>
    <xf numFmtId="0" fontId="45" fillId="0" borderId="0"/>
    <xf numFmtId="0" fontId="45" fillId="0" borderId="0"/>
    <xf numFmtId="0" fontId="41" fillId="0" borderId="0"/>
    <xf numFmtId="0" fontId="1" fillId="0" borderId="0"/>
    <xf numFmtId="0" fontId="71" fillId="0" borderId="0"/>
    <xf numFmtId="0" fontId="38" fillId="0" borderId="0"/>
    <xf numFmtId="0" fontId="45" fillId="0" borderId="0"/>
    <xf numFmtId="0" fontId="71" fillId="0" borderId="0"/>
    <xf numFmtId="0" fontId="38" fillId="0" borderId="0"/>
    <xf numFmtId="0" fontId="45" fillId="0" borderId="0"/>
    <xf numFmtId="0" fontId="45" fillId="0" borderId="0"/>
    <xf numFmtId="0" fontId="71" fillId="0" borderId="0"/>
    <xf numFmtId="0" fontId="38" fillId="0" borderId="0"/>
    <xf numFmtId="0" fontId="38" fillId="0" borderId="0"/>
    <xf numFmtId="10" fontId="45"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38" fillId="0" borderId="0" applyFont="0" applyFill="0" applyBorder="0" applyAlignment="0" applyProtection="0"/>
    <xf numFmtId="9" fontId="83" fillId="0" borderId="7" applyNumberFormat="0" applyBorder="0"/>
    <xf numFmtId="1" fontId="45" fillId="0" borderId="30" applyNumberFormat="0" applyFill="0" applyAlignment="0" applyProtection="0">
      <alignment horizontal="center" vertical="center"/>
    </xf>
    <xf numFmtId="4" fontId="70" fillId="55" borderId="41" applyNumberFormat="0" applyProtection="0">
      <alignment horizontal="right" vertical="center"/>
    </xf>
    <xf numFmtId="4" fontId="70" fillId="54" borderId="41" applyNumberFormat="0" applyProtection="0">
      <alignment horizontal="left" vertical="center" indent="1"/>
    </xf>
    <xf numFmtId="0" fontId="70" fillId="53" borderId="41" applyNumberFormat="0" applyProtection="0">
      <alignment horizontal="left" vertical="top" indent="1"/>
    </xf>
    <xf numFmtId="4" fontId="85" fillId="75" borderId="0" applyNumberFormat="0" applyProtection="0">
      <alignment horizontal="left" vertical="center" indent="1"/>
    </xf>
    <xf numFmtId="0" fontId="1" fillId="0" borderId="0"/>
    <xf numFmtId="0" fontId="1" fillId="0" borderId="0"/>
    <xf numFmtId="0" fontId="1" fillId="0" borderId="0"/>
    <xf numFmtId="0" fontId="1" fillId="0" borderId="0"/>
    <xf numFmtId="0" fontId="1" fillId="0" borderId="0"/>
    <xf numFmtId="0" fontId="86" fillId="30" borderId="0" applyNumberFormat="0" applyBorder="0" applyAlignment="0" applyProtection="0"/>
    <xf numFmtId="0" fontId="127" fillId="41" borderId="0" applyNumberFormat="0" applyBorder="0" applyAlignment="0" applyProtection="0"/>
    <xf numFmtId="0" fontId="86" fillId="31" borderId="0" applyNumberFormat="0" applyBorder="0" applyAlignment="0" applyProtection="0"/>
    <xf numFmtId="0" fontId="127" fillId="41" borderId="0" applyNumberFormat="0" applyBorder="0" applyAlignment="0" applyProtection="0"/>
    <xf numFmtId="0" fontId="86" fillId="32" borderId="0" applyNumberFormat="0" applyBorder="0" applyAlignment="0" applyProtection="0"/>
    <xf numFmtId="0" fontId="127" fillId="41" borderId="0" applyNumberFormat="0" applyBorder="0" applyAlignment="0" applyProtection="0"/>
    <xf numFmtId="0" fontId="86" fillId="33" borderId="0" applyNumberFormat="0" applyBorder="0" applyAlignment="0" applyProtection="0"/>
    <xf numFmtId="0" fontId="127" fillId="41" borderId="0" applyNumberFormat="0" applyBorder="0" applyAlignment="0" applyProtection="0"/>
    <xf numFmtId="0" fontId="86" fillId="34" borderId="0" applyNumberFormat="0" applyBorder="0" applyAlignment="0" applyProtection="0"/>
    <xf numFmtId="0" fontId="127" fillId="41" borderId="0" applyNumberFormat="0" applyBorder="0" applyAlignment="0" applyProtection="0"/>
    <xf numFmtId="0" fontId="86" fillId="35" borderId="0" applyNumberFormat="0" applyBorder="0" applyAlignment="0" applyProtection="0"/>
    <xf numFmtId="0" fontId="127" fillId="41" borderId="0" applyNumberFormat="0" applyBorder="0" applyAlignment="0" applyProtection="0"/>
    <xf numFmtId="0" fontId="86" fillId="36" borderId="0" applyNumberFormat="0" applyBorder="0" applyAlignment="0" applyProtection="0"/>
    <xf numFmtId="0" fontId="127" fillId="41" borderId="0" applyNumberFormat="0" applyBorder="0" applyAlignment="0" applyProtection="0"/>
    <xf numFmtId="0" fontId="86" fillId="37" borderId="0" applyNumberFormat="0" applyBorder="0" applyAlignment="0" applyProtection="0"/>
    <xf numFmtId="0" fontId="127" fillId="41" borderId="0" applyNumberFormat="0" applyBorder="0" applyAlignment="0" applyProtection="0"/>
    <xf numFmtId="0" fontId="86" fillId="38" borderId="0" applyNumberFormat="0" applyBorder="0" applyAlignment="0" applyProtection="0"/>
    <xf numFmtId="0" fontId="127" fillId="41" borderId="0" applyNumberFormat="0" applyBorder="0" applyAlignment="0" applyProtection="0"/>
    <xf numFmtId="0" fontId="86" fillId="33" borderId="0" applyNumberFormat="0" applyBorder="0" applyAlignment="0" applyProtection="0"/>
    <xf numFmtId="0" fontId="127" fillId="41" borderId="0" applyNumberFormat="0" applyBorder="0" applyAlignment="0" applyProtection="0"/>
    <xf numFmtId="0" fontId="86" fillId="36" borderId="0" applyNumberFormat="0" applyBorder="0" applyAlignment="0" applyProtection="0"/>
    <xf numFmtId="0" fontId="127" fillId="41" borderId="0" applyNumberFormat="0" applyBorder="0" applyAlignment="0" applyProtection="0"/>
    <xf numFmtId="0" fontId="86" fillId="39" borderId="0" applyNumberFormat="0" applyBorder="0" applyAlignment="0" applyProtection="0"/>
    <xf numFmtId="0" fontId="127" fillId="41" borderId="0" applyNumberFormat="0" applyBorder="0" applyAlignment="0" applyProtection="0"/>
    <xf numFmtId="0" fontId="87" fillId="40" borderId="0" applyNumberFormat="0" applyBorder="0" applyAlignment="0" applyProtection="0"/>
    <xf numFmtId="0" fontId="127" fillId="41" borderId="0" applyNumberFormat="0" applyBorder="0" applyAlignment="0" applyProtection="0"/>
    <xf numFmtId="0" fontId="87" fillId="37" borderId="0" applyNumberFormat="0" applyBorder="0" applyAlignment="0" applyProtection="0"/>
    <xf numFmtId="0" fontId="127" fillId="41" borderId="0" applyNumberFormat="0" applyBorder="0" applyAlignment="0" applyProtection="0"/>
    <xf numFmtId="0" fontId="87" fillId="38" borderId="0" applyNumberFormat="0" applyBorder="0" applyAlignment="0" applyProtection="0"/>
    <xf numFmtId="0" fontId="127" fillId="41" borderId="0" applyNumberFormat="0" applyBorder="0" applyAlignment="0" applyProtection="0"/>
    <xf numFmtId="0" fontId="87" fillId="41" borderId="0" applyNumberFormat="0" applyBorder="0" applyAlignment="0" applyProtection="0"/>
    <xf numFmtId="0" fontId="127" fillId="41" borderId="0" applyNumberFormat="0" applyBorder="0" applyAlignment="0" applyProtection="0"/>
    <xf numFmtId="0" fontId="87" fillId="42" borderId="0" applyNumberFormat="0" applyBorder="0" applyAlignment="0" applyProtection="0"/>
    <xf numFmtId="0" fontId="127" fillId="41" borderId="0" applyNumberFormat="0" applyBorder="0" applyAlignment="0" applyProtection="0"/>
    <xf numFmtId="0" fontId="87" fillId="43"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76" fillId="76" borderId="0" applyNumberFormat="0" applyBorder="0" applyAlignment="0" applyProtection="0"/>
    <xf numFmtId="0" fontId="76" fillId="77" borderId="0" applyNumberFormat="0" applyBorder="0" applyAlignment="0" applyProtection="0"/>
    <xf numFmtId="0" fontId="88" fillId="78"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7" fillId="44"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127" fillId="41"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88" fillId="79" borderId="0" applyNumberFormat="0" applyBorder="0" applyAlignment="0" applyProtection="0"/>
    <xf numFmtId="0" fontId="76" fillId="80" borderId="0" applyNumberFormat="0" applyBorder="0" applyAlignment="0" applyProtection="0"/>
    <xf numFmtId="0" fontId="76" fillId="81" borderId="0" applyNumberFormat="0" applyBorder="0" applyAlignment="0" applyProtection="0"/>
    <xf numFmtId="0" fontId="88" fillId="82"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7" fillId="45"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127" fillId="41"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88" fillId="83" borderId="0" applyNumberFormat="0" applyBorder="0" applyAlignment="0" applyProtection="0"/>
    <xf numFmtId="0" fontId="76" fillId="84" borderId="0" applyNumberFormat="0" applyBorder="0" applyAlignment="0" applyProtection="0"/>
    <xf numFmtId="0" fontId="76" fillId="85" borderId="0" applyNumberFormat="0" applyBorder="0" applyAlignment="0" applyProtection="0"/>
    <xf numFmtId="0" fontId="88" fillId="86"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7" fillId="46"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127" fillId="41"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88" fillId="87" borderId="0" applyNumberFormat="0" applyBorder="0" applyAlignment="0" applyProtection="0"/>
    <xf numFmtId="0" fontId="76" fillId="80" borderId="0" applyNumberFormat="0" applyBorder="0" applyAlignment="0" applyProtection="0"/>
    <xf numFmtId="0" fontId="76" fillId="88" borderId="0" applyNumberFormat="0" applyBorder="0" applyAlignment="0" applyProtection="0"/>
    <xf numFmtId="0" fontId="88" fillId="81"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7" fillId="41"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127" fillId="41"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88" fillId="89" borderId="0" applyNumberFormat="0" applyBorder="0" applyAlignment="0" applyProtection="0"/>
    <xf numFmtId="0" fontId="76" fillId="90" borderId="0" applyNumberFormat="0" applyBorder="0" applyAlignment="0" applyProtection="0"/>
    <xf numFmtId="0" fontId="76" fillId="91"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7" fillId="42"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127" fillId="41"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88" fillId="78" borderId="0" applyNumberFormat="0" applyBorder="0" applyAlignment="0" applyProtection="0"/>
    <xf numFmtId="0" fontId="76" fillId="92" borderId="0" applyNumberFormat="0" applyBorder="0" applyAlignment="0" applyProtection="0"/>
    <xf numFmtId="0" fontId="76" fillId="93" borderId="0" applyNumberFormat="0" applyBorder="0" applyAlignment="0" applyProtection="0"/>
    <xf numFmtId="0" fontId="88" fillId="94"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7" fillId="47"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127" fillId="41"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8" fillId="95" borderId="0" applyNumberFormat="0" applyBorder="0" applyAlignment="0" applyProtection="0"/>
    <xf numFmtId="0" fontId="89" fillId="31" borderId="0" applyNumberFormat="0" applyBorder="0" applyAlignment="0" applyProtection="0"/>
    <xf numFmtId="0" fontId="127" fillId="41" borderId="0" applyNumberFormat="0" applyBorder="0" applyAlignment="0" applyProtection="0"/>
    <xf numFmtId="0" fontId="90" fillId="92" borderId="0" applyNumberFormat="0" applyBorder="0" applyAlignment="0" applyProtection="0"/>
    <xf numFmtId="0" fontId="91" fillId="48" borderId="33" applyNumberFormat="0" applyAlignment="0" applyProtection="0"/>
    <xf numFmtId="0" fontId="127" fillId="41" borderId="0" applyNumberFormat="0" applyBorder="0" applyAlignment="0" applyProtection="0"/>
    <xf numFmtId="0" fontId="92" fillId="96" borderId="44" applyNumberFormat="0" applyAlignment="0" applyProtection="0"/>
    <xf numFmtId="0" fontId="93" fillId="49" borderId="34" applyNumberFormat="0" applyAlignment="0" applyProtection="0"/>
    <xf numFmtId="0" fontId="127" fillId="41" borderId="0" applyNumberFormat="0" applyBorder="0" applyAlignment="0" applyProtection="0"/>
    <xf numFmtId="0" fontId="94" fillId="89" borderId="34" applyNumberFormat="0" applyAlignment="0" applyProtection="0"/>
    <xf numFmtId="0" fontId="127" fillId="41" borderId="0" applyNumberFormat="0" applyBorder="0" applyAlignment="0" applyProtection="0"/>
    <xf numFmtId="0" fontId="127" fillId="41" borderId="0" applyNumberFormat="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38"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0" fontId="127" fillId="41" borderId="0" applyNumberFormat="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86"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41" fillId="0" borderId="0" applyFont="0" applyFill="0" applyBorder="0" applyAlignment="0" applyProtection="0"/>
    <xf numFmtId="0" fontId="127" fillId="41" borderId="0" applyNumberFormat="0" applyBorder="0" applyAlignment="0" applyProtection="0"/>
    <xf numFmtId="164" fontId="45"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164" fontId="95" fillId="0" borderId="0" applyFont="0" applyFill="0" applyBorder="0" applyAlignment="0" applyProtection="0"/>
    <xf numFmtId="164" fontId="86" fillId="0" borderId="0" applyFont="0" applyFill="0" applyBorder="0" applyAlignment="0" applyProtection="0"/>
    <xf numFmtId="164" fontId="76" fillId="0" borderId="0" applyFont="0" applyFill="0" applyBorder="0" applyAlignment="0" applyProtection="0"/>
    <xf numFmtId="164" fontId="5" fillId="0" borderId="0" applyFont="0" applyFill="0" applyBorder="0" applyAlignment="0" applyProtection="0"/>
    <xf numFmtId="164" fontId="38" fillId="0" borderId="0" applyFont="0" applyFill="0" applyBorder="0" applyAlignment="0" applyProtection="0"/>
    <xf numFmtId="164" fontId="41" fillId="0" borderId="0" applyFont="0" applyFill="0" applyBorder="0" applyAlignment="0" applyProtection="0"/>
    <xf numFmtId="164" fontId="45" fillId="0" borderId="0" applyFont="0" applyFill="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169" fontId="41" fillId="0" borderId="0" applyFont="0" applyFill="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96" fillId="97" borderId="0" applyNumberFormat="0" applyBorder="0" applyAlignment="0" applyProtection="0"/>
    <xf numFmtId="0" fontId="96" fillId="98" borderId="0" applyNumberFormat="0" applyBorder="0" applyAlignment="0" applyProtection="0"/>
    <xf numFmtId="0" fontId="96" fillId="99" borderId="0" applyNumberFormat="0" applyBorder="0" applyAlignment="0" applyProtection="0"/>
    <xf numFmtId="0" fontId="97" fillId="0" borderId="0" applyNumberFormat="0" applyFill="0" applyBorder="0" applyAlignment="0" applyProtection="0"/>
    <xf numFmtId="0" fontId="127" fillId="41" borderId="0" applyNumberFormat="0" applyBorder="0" applyAlignment="0" applyProtection="0"/>
    <xf numFmtId="0" fontId="125" fillId="28" borderId="0" applyNumberFormat="0" applyBorder="0" applyAlignment="0" applyProtection="0"/>
    <xf numFmtId="0" fontId="127" fillId="41" borderId="0" applyNumberFormat="0" applyBorder="0" applyAlignment="0" applyProtection="0"/>
    <xf numFmtId="0" fontId="76" fillId="85"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98" fillId="0" borderId="35" applyNumberFormat="0" applyFill="0" applyAlignment="0" applyProtection="0"/>
    <xf numFmtId="0" fontId="127" fillId="41" borderId="0" applyNumberFormat="0" applyBorder="0" applyAlignment="0" applyProtection="0"/>
    <xf numFmtId="0" fontId="99" fillId="0" borderId="45" applyNumberFormat="0" applyFill="0" applyAlignment="0" applyProtection="0"/>
    <xf numFmtId="0" fontId="100" fillId="0" borderId="36" applyNumberFormat="0" applyFill="0" applyAlignment="0" applyProtection="0"/>
    <xf numFmtId="0" fontId="127" fillId="41" borderId="0" applyNumberFormat="0" applyBorder="0" applyAlignment="0" applyProtection="0"/>
    <xf numFmtId="0" fontId="101" fillId="0" borderId="46" applyNumberFormat="0" applyFill="0" applyAlignment="0" applyProtection="0"/>
    <xf numFmtId="0" fontId="102" fillId="0" borderId="37" applyNumberFormat="0" applyFill="0" applyAlignment="0" applyProtection="0"/>
    <xf numFmtId="0" fontId="127" fillId="41" borderId="0" applyNumberFormat="0" applyBorder="0" applyAlignment="0" applyProtection="0"/>
    <xf numFmtId="0" fontId="103" fillId="0" borderId="47" applyNumberFormat="0" applyFill="0" applyAlignment="0" applyProtection="0"/>
    <xf numFmtId="0" fontId="102" fillId="0" borderId="0" applyNumberFormat="0" applyFill="0" applyBorder="0" applyAlignment="0" applyProtection="0"/>
    <xf numFmtId="0" fontId="127" fillId="41" borderId="0" applyNumberFormat="0" applyBorder="0" applyAlignment="0" applyProtection="0"/>
    <xf numFmtId="0" fontId="103" fillId="0" borderId="0" applyNumberFormat="0" applyFill="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04"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26" fillId="0" borderId="0" applyNumberFormat="0" applyFill="0" applyBorder="0" applyAlignment="0" applyProtection="0">
      <alignment vertical="top"/>
      <protection locked="0"/>
    </xf>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6" fillId="35" borderId="33"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6" fillId="35" borderId="33"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5" fillId="93" borderId="44" applyNumberFormat="0" applyAlignment="0" applyProtection="0"/>
    <xf numFmtId="0" fontId="107" fillId="0" borderId="38" applyNumberFormat="0" applyFill="0" applyAlignment="0" applyProtection="0"/>
    <xf numFmtId="0" fontId="127" fillId="42" borderId="0" applyNumberFormat="0" applyBorder="0" applyAlignment="0" applyProtection="0"/>
    <xf numFmtId="0" fontId="108" fillId="0" borderId="48" applyNumberFormat="0" applyFill="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09" fillId="50" borderId="0" applyNumberFormat="0" applyBorder="0" applyAlignment="0" applyProtection="0"/>
    <xf numFmtId="0" fontId="127" fillId="42" borderId="0" applyNumberFormat="0" applyBorder="0" applyAlignment="0" applyProtection="0"/>
    <xf numFmtId="0" fontId="108" fillId="93"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71" fillId="0" borderId="0"/>
    <xf numFmtId="0" fontId="110" fillId="0" borderId="0"/>
    <xf numFmtId="0" fontId="71" fillId="0" borderId="0"/>
    <xf numFmtId="0" fontId="110" fillId="0" borderId="0"/>
    <xf numFmtId="0" fontId="71" fillId="0" borderId="0"/>
    <xf numFmtId="0" fontId="45" fillId="0" borderId="0"/>
    <xf numFmtId="0" fontId="45" fillId="0" borderId="0"/>
    <xf numFmtId="0" fontId="71" fillId="0" borderId="0"/>
    <xf numFmtId="0" fontId="110" fillId="0" borderId="0"/>
    <xf numFmtId="0" fontId="45" fillId="0" borderId="0"/>
    <xf numFmtId="0" fontId="127" fillId="42" borderId="0" applyNumberFormat="0" applyBorder="0" applyAlignment="0" applyProtection="0"/>
    <xf numFmtId="0" fontId="45" fillId="0" borderId="0"/>
    <xf numFmtId="0" fontId="45" fillId="0" borderId="0"/>
    <xf numFmtId="0" fontId="45" fillId="0" borderId="0"/>
    <xf numFmtId="0" fontId="71" fillId="0" borderId="0"/>
    <xf numFmtId="0" fontId="110" fillId="0" borderId="0"/>
    <xf numFmtId="0" fontId="1" fillId="0" borderId="0"/>
    <xf numFmtId="0" fontId="45" fillId="0" borderId="0"/>
    <xf numFmtId="0" fontId="1" fillId="0" borderId="0"/>
    <xf numFmtId="0" fontId="1" fillId="0" borderId="0"/>
    <xf numFmtId="0" fontId="71" fillId="0" borderId="0"/>
    <xf numFmtId="0" fontId="127" fillId="42" borderId="0" applyNumberFormat="0" applyBorder="0" applyAlignment="0" applyProtection="0"/>
    <xf numFmtId="0" fontId="41" fillId="0" borderId="0"/>
    <xf numFmtId="0" fontId="5" fillId="0" borderId="0"/>
    <xf numFmtId="0" fontId="110" fillId="0" borderId="0"/>
    <xf numFmtId="0" fontId="71" fillId="0" borderId="0"/>
    <xf numFmtId="0" fontId="1" fillId="0" borderId="0"/>
    <xf numFmtId="0" fontId="1" fillId="0" borderId="0"/>
    <xf numFmtId="0" fontId="78" fillId="0" borderId="0"/>
    <xf numFmtId="0" fontId="78" fillId="0" borderId="0"/>
    <xf numFmtId="0" fontId="78" fillId="0" borderId="0"/>
    <xf numFmtId="0" fontId="78" fillId="0" borderId="0"/>
    <xf numFmtId="0" fontId="78" fillId="0" borderId="0"/>
    <xf numFmtId="0" fontId="127" fillId="42" borderId="0" applyNumberFormat="0" applyBorder="0" applyAlignment="0" applyProtection="0"/>
    <xf numFmtId="0" fontId="78" fillId="0" borderId="0"/>
    <xf numFmtId="0" fontId="78" fillId="0" borderId="0"/>
    <xf numFmtId="0" fontId="78" fillId="0" borderId="0"/>
    <xf numFmtId="0" fontId="78" fillId="0" borderId="0"/>
    <xf numFmtId="0" fontId="1" fillId="0" borderId="0"/>
    <xf numFmtId="0" fontId="48" fillId="100" borderId="0"/>
    <xf numFmtId="0" fontId="48" fillId="100" borderId="0"/>
    <xf numFmtId="0" fontId="48" fillId="100" borderId="0"/>
    <xf numFmtId="0" fontId="48" fillId="100" borderId="0"/>
    <xf numFmtId="0" fontId="48" fillId="100" borderId="0"/>
    <xf numFmtId="0" fontId="127" fillId="42" borderId="0" applyNumberFormat="0" applyBorder="0" applyAlignment="0" applyProtection="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127" fillId="42" borderId="0" applyNumberFormat="0" applyBorder="0" applyAlignment="0" applyProtection="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127" fillId="42" borderId="0" applyNumberFormat="0" applyBorder="0" applyAlignment="0" applyProtection="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127" fillId="42" borderId="0" applyNumberFormat="0" applyBorder="0" applyAlignment="0" applyProtection="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127" fillId="42" borderId="0" applyNumberFormat="0" applyBorder="0" applyAlignment="0" applyProtection="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127" fillId="42" borderId="0" applyNumberFormat="0" applyBorder="0" applyAlignment="0" applyProtection="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127" fillId="42" borderId="0" applyNumberFormat="0" applyBorder="0" applyAlignment="0" applyProtection="0"/>
    <xf numFmtId="0" fontId="127" fillId="42" borderId="0" applyNumberFormat="0" applyBorder="0" applyAlignment="0" applyProtection="0"/>
    <xf numFmtId="0" fontId="41" fillId="0" borderId="0"/>
    <xf numFmtId="0" fontId="71" fillId="0" borderId="0"/>
    <xf numFmtId="0" fontId="71" fillId="0" borderId="0"/>
    <xf numFmtId="0" fontId="71" fillId="0" borderId="0"/>
    <xf numFmtId="0" fontId="1" fillId="0" borderId="0"/>
    <xf numFmtId="0" fontId="38" fillId="0" borderId="0"/>
    <xf numFmtId="0" fontId="127" fillId="42" borderId="0" applyNumberFormat="0" applyBorder="0" applyAlignment="0" applyProtection="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127" fillId="42" borderId="0" applyNumberFormat="0" applyBorder="0" applyAlignment="0" applyProtection="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127" fillId="42" borderId="0" applyNumberFormat="0" applyBorder="0" applyAlignment="0" applyProtection="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127" fillId="42" borderId="0" applyNumberFormat="0" applyBorder="0" applyAlignment="0" applyProtection="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48" fillId="100" borderId="0"/>
    <xf numFmtId="0" fontId="127" fillId="42" borderId="0" applyNumberFormat="0" applyBorder="0" applyAlignment="0" applyProtection="0"/>
    <xf numFmtId="0" fontId="38" fillId="0" borderId="0"/>
    <xf numFmtId="0" fontId="71" fillId="0" borderId="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68" fillId="0" borderId="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71" fillId="0" borderId="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 fillId="0" borderId="0"/>
    <xf numFmtId="0" fontId="1" fillId="0" borderId="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41" fillId="0" borderId="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38" fillId="0" borderId="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127" fillId="47" borderId="0" applyNumberFormat="0" applyBorder="0" applyAlignment="0" applyProtection="0"/>
    <xf numFmtId="0" fontId="38" fillId="0" borderId="0"/>
    <xf numFmtId="0" fontId="127" fillId="47" borderId="0" applyNumberFormat="0" applyBorder="0" applyAlignment="0" applyProtection="0"/>
    <xf numFmtId="0" fontId="71" fillId="0" borderId="0"/>
    <xf numFmtId="0" fontId="45" fillId="0" borderId="0"/>
    <xf numFmtId="0" fontId="41" fillId="0" borderId="0"/>
    <xf numFmtId="0" fontId="38" fillId="0" borderId="0"/>
    <xf numFmtId="0" fontId="71" fillId="0" borderId="0"/>
    <xf numFmtId="0" fontId="45" fillId="0" borderId="0"/>
    <xf numFmtId="0" fontId="71" fillId="0" borderId="0"/>
    <xf numFmtId="0" fontId="71" fillId="0" borderId="0"/>
    <xf numFmtId="0" fontId="45" fillId="0" borderId="0"/>
    <xf numFmtId="0" fontId="45" fillId="0" borderId="0"/>
    <xf numFmtId="0" fontId="110" fillId="0" borderId="0"/>
    <xf numFmtId="0" fontId="128" fillId="31" borderId="0" applyNumberFormat="0" applyBorder="0" applyAlignment="0" applyProtection="0"/>
    <xf numFmtId="0" fontId="128" fillId="31" borderId="0" applyNumberFormat="0" applyBorder="0" applyAlignment="0" applyProtection="0"/>
    <xf numFmtId="0" fontId="86" fillId="29" borderId="32" applyNumberFormat="0" applyFont="0" applyAlignment="0" applyProtection="0"/>
    <xf numFmtId="0" fontId="128" fillId="31" borderId="0" applyNumberFormat="0" applyBorder="0" applyAlignment="0" applyProtection="0"/>
    <xf numFmtId="0" fontId="48" fillId="92" borderId="44" applyNumberFormat="0" applyFont="0" applyAlignment="0" applyProtection="0"/>
    <xf numFmtId="0" fontId="111" fillId="48" borderId="40" applyNumberFormat="0" applyAlignment="0" applyProtection="0"/>
    <xf numFmtId="0" fontId="128" fillId="31" borderId="0" applyNumberFormat="0" applyBorder="0" applyAlignment="0" applyProtection="0"/>
    <xf numFmtId="0" fontId="112" fillId="96" borderId="40" applyNumberFormat="0" applyAlignment="0" applyProtection="0"/>
    <xf numFmtId="9" fontId="1" fillId="0" borderId="0" applyFont="0" applyFill="0" applyBorder="0" applyAlignment="0" applyProtection="0"/>
    <xf numFmtId="0" fontId="128" fillId="31" borderId="0" applyNumberFormat="0" applyBorder="0" applyAlignment="0" applyProtection="0"/>
    <xf numFmtId="0" fontId="128" fillId="31" borderId="0" applyNumberFormat="0" applyBorder="0" applyAlignment="0" applyProtection="0"/>
    <xf numFmtId="9" fontId="45" fillId="0" borderId="0" applyFont="0" applyFill="0" applyBorder="0" applyAlignment="0" applyProtection="0"/>
    <xf numFmtId="0" fontId="128" fillId="31" borderId="0" applyNumberFormat="0" applyBorder="0" applyAlignment="0" applyProtection="0"/>
    <xf numFmtId="0" fontId="128" fillId="31" borderId="0" applyNumberFormat="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76" fillId="0" borderId="0" applyFont="0" applyFill="0" applyBorder="0" applyAlignment="0" applyProtection="0"/>
    <xf numFmtId="9" fontId="86" fillId="0" borderId="0" applyFont="0" applyFill="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4" fontId="48" fillId="50" borderId="44" applyNumberFormat="0" applyProtection="0">
      <alignment vertical="center"/>
    </xf>
    <xf numFmtId="4" fontId="113" fillId="52" borderId="41" applyNumberFormat="0" applyProtection="0">
      <alignment vertical="center"/>
    </xf>
    <xf numFmtId="4" fontId="114" fillId="52" borderId="44" applyNumberFormat="0" applyProtection="0">
      <alignment vertical="center"/>
    </xf>
    <xf numFmtId="0" fontId="128" fillId="31" borderId="0" applyNumberFormat="0" applyBorder="0" applyAlignment="0" applyProtection="0"/>
    <xf numFmtId="0" fontId="128" fillId="31" borderId="0" applyNumberFormat="0" applyBorder="0" applyAlignment="0" applyProtection="0"/>
    <xf numFmtId="4" fontId="48" fillId="52" borderId="44" applyNumberFormat="0" applyProtection="0">
      <alignment horizontal="left" vertical="center" indent="1"/>
    </xf>
    <xf numFmtId="0" fontId="69" fillId="52" borderId="41" applyNumberFormat="0" applyProtection="0">
      <alignment horizontal="left" vertical="top" indent="1"/>
    </xf>
    <xf numFmtId="0" fontId="115" fillId="50" borderId="41" applyNumberFormat="0" applyProtection="0">
      <alignment horizontal="left" vertical="top" indent="1"/>
    </xf>
    <xf numFmtId="0" fontId="128" fillId="31" borderId="0" applyNumberFormat="0" applyBorder="0" applyAlignment="0" applyProtection="0"/>
    <xf numFmtId="0" fontId="128" fillId="31" borderId="0" applyNumberFormat="0" applyBorder="0" applyAlignment="0" applyProtection="0"/>
    <xf numFmtId="4" fontId="48" fillId="42" borderId="44" applyNumberFormat="0" applyProtection="0">
      <alignment horizontal="left" vertical="center" indent="1"/>
    </xf>
    <xf numFmtId="4" fontId="70" fillId="31" borderId="41" applyNumberFormat="0" applyProtection="0">
      <alignment horizontal="right" vertical="center"/>
    </xf>
    <xf numFmtId="4" fontId="48" fillId="31" borderId="44" applyNumberFormat="0" applyProtection="0">
      <alignment horizontal="right" vertical="center"/>
    </xf>
    <xf numFmtId="4" fontId="70" fillId="37" borderId="41" applyNumberFormat="0" applyProtection="0">
      <alignment horizontal="right" vertical="center"/>
    </xf>
    <xf numFmtId="4" fontId="48" fillId="101" borderId="44" applyNumberFormat="0" applyProtection="0">
      <alignment horizontal="right" vertical="center"/>
    </xf>
    <xf numFmtId="4" fontId="70" fillId="45" borderId="41" applyNumberFormat="0" applyProtection="0">
      <alignment horizontal="right" vertical="center"/>
    </xf>
    <xf numFmtId="4" fontId="48" fillId="45" borderId="49" applyNumberFormat="0" applyProtection="0">
      <alignment horizontal="right" vertical="center"/>
    </xf>
    <xf numFmtId="4" fontId="70" fillId="39" borderId="41" applyNumberFormat="0" applyProtection="0">
      <alignment horizontal="right" vertical="center"/>
    </xf>
    <xf numFmtId="4" fontId="48" fillId="39" borderId="44" applyNumberFormat="0" applyProtection="0">
      <alignment horizontal="right" vertical="center"/>
    </xf>
    <xf numFmtId="4" fontId="70" fillId="43" borderId="41" applyNumberFormat="0" applyProtection="0">
      <alignment horizontal="right" vertical="center"/>
    </xf>
    <xf numFmtId="4" fontId="48" fillId="43" borderId="44" applyNumberFormat="0" applyProtection="0">
      <alignment horizontal="right" vertical="center"/>
    </xf>
    <xf numFmtId="4" fontId="70" fillId="47" borderId="41" applyNumberFormat="0" applyProtection="0">
      <alignment horizontal="right" vertical="center"/>
    </xf>
    <xf numFmtId="4" fontId="48" fillId="47" borderId="44" applyNumberFormat="0" applyProtection="0">
      <alignment horizontal="right" vertical="center"/>
    </xf>
    <xf numFmtId="4" fontId="70" fillId="46" borderId="41" applyNumberFormat="0" applyProtection="0">
      <alignment horizontal="right" vertical="center"/>
    </xf>
    <xf numFmtId="4" fontId="48" fillId="46" borderId="44" applyNumberFormat="0" applyProtection="0">
      <alignment horizontal="right" vertical="center"/>
    </xf>
    <xf numFmtId="4" fontId="70" fillId="102" borderId="41" applyNumberFormat="0" applyProtection="0">
      <alignment horizontal="right" vertical="center"/>
    </xf>
    <xf numFmtId="4" fontId="48" fillId="102" borderId="44" applyNumberFormat="0" applyProtection="0">
      <alignment horizontal="right" vertical="center"/>
    </xf>
    <xf numFmtId="4" fontId="70" fillId="38" borderId="41" applyNumberFormat="0" applyProtection="0">
      <alignment horizontal="right" vertical="center"/>
    </xf>
    <xf numFmtId="4" fontId="48" fillId="38" borderId="44" applyNumberFormat="0" applyProtection="0">
      <alignment horizontal="right" vertical="center"/>
    </xf>
    <xf numFmtId="4" fontId="69" fillId="103" borderId="50" applyNumberFormat="0" applyProtection="0">
      <alignment horizontal="left" vertical="center" indent="1"/>
    </xf>
    <xf numFmtId="4" fontId="48" fillId="103" borderId="49" applyNumberFormat="0" applyProtection="0">
      <alignment horizontal="left" vertical="center" indent="1"/>
    </xf>
    <xf numFmtId="4" fontId="70" fillId="55" borderId="0" applyNumberFormat="0" applyProtection="0">
      <alignment horizontal="left" vertical="center" indent="1"/>
    </xf>
    <xf numFmtId="4" fontId="45" fillId="104" borderId="49" applyNumberFormat="0" applyProtection="0">
      <alignment horizontal="left" vertical="center" indent="1"/>
    </xf>
    <xf numFmtId="0" fontId="128" fillId="31" borderId="0" applyNumberFormat="0" applyBorder="0" applyAlignment="0" applyProtection="0"/>
    <xf numFmtId="4" fontId="45" fillId="104" borderId="49" applyNumberFormat="0" applyProtection="0">
      <alignment horizontal="left" vertical="center" indent="1"/>
    </xf>
    <xf numFmtId="0" fontId="128" fillId="31" borderId="0" applyNumberFormat="0" applyBorder="0" applyAlignment="0" applyProtection="0"/>
    <xf numFmtId="4" fontId="48" fillId="54" borderId="44" applyNumberFormat="0" applyProtection="0">
      <alignment horizontal="right" vertical="center"/>
    </xf>
    <xf numFmtId="4" fontId="70" fillId="55" borderId="0" applyNumberFormat="0" applyProtection="0">
      <alignment horizontal="left" vertical="center" indent="1"/>
    </xf>
    <xf numFmtId="4" fontId="48" fillId="55" borderId="49" applyNumberFormat="0" applyProtection="0">
      <alignment horizontal="left" vertical="center" indent="1"/>
    </xf>
    <xf numFmtId="4" fontId="70" fillId="53" borderId="0" applyNumberFormat="0" applyProtection="0">
      <alignment horizontal="left" vertical="center" indent="1"/>
    </xf>
    <xf numFmtId="4" fontId="48" fillId="54" borderId="49" applyNumberFormat="0" applyProtection="0">
      <alignment horizontal="left" vertical="center" indent="1"/>
    </xf>
    <xf numFmtId="0" fontId="45" fillId="71" borderId="41" applyNumberFormat="0" applyProtection="0">
      <alignment horizontal="left" vertical="center" indent="1"/>
    </xf>
    <xf numFmtId="0" fontId="48" fillId="48" borderId="44" applyNumberFormat="0" applyProtection="0">
      <alignment horizontal="left" vertical="center" indent="1"/>
    </xf>
    <xf numFmtId="0" fontId="45" fillId="71" borderId="41" applyNumberFormat="0" applyProtection="0">
      <alignment horizontal="left" vertical="top" indent="1"/>
    </xf>
    <xf numFmtId="0" fontId="48" fillId="104" borderId="41" applyNumberFormat="0" applyProtection="0">
      <alignment horizontal="left" vertical="top" indent="1"/>
    </xf>
    <xf numFmtId="0" fontId="45" fillId="53" borderId="41" applyNumberFormat="0" applyProtection="0">
      <alignment horizontal="left" vertical="center" indent="1"/>
    </xf>
    <xf numFmtId="0" fontId="48" fillId="105" borderId="44" applyNumberFormat="0" applyProtection="0">
      <alignment horizontal="left" vertical="center" indent="1"/>
    </xf>
    <xf numFmtId="0" fontId="45" fillId="53" borderId="41" applyNumberFormat="0" applyProtection="0">
      <alignment horizontal="left" vertical="top" indent="1"/>
    </xf>
    <xf numFmtId="0" fontId="48" fillId="54" borderId="41" applyNumberFormat="0" applyProtection="0">
      <alignment horizontal="left" vertical="top" indent="1"/>
    </xf>
    <xf numFmtId="0" fontId="45" fillId="58" borderId="41" applyNumberFormat="0" applyProtection="0">
      <alignment horizontal="left" vertical="center" indent="1"/>
    </xf>
    <xf numFmtId="0" fontId="48" fillId="36" borderId="44" applyNumberFormat="0" applyProtection="0">
      <alignment horizontal="left" vertical="center" indent="1"/>
    </xf>
    <xf numFmtId="0" fontId="45" fillId="58" borderId="41" applyNumberFormat="0" applyProtection="0">
      <alignment horizontal="left" vertical="top" indent="1"/>
    </xf>
    <xf numFmtId="0" fontId="48" fillId="36" borderId="41" applyNumberFormat="0" applyProtection="0">
      <alignment horizontal="left" vertical="top" indent="1"/>
    </xf>
    <xf numFmtId="0" fontId="45" fillId="57" borderId="41" applyNumberFormat="0" applyProtection="0">
      <alignment horizontal="left" vertical="center" indent="1"/>
    </xf>
    <xf numFmtId="0" fontId="48" fillId="55" borderId="44" applyNumberFormat="0" applyProtection="0">
      <alignment horizontal="left" vertical="center" indent="1"/>
    </xf>
    <xf numFmtId="0" fontId="45" fillId="57" borderId="41" applyNumberFormat="0" applyProtection="0">
      <alignment horizontal="left" vertical="top" indent="1"/>
    </xf>
    <xf numFmtId="0" fontId="48" fillId="55" borderId="41" applyNumberFormat="0" applyProtection="0">
      <alignment horizontal="left" vertical="top" indent="1"/>
    </xf>
    <xf numFmtId="0" fontId="48" fillId="106" borderId="51" applyNumberFormat="0">
      <protection locked="0"/>
    </xf>
    <xf numFmtId="0" fontId="116" fillId="104" borderId="52" applyBorder="0"/>
    <xf numFmtId="4" fontId="70" fillId="74" borderId="41" applyNumberFormat="0" applyProtection="0">
      <alignment vertical="center"/>
    </xf>
    <xf numFmtId="4" fontId="117" fillId="51" borderId="41" applyNumberFormat="0" applyProtection="0">
      <alignment vertical="center"/>
    </xf>
    <xf numFmtId="4" fontId="73" fillId="74" borderId="41" applyNumberFormat="0" applyProtection="0">
      <alignment vertical="center"/>
    </xf>
    <xf numFmtId="4" fontId="114" fillId="74" borderId="28" applyNumberFormat="0" applyProtection="0">
      <alignment vertical="center"/>
    </xf>
    <xf numFmtId="4" fontId="70" fillId="74" borderId="41" applyNumberFormat="0" applyProtection="0">
      <alignment horizontal="left" vertical="center" indent="1"/>
    </xf>
    <xf numFmtId="4" fontId="117" fillId="48" borderId="41" applyNumberFormat="0" applyProtection="0">
      <alignment horizontal="left" vertical="center" indent="1"/>
    </xf>
    <xf numFmtId="0" fontId="70" fillId="74" borderId="41" applyNumberFormat="0" applyProtection="0">
      <alignment horizontal="left" vertical="top" indent="1"/>
    </xf>
    <xf numFmtId="0" fontId="117" fillId="51" borderId="41" applyNumberFormat="0" applyProtection="0">
      <alignment horizontal="left" vertical="top" indent="1"/>
    </xf>
    <xf numFmtId="0" fontId="128" fillId="31" borderId="0" applyNumberFormat="0" applyBorder="0" applyAlignment="0" applyProtection="0"/>
    <xf numFmtId="0" fontId="128" fillId="31" borderId="0" applyNumberFormat="0" applyBorder="0" applyAlignment="0" applyProtection="0"/>
    <xf numFmtId="4" fontId="48" fillId="0" borderId="44" applyNumberFormat="0" applyProtection="0">
      <alignment horizontal="right" vertical="center"/>
    </xf>
    <xf numFmtId="4" fontId="73" fillId="55" borderId="41" applyNumberFormat="0" applyProtection="0">
      <alignment horizontal="right" vertical="center"/>
    </xf>
    <xf numFmtId="4" fontId="114" fillId="107" borderId="44" applyNumberFormat="0" applyProtection="0">
      <alignment horizontal="right" vertical="center"/>
    </xf>
    <xf numFmtId="0" fontId="128" fillId="31" borderId="0" applyNumberFormat="0" applyBorder="0" applyAlignment="0" applyProtection="0"/>
    <xf numFmtId="0" fontId="128" fillId="31" borderId="0" applyNumberFormat="0" applyBorder="0" applyAlignment="0" applyProtection="0"/>
    <xf numFmtId="4" fontId="48" fillId="42" borderId="44" applyNumberFormat="0" applyProtection="0">
      <alignment horizontal="left" vertical="center" indent="1"/>
    </xf>
    <xf numFmtId="0" fontId="128" fillId="31" borderId="0" applyNumberFormat="0" applyBorder="0" applyAlignment="0" applyProtection="0"/>
    <xf numFmtId="0" fontId="45" fillId="59" borderId="40" applyNumberFormat="0" applyProtection="0">
      <alignment horizontal="left" vertical="center" indent="1"/>
    </xf>
    <xf numFmtId="0" fontId="117" fillId="54" borderId="41" applyNumberFormat="0" applyProtection="0">
      <alignment horizontal="left" vertical="top" indent="1"/>
    </xf>
    <xf numFmtId="0" fontId="128" fillId="31" borderId="0" applyNumberFormat="0" applyBorder="0" applyAlignment="0" applyProtection="0"/>
    <xf numFmtId="0" fontId="75" fillId="0" borderId="0"/>
    <xf numFmtId="4" fontId="118" fillId="75" borderId="49" applyNumberFormat="0" applyProtection="0">
      <alignment horizontal="left" vertical="center" indent="1"/>
    </xf>
    <xf numFmtId="0" fontId="48" fillId="108" borderId="28"/>
    <xf numFmtId="4" fontId="47" fillId="55" borderId="41" applyNumberFormat="0" applyProtection="0">
      <alignment horizontal="right" vertical="center"/>
    </xf>
    <xf numFmtId="4" fontId="119" fillId="106" borderId="44" applyNumberFormat="0" applyProtection="0">
      <alignment horizontal="right" vertical="center"/>
    </xf>
    <xf numFmtId="0" fontId="120" fillId="0" borderId="0" applyNumberFormat="0" applyFill="0" applyBorder="0" applyAlignment="0" applyProtection="0"/>
    <xf numFmtId="0" fontId="121" fillId="0" borderId="0" applyNumberFormat="0" applyFill="0" applyBorder="0" applyAlignment="0" applyProtection="0"/>
    <xf numFmtId="0" fontId="128" fillId="31" borderId="0" applyNumberFormat="0" applyBorder="0" applyAlignment="0" applyProtection="0"/>
    <xf numFmtId="0" fontId="122" fillId="0" borderId="42" applyNumberFormat="0" applyFill="0" applyAlignment="0" applyProtection="0"/>
    <xf numFmtId="0" fontId="41" fillId="0" borderId="42" applyNumberFormat="0" applyFill="0" applyAlignment="0" applyProtection="0"/>
    <xf numFmtId="0" fontId="96" fillId="0" borderId="53" applyNumberFormat="0" applyFill="0" applyAlignment="0" applyProtection="0"/>
    <xf numFmtId="0" fontId="123" fillId="0" borderId="0" applyNumberFormat="0" applyFill="0" applyBorder="0" applyAlignment="0" applyProtection="0"/>
    <xf numFmtId="0" fontId="41" fillId="0" borderId="0" applyNumberFormat="0" applyFill="0" applyBorder="0" applyAlignment="0" applyProtection="0"/>
    <xf numFmtId="0" fontId="124" fillId="0" borderId="0" applyNumberFormat="0" applyFill="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 fillId="0" borderId="0"/>
    <xf numFmtId="0" fontId="127" fillId="41" borderId="0" applyNumberFormat="0" applyBorder="0" applyAlignment="0" applyProtection="0"/>
    <xf numFmtId="0" fontId="127" fillId="41"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6"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5"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4" borderId="0" applyNumberFormat="0" applyBorder="0" applyAlignment="0" applyProtection="0"/>
    <xf numFmtId="0" fontId="127" fillId="43" borderId="0" applyNumberFormat="0" applyBorder="0" applyAlignment="0" applyProtection="0"/>
    <xf numFmtId="0" fontId="127" fillId="42" borderId="0" applyNumberFormat="0" applyBorder="0" applyAlignment="0" applyProtection="0"/>
    <xf numFmtId="0" fontId="127" fillId="41" borderId="0" applyNumberFormat="0" applyBorder="0" applyAlignment="0" applyProtection="0"/>
    <xf numFmtId="0" fontId="127" fillId="38" borderId="0" applyNumberFormat="0" applyBorder="0" applyAlignment="0" applyProtection="0"/>
    <xf numFmtId="0" fontId="127" fillId="37" borderId="0" applyNumberFormat="0" applyBorder="0" applyAlignment="0" applyProtection="0"/>
    <xf numFmtId="0" fontId="127" fillId="40"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3"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2"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41"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8"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37"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127" fillId="40" borderId="0" applyNumberFormat="0" applyBorder="0" applyAlignment="0" applyProtection="0"/>
    <xf numFmtId="0" fontId="95" fillId="39" borderId="0" applyNumberFormat="0" applyBorder="0" applyAlignment="0" applyProtection="0"/>
    <xf numFmtId="0" fontId="95" fillId="36" borderId="0" applyNumberFormat="0" applyBorder="0" applyAlignment="0" applyProtection="0"/>
    <xf numFmtId="0" fontId="95" fillId="33" borderId="0" applyNumberFormat="0" applyBorder="0" applyAlignment="0" applyProtection="0"/>
    <xf numFmtId="0" fontId="95" fillId="38" borderId="0" applyNumberFormat="0" applyBorder="0" applyAlignment="0" applyProtection="0"/>
    <xf numFmtId="0" fontId="95" fillId="37" borderId="0" applyNumberFormat="0" applyBorder="0" applyAlignment="0" applyProtection="0"/>
    <xf numFmtId="0" fontId="95" fillId="36"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9"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8"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7"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6" borderId="0" applyNumberFormat="0" applyBorder="0" applyAlignment="0" applyProtection="0"/>
    <xf numFmtId="0" fontId="95" fillId="35" borderId="0" applyNumberFormat="0" applyBorder="0" applyAlignment="0" applyProtection="0"/>
    <xf numFmtId="0" fontId="95" fillId="34" borderId="0" applyNumberFormat="0" applyBorder="0" applyAlignment="0" applyProtection="0"/>
    <xf numFmtId="0" fontId="95" fillId="33" borderId="0" applyNumberFormat="0" applyBorder="0" applyAlignment="0" applyProtection="0"/>
    <xf numFmtId="0" fontId="95" fillId="32" borderId="0" applyNumberFormat="0" applyBorder="0" applyAlignment="0" applyProtection="0"/>
    <xf numFmtId="0" fontId="95" fillId="31" borderId="0" applyNumberFormat="0" applyBorder="0" applyAlignment="0" applyProtection="0"/>
    <xf numFmtId="0" fontId="95" fillId="30"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5"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4"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3"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9" fontId="1" fillId="0" borderId="0" applyFont="0" applyFill="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2"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95" fillId="30" borderId="0" applyNumberFormat="0" applyBorder="0" applyAlignment="0" applyProtection="0"/>
    <xf numFmtId="0" fontId="1" fillId="0" borderId="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8" fillId="31" borderId="0" applyNumberFormat="0" applyBorder="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29" fillId="48" borderId="33"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0" fontId="130" fillId="49" borderId="34" applyNumberFormat="0" applyAlignment="0" applyProtection="0"/>
    <xf numFmtId="168" fontId="45" fillId="0" borderId="0" applyFont="0" applyFill="0" applyBorder="0" applyAlignment="0" applyProtection="0"/>
    <xf numFmtId="168" fontId="45" fillId="0" borderId="0" applyFont="0" applyFill="0" applyBorder="0" applyAlignment="0" applyProtection="0"/>
    <xf numFmtId="164" fontId="5" fillId="0" borderId="0" applyFont="0" applyFill="0" applyBorder="0" applyAlignment="0" applyProtection="0"/>
    <xf numFmtId="164" fontId="76" fillId="0" borderId="0" applyFont="0" applyFill="0" applyBorder="0" applyAlignment="0" applyProtection="0"/>
    <xf numFmtId="164" fontId="45" fillId="0" borderId="0" applyFont="0" applyFill="0" applyBorder="0" applyAlignment="0" applyProtection="0"/>
    <xf numFmtId="166" fontId="38" fillId="0" borderId="0" applyFont="0" applyFill="0" applyBorder="0" applyAlignment="0" applyProtection="0"/>
    <xf numFmtId="164" fontId="45" fillId="0" borderId="0" applyFont="0" applyFill="0" applyBorder="0" applyAlignment="0" applyProtection="0"/>
    <xf numFmtId="164" fontId="95" fillId="0" borderId="0" applyFont="0" applyFill="0" applyBorder="0" applyAlignment="0" applyProtection="0"/>
    <xf numFmtId="164" fontId="5" fillId="0" borderId="0" applyFont="0" applyFill="0" applyBorder="0" applyAlignment="0" applyProtection="0"/>
    <xf numFmtId="164" fontId="78" fillId="0" borderId="0" applyFont="0" applyFill="0" applyBorder="0" applyAlignment="0" applyProtection="0"/>
    <xf numFmtId="0" fontId="38" fillId="0" borderId="0" applyFont="0" applyFill="0" applyBorder="0" applyAlignment="0" applyProtection="0"/>
    <xf numFmtId="164" fontId="131" fillId="0" borderId="0" applyFont="0" applyFill="0" applyBorder="0" applyAlignment="0" applyProtection="0"/>
    <xf numFmtId="164" fontId="7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90" fontId="132" fillId="0" borderId="0"/>
    <xf numFmtId="190" fontId="132" fillId="0" borderId="0"/>
    <xf numFmtId="190" fontId="132" fillId="0" borderId="0"/>
    <xf numFmtId="191" fontId="133" fillId="0" borderId="0" applyFon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0" fontId="135" fillId="32" borderId="0" applyNumberFormat="0" applyBorder="0" applyAlignment="0" applyProtection="0"/>
    <xf numFmtId="40" fontId="46" fillId="0" borderId="0">
      <alignment horizontal="left"/>
    </xf>
    <xf numFmtId="40" fontId="136" fillId="0" borderId="0" applyNumberFormat="0" applyAlignment="0">
      <alignment horizontal="left"/>
    </xf>
    <xf numFmtId="40" fontId="137" fillId="0" borderId="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8" fillId="0" borderId="35"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39" fillId="0" borderId="36"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37" applyNumberFormat="0" applyFill="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1" fillId="0" borderId="0" applyNumberFormat="0" applyFill="0" applyBorder="0" applyAlignment="0" applyProtection="0">
      <alignment vertical="top"/>
      <protection locked="0"/>
    </xf>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2" fillId="35" borderId="33" applyNumberFormat="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0" fontId="143" fillId="0" borderId="38" applyNumberFormat="0" applyFill="0" applyAlignment="0" applyProtection="0"/>
    <xf numFmtId="164" fontId="41" fillId="0" borderId="0" applyFont="0" applyFill="0" applyBorder="0" applyAlignment="0" applyProtection="0"/>
    <xf numFmtId="192" fontId="144" fillId="0" borderId="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145" fillId="50" borderId="0" applyNumberFormat="0" applyBorder="0" applyAlignment="0" applyProtection="0"/>
    <xf numFmtId="0" fontId="41" fillId="0" borderId="0"/>
    <xf numFmtId="0" fontId="5" fillId="0" borderId="0"/>
    <xf numFmtId="0" fontId="146" fillId="0" borderId="0"/>
    <xf numFmtId="0" fontId="1" fillId="0" borderId="0"/>
    <xf numFmtId="0" fontId="147" fillId="0" borderId="0">
      <alignment vertical="center"/>
    </xf>
    <xf numFmtId="193"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4" fontId="156" fillId="0" borderId="0"/>
    <xf numFmtId="0" fontId="45" fillId="0" borderId="0"/>
    <xf numFmtId="195" fontId="146" fillId="0" borderId="0"/>
    <xf numFmtId="194" fontId="148" fillId="0" borderId="0"/>
    <xf numFmtId="194" fontId="148" fillId="0" borderId="0"/>
    <xf numFmtId="194" fontId="148" fillId="0" borderId="0"/>
    <xf numFmtId="194" fontId="148" fillId="0" borderId="0"/>
    <xf numFmtId="194" fontId="148" fillId="0" borderId="0"/>
    <xf numFmtId="0" fontId="1" fillId="0" borderId="0"/>
    <xf numFmtId="0" fontId="1" fillId="0" borderId="0"/>
    <xf numFmtId="0" fontId="45"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148" fillId="0" borderId="0"/>
    <xf numFmtId="0" fontId="148" fillId="0" borderId="0"/>
    <xf numFmtId="196" fontId="156"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5" fillId="0" borderId="0"/>
    <xf numFmtId="0" fontId="1" fillId="0" borderId="0"/>
    <xf numFmtId="0" fontId="1" fillId="0" borderId="0"/>
    <xf numFmtId="0" fontId="5" fillId="0" borderId="0"/>
    <xf numFmtId="0" fontId="148" fillId="0" borderId="0"/>
    <xf numFmtId="0" fontId="148" fillId="0" borderId="0"/>
    <xf numFmtId="0" fontId="43" fillId="0" borderId="0"/>
    <xf numFmtId="0" fontId="38" fillId="0" borderId="0"/>
    <xf numFmtId="165" fontId="156" fillId="0" borderId="0"/>
    <xf numFmtId="0" fontId="45" fillId="0" borderId="0"/>
    <xf numFmtId="196" fontId="156"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6"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95"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148" fillId="0" borderId="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45" fillId="51" borderId="39" applyNumberFormat="0" applyFon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0" fontId="149" fillId="48" borderId="40" applyNumberFormat="0" applyAlignment="0" applyProtection="0"/>
    <xf numFmtId="164" fontId="38" fillId="0" borderId="0" applyFont="0" applyFill="0" applyBorder="0" applyAlignment="0" applyProtection="0"/>
    <xf numFmtId="9" fontId="95"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45" fillId="0" borderId="0" applyFont="0" applyFill="0" applyBorder="0" applyAlignment="0" applyProtection="0"/>
    <xf numFmtId="0" fontId="150" fillId="0" borderId="54" applyNumberFormat="0" applyFont="0" applyFill="0" applyAlignment="0" applyProtection="0">
      <alignment horizontal="left" vertical="center"/>
    </xf>
    <xf numFmtId="178" fontId="151" fillId="0" borderId="28">
      <alignment horizontal="center" vertical="center"/>
      <protection locked="0"/>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4" fontId="74" fillId="71" borderId="0" applyNumberFormat="0" applyProtection="0">
      <alignment horizontal="left" vertical="center" indent="1"/>
    </xf>
    <xf numFmtId="4" fontId="74" fillId="71" borderId="0" applyNumberFormat="0" applyProtection="0">
      <alignment horizontal="left" vertical="center" indent="1"/>
    </xf>
    <xf numFmtId="4" fontId="74" fillId="71" borderId="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4" fontId="70" fillId="70" borderId="40" applyNumberFormat="0" applyProtection="0">
      <alignment horizontal="left" vertical="center" indent="1"/>
    </xf>
    <xf numFmtId="4" fontId="70" fillId="70" borderId="40" applyNumberFormat="0" applyProtection="0">
      <alignment horizontal="left" vertical="center" indent="1"/>
    </xf>
    <xf numFmtId="4" fontId="70" fillId="70" borderId="40" applyNumberFormat="0" applyProtection="0">
      <alignment horizontal="left" vertical="center" indent="1"/>
    </xf>
    <xf numFmtId="4" fontId="70" fillId="70" borderId="40" applyNumberFormat="0" applyProtection="0">
      <alignment horizontal="left" vertical="center" indent="1"/>
    </xf>
    <xf numFmtId="4" fontId="70" fillId="70" borderId="40" applyNumberFormat="0" applyProtection="0">
      <alignment horizontal="left" vertical="center" indent="1"/>
    </xf>
    <xf numFmtId="4" fontId="70" fillId="70" borderId="40" applyNumberFormat="0" applyProtection="0">
      <alignment horizontal="left" vertical="center" indent="1"/>
    </xf>
    <xf numFmtId="4" fontId="70" fillId="70" borderId="40" applyNumberFormat="0" applyProtection="0">
      <alignment horizontal="left" vertical="center" indent="1"/>
    </xf>
    <xf numFmtId="4" fontId="70" fillId="72" borderId="40" applyNumberFormat="0" applyProtection="0">
      <alignment horizontal="left" vertical="center" indent="1"/>
    </xf>
    <xf numFmtId="4" fontId="70" fillId="72" borderId="40" applyNumberFormat="0" applyProtection="0">
      <alignment horizontal="left" vertical="center" indent="1"/>
    </xf>
    <xf numFmtId="4" fontId="70" fillId="72" borderId="40" applyNumberFormat="0" applyProtection="0">
      <alignment horizontal="left" vertical="center" indent="1"/>
    </xf>
    <xf numFmtId="4" fontId="70" fillId="72" borderId="40" applyNumberFormat="0" applyProtection="0">
      <alignment horizontal="left" vertical="center" indent="1"/>
    </xf>
    <xf numFmtId="4" fontId="70" fillId="72" borderId="40" applyNumberFormat="0" applyProtection="0">
      <alignment horizontal="left" vertical="center" indent="1"/>
    </xf>
    <xf numFmtId="4" fontId="70" fillId="72" borderId="40" applyNumberFormat="0" applyProtection="0">
      <alignment horizontal="left" vertical="center" indent="1"/>
    </xf>
    <xf numFmtId="4" fontId="70" fillId="72" borderId="40" applyNumberFormat="0" applyProtection="0">
      <alignment horizontal="left" vertical="center" indent="1"/>
    </xf>
    <xf numFmtId="0" fontId="45" fillId="72" borderId="40" applyNumberFormat="0" applyProtection="0">
      <alignment horizontal="left" vertical="center" indent="1"/>
    </xf>
    <xf numFmtId="0" fontId="45" fillId="72" borderId="40" applyNumberFormat="0" applyProtection="0">
      <alignment horizontal="left" vertical="center" indent="1"/>
    </xf>
    <xf numFmtId="0" fontId="45" fillId="72" borderId="40" applyNumberFormat="0" applyProtection="0">
      <alignment horizontal="left" vertical="center" indent="1"/>
    </xf>
    <xf numFmtId="0" fontId="45" fillId="72" borderId="40" applyNumberFormat="0" applyProtection="0">
      <alignment horizontal="left" vertical="center" indent="1"/>
    </xf>
    <xf numFmtId="0" fontId="45" fillId="72" borderId="40" applyNumberFormat="0" applyProtection="0">
      <alignment horizontal="left" vertical="center" indent="1"/>
    </xf>
    <xf numFmtId="0" fontId="45" fillId="72" borderId="40" applyNumberFormat="0" applyProtection="0">
      <alignment horizontal="left" vertical="center" indent="1"/>
    </xf>
    <xf numFmtId="0" fontId="45" fillId="72" borderId="40" applyNumberFormat="0" applyProtection="0">
      <alignment horizontal="left" vertical="center" indent="1"/>
    </xf>
    <xf numFmtId="0" fontId="45" fillId="72" borderId="40" applyNumberFormat="0" applyProtection="0">
      <alignment horizontal="left" vertical="center" indent="1"/>
    </xf>
    <xf numFmtId="0" fontId="45" fillId="72" borderId="40" applyNumberFormat="0" applyProtection="0">
      <alignment horizontal="left" vertical="center" indent="1"/>
    </xf>
    <xf numFmtId="0" fontId="45" fillId="72" borderId="40" applyNumberFormat="0" applyProtection="0">
      <alignment horizontal="left" vertical="center" indent="1"/>
    </xf>
    <xf numFmtId="0" fontId="45" fillId="72" borderId="40" applyNumberFormat="0" applyProtection="0">
      <alignment horizontal="left" vertical="center" indent="1"/>
    </xf>
    <xf numFmtId="0" fontId="45" fillId="72" borderId="40" applyNumberFormat="0" applyProtection="0">
      <alignment horizontal="left" vertical="center" indent="1"/>
    </xf>
    <xf numFmtId="0" fontId="45" fillId="72" borderId="40" applyNumberFormat="0" applyProtection="0">
      <alignment horizontal="left" vertical="center" indent="1"/>
    </xf>
    <xf numFmtId="0" fontId="45" fillId="72" borderId="40" applyNumberFormat="0" applyProtection="0">
      <alignment horizontal="left" vertical="center" indent="1"/>
    </xf>
    <xf numFmtId="0" fontId="45" fillId="73" borderId="40" applyNumberFormat="0" applyProtection="0">
      <alignment horizontal="left" vertical="center" indent="1"/>
    </xf>
    <xf numFmtId="0" fontId="45" fillId="73" borderId="40" applyNumberFormat="0" applyProtection="0">
      <alignment horizontal="left" vertical="center" indent="1"/>
    </xf>
    <xf numFmtId="0" fontId="45" fillId="73" borderId="40" applyNumberFormat="0" applyProtection="0">
      <alignment horizontal="left" vertical="center" indent="1"/>
    </xf>
    <xf numFmtId="0" fontId="45" fillId="73" borderId="40" applyNumberFormat="0" applyProtection="0">
      <alignment horizontal="left" vertical="center" indent="1"/>
    </xf>
    <xf numFmtId="0" fontId="45" fillId="73" borderId="40" applyNumberFormat="0" applyProtection="0">
      <alignment horizontal="left" vertical="center" indent="1"/>
    </xf>
    <xf numFmtId="0" fontId="45" fillId="73" borderId="40" applyNumberFormat="0" applyProtection="0">
      <alignment horizontal="left" vertical="center" indent="1"/>
    </xf>
    <xf numFmtId="0" fontId="45" fillId="73" borderId="40" applyNumberFormat="0" applyProtection="0">
      <alignment horizontal="left" vertical="center" indent="1"/>
    </xf>
    <xf numFmtId="0" fontId="45" fillId="73" borderId="40" applyNumberFormat="0" applyProtection="0">
      <alignment horizontal="left" vertical="center" indent="1"/>
    </xf>
    <xf numFmtId="0" fontId="45" fillId="73" borderId="40" applyNumberFormat="0" applyProtection="0">
      <alignment horizontal="left" vertical="center" indent="1"/>
    </xf>
    <xf numFmtId="0" fontId="45" fillId="73" borderId="40" applyNumberFormat="0" applyProtection="0">
      <alignment horizontal="left" vertical="center" indent="1"/>
    </xf>
    <xf numFmtId="0" fontId="45" fillId="73" borderId="40" applyNumberFormat="0" applyProtection="0">
      <alignment horizontal="left" vertical="center" indent="1"/>
    </xf>
    <xf numFmtId="0" fontId="45" fillId="73" borderId="40" applyNumberFormat="0" applyProtection="0">
      <alignment horizontal="left" vertical="center" indent="1"/>
    </xf>
    <xf numFmtId="0" fontId="45" fillId="73" borderId="40" applyNumberFormat="0" applyProtection="0">
      <alignment horizontal="left" vertical="center" indent="1"/>
    </xf>
    <xf numFmtId="0" fontId="45" fillId="73" borderId="40" applyNumberFormat="0" applyProtection="0">
      <alignment horizontal="left" vertical="center" indent="1"/>
    </xf>
    <xf numFmtId="0" fontId="45" fillId="56" borderId="40" applyNumberFormat="0" applyProtection="0">
      <alignment horizontal="left" vertical="center" indent="1"/>
    </xf>
    <xf numFmtId="0" fontId="45" fillId="56" borderId="40" applyNumberFormat="0" applyProtection="0">
      <alignment horizontal="left" vertical="center" indent="1"/>
    </xf>
    <xf numFmtId="0" fontId="45" fillId="56" borderId="40" applyNumberFormat="0" applyProtection="0">
      <alignment horizontal="left" vertical="center" indent="1"/>
    </xf>
    <xf numFmtId="0" fontId="45" fillId="56" borderId="40" applyNumberFormat="0" applyProtection="0">
      <alignment horizontal="left" vertical="center" indent="1"/>
    </xf>
    <xf numFmtId="0" fontId="45" fillId="56" borderId="40" applyNumberFormat="0" applyProtection="0">
      <alignment horizontal="left" vertical="center" indent="1"/>
    </xf>
    <xf numFmtId="0" fontId="45" fillId="56" borderId="40" applyNumberFormat="0" applyProtection="0">
      <alignment horizontal="left" vertical="center" indent="1"/>
    </xf>
    <xf numFmtId="0" fontId="45" fillId="56" borderId="40" applyNumberFormat="0" applyProtection="0">
      <alignment horizontal="left" vertical="center" indent="1"/>
    </xf>
    <xf numFmtId="0" fontId="45" fillId="56" borderId="40" applyNumberFormat="0" applyProtection="0">
      <alignment horizontal="left" vertical="center" indent="1"/>
    </xf>
    <xf numFmtId="0" fontId="45" fillId="56" borderId="40" applyNumberFormat="0" applyProtection="0">
      <alignment horizontal="left" vertical="center" indent="1"/>
    </xf>
    <xf numFmtId="0" fontId="45" fillId="56" borderId="40" applyNumberFormat="0" applyProtection="0">
      <alignment horizontal="left" vertical="center" indent="1"/>
    </xf>
    <xf numFmtId="0" fontId="45" fillId="56" borderId="40" applyNumberFormat="0" applyProtection="0">
      <alignment horizontal="left" vertical="center" indent="1"/>
    </xf>
    <xf numFmtId="0" fontId="45" fillId="56" borderId="40" applyNumberFormat="0" applyProtection="0">
      <alignment horizontal="left" vertical="center" indent="1"/>
    </xf>
    <xf numFmtId="0" fontId="45" fillId="56" borderId="40" applyNumberFormat="0" applyProtection="0">
      <alignment horizontal="left" vertical="center" indent="1"/>
    </xf>
    <xf numFmtId="0" fontId="45" fillId="56"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45" fillId="59" borderId="40" applyNumberFormat="0" applyProtection="0">
      <alignment horizontal="left" vertical="center" indent="1"/>
    </xf>
    <xf numFmtId="0" fontId="75" fillId="0" borderId="0"/>
    <xf numFmtId="0" fontId="75" fillId="0" borderId="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3" fillId="0" borderId="42" applyNumberFormat="0" applyFill="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197" fontId="155" fillId="0" borderId="0" applyFont="0" applyFill="0" applyBorder="0" applyAlignment="0" applyProtection="0"/>
    <xf numFmtId="0" fontId="130" fillId="49" borderId="34" applyNumberFormat="0" applyAlignment="0" applyProtection="0"/>
    <xf numFmtId="0" fontId="143" fillId="0" borderId="38" applyNumberFormat="0" applyFill="0" applyAlignment="0" applyProtection="0"/>
    <xf numFmtId="0" fontId="128" fillId="31" borderId="0" applyNumberFormat="0" applyBorder="0" applyAlignment="0" applyProtection="0"/>
    <xf numFmtId="0" fontId="149" fillId="48" borderId="40" applyNumberFormat="0" applyAlignment="0" applyProtection="0"/>
    <xf numFmtId="0" fontId="129" fillId="48" borderId="33" applyNumberFormat="0" applyAlignment="0" applyProtection="0"/>
    <xf numFmtId="0" fontId="154" fillId="0" borderId="0" applyNumberFormat="0" applyFill="0" applyBorder="0" applyAlignment="0" applyProtection="0"/>
    <xf numFmtId="0" fontId="134" fillId="0" borderId="0" applyNumberFormat="0" applyFill="0" applyBorder="0" applyAlignment="0" applyProtection="0"/>
    <xf numFmtId="0" fontId="152" fillId="0" borderId="0" applyNumberFormat="0" applyFill="0" applyBorder="0" applyAlignment="0" applyProtection="0"/>
    <xf numFmtId="0" fontId="135" fillId="32" borderId="0" applyNumberFormat="0" applyBorder="0" applyAlignment="0" applyProtection="0"/>
    <xf numFmtId="0" fontId="142" fillId="35" borderId="33" applyNumberFormat="0" applyAlignment="0" applyProtection="0"/>
    <xf numFmtId="0" fontId="145" fillId="50" borderId="0" applyNumberFormat="0" applyBorder="0" applyAlignment="0" applyProtection="0"/>
    <xf numFmtId="0" fontId="153" fillId="0" borderId="42" applyNumberFormat="0" applyFill="0" applyAlignment="0" applyProtection="0"/>
    <xf numFmtId="0" fontId="1" fillId="0" borderId="0"/>
    <xf numFmtId="0" fontId="127" fillId="44" borderId="0" applyNumberFormat="0" applyBorder="0" applyAlignment="0" applyProtection="0"/>
    <xf numFmtId="0" fontId="127" fillId="45" borderId="0" applyNumberFormat="0" applyBorder="0" applyAlignment="0" applyProtection="0"/>
    <xf numFmtId="0" fontId="127" fillId="46" borderId="0" applyNumberFormat="0" applyBorder="0" applyAlignment="0" applyProtection="0"/>
    <xf numFmtId="0" fontId="127" fillId="41" borderId="0" applyNumberFormat="0" applyBorder="0" applyAlignment="0" applyProtection="0"/>
    <xf numFmtId="0" fontId="127" fillId="42" borderId="0" applyNumberFormat="0" applyBorder="0" applyAlignment="0" applyProtection="0"/>
    <xf numFmtId="0" fontId="127" fillId="47" borderId="0" applyNumberFormat="0" applyBorder="0" applyAlignment="0" applyProtection="0"/>
    <xf numFmtId="0" fontId="72" fillId="51" borderId="39" applyNumberFormat="0" applyFont="0" applyAlignment="0" applyProtection="0"/>
    <xf numFmtId="0" fontId="138" fillId="0" borderId="35" applyNumberFormat="0" applyFill="0" applyAlignment="0" applyProtection="0"/>
    <xf numFmtId="0" fontId="139" fillId="0" borderId="36" applyNumberFormat="0" applyFill="0" applyAlignment="0" applyProtection="0"/>
    <xf numFmtId="0" fontId="140" fillId="0" borderId="37" applyNumberFormat="0" applyFill="0" applyAlignment="0" applyProtection="0"/>
    <xf numFmtId="0" fontId="140" fillId="0" borderId="0" applyNumberFormat="0" applyFill="0" applyBorder="0" applyAlignment="0" applyProtection="0"/>
    <xf numFmtId="0" fontId="5" fillId="0" borderId="0"/>
    <xf numFmtId="164" fontId="39" fillId="0" borderId="0" applyFont="0" applyFill="0" applyBorder="0" applyAlignment="0" applyProtection="0"/>
    <xf numFmtId="0" fontId="5" fillId="0" borderId="0"/>
    <xf numFmtId="164" fontId="5" fillId="0" borderId="0" applyFont="0" applyFill="0" applyBorder="0" applyAlignment="0" applyProtection="0"/>
    <xf numFmtId="0" fontId="1" fillId="0" borderId="0"/>
    <xf numFmtId="164" fontId="45" fillId="0" borderId="0" applyFont="0" applyFill="0" applyBorder="0" applyAlignment="0" applyProtection="0"/>
    <xf numFmtId="164" fontId="1" fillId="0" borderId="0" applyFont="0" applyFill="0" applyBorder="0" applyAlignment="0" applyProtection="0"/>
    <xf numFmtId="0" fontId="1" fillId="0" borderId="0"/>
    <xf numFmtId="168" fontId="38" fillId="0" borderId="0" applyFont="0" applyFill="0" applyBorder="0" applyAlignment="0" applyProtection="0"/>
    <xf numFmtId="164" fontId="38" fillId="0" borderId="0" applyFont="0" applyFill="0" applyBorder="0" applyAlignment="0" applyProtection="0"/>
    <xf numFmtId="167" fontId="38" fillId="0" borderId="0" applyFont="0" applyFill="0" applyBorder="0" applyAlignment="0" applyProtection="0"/>
    <xf numFmtId="169" fontId="38" fillId="0" borderId="0" applyFont="0" applyFill="0" applyBorder="0" applyAlignment="0" applyProtection="0"/>
    <xf numFmtId="0" fontId="38" fillId="0" borderId="0"/>
    <xf numFmtId="0" fontId="1" fillId="0" borderId="0"/>
    <xf numFmtId="0" fontId="5" fillId="0" borderId="0"/>
    <xf numFmtId="164" fontId="5"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0" fontId="5" fillId="0" borderId="0"/>
    <xf numFmtId="164" fontId="5"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0" fontId="1" fillId="0" borderId="0"/>
    <xf numFmtId="0" fontId="5" fillId="0" borderId="0"/>
    <xf numFmtId="164" fontId="5"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164" fontId="5" fillId="0" borderId="0" applyFont="0" applyFill="0" applyBorder="0" applyAlignment="0" applyProtection="0"/>
    <xf numFmtId="0" fontId="5"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668">
    <xf numFmtId="0" fontId="0" fillId="0" borderId="0" xfId="0"/>
    <xf numFmtId="0" fontId="4" fillId="0" borderId="0" xfId="0" applyFont="1"/>
    <xf numFmtId="0" fontId="0" fillId="0" borderId="0" xfId="0" applyAlignment="1">
      <alignment horizontal="center"/>
    </xf>
    <xf numFmtId="0" fontId="0" fillId="0" borderId="0" xfId="0" applyFill="1"/>
    <xf numFmtId="0" fontId="5" fillId="5" borderId="10" xfId="0" applyFont="1" applyFill="1" applyBorder="1" applyAlignment="1">
      <alignment horizontal="center" vertical="center"/>
    </xf>
    <xf numFmtId="0" fontId="5" fillId="8" borderId="0" xfId="0" applyFont="1" applyFill="1" applyBorder="1" applyAlignment="1">
      <alignment horizontal="center" vertical="center"/>
    </xf>
    <xf numFmtId="0" fontId="4" fillId="8" borderId="0" xfId="0" applyFont="1" applyFill="1"/>
    <xf numFmtId="0" fontId="6" fillId="8" borderId="0" xfId="0" applyFont="1" applyFill="1" applyBorder="1" applyAlignment="1">
      <alignment horizontal="center" vertical="center"/>
    </xf>
    <xf numFmtId="0" fontId="6" fillId="8" borderId="18" xfId="0" applyFont="1" applyFill="1" applyBorder="1" applyAlignment="1">
      <alignment horizontal="center" vertical="center"/>
    </xf>
    <xf numFmtId="0" fontId="5" fillId="8" borderId="16" xfId="0" applyFont="1" applyFill="1" applyBorder="1" applyAlignment="1">
      <alignment horizontal="center" vertical="center"/>
    </xf>
    <xf numFmtId="0" fontId="5" fillId="8" borderId="18" xfId="0" applyFont="1" applyFill="1" applyBorder="1" applyAlignment="1">
      <alignment horizontal="center" vertical="center"/>
    </xf>
    <xf numFmtId="0" fontId="9" fillId="8" borderId="16" xfId="0" applyFont="1" applyFill="1" applyBorder="1" applyAlignment="1">
      <alignment horizontal="center" vertical="center"/>
    </xf>
    <xf numFmtId="0" fontId="9" fillId="8" borderId="18" xfId="0" applyFont="1" applyFill="1" applyBorder="1" applyAlignment="1">
      <alignment horizontal="center" vertical="center"/>
    </xf>
    <xf numFmtId="0" fontId="11" fillId="8" borderId="16" xfId="0" applyFont="1" applyFill="1" applyBorder="1" applyAlignment="1">
      <alignment horizontal="center" vertical="center"/>
    </xf>
    <xf numFmtId="0" fontId="8" fillId="8" borderId="16" xfId="0" applyFont="1" applyFill="1" applyBorder="1" applyAlignment="1">
      <alignment horizontal="center" vertical="center"/>
    </xf>
    <xf numFmtId="0" fontId="8" fillId="8" borderId="18" xfId="0" applyFont="1" applyFill="1" applyBorder="1" applyAlignment="1">
      <alignment horizontal="center" vertical="center"/>
    </xf>
    <xf numFmtId="0" fontId="12" fillId="8" borderId="0"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18" xfId="0" applyFont="1" applyFill="1" applyBorder="1" applyAlignment="1">
      <alignment horizontal="center" vertical="center"/>
    </xf>
    <xf numFmtId="0" fontId="7" fillId="8" borderId="0" xfId="0" applyFont="1" applyFill="1" applyBorder="1" applyAlignment="1">
      <alignment horizontal="center" vertical="center"/>
    </xf>
    <xf numFmtId="0" fontId="9" fillId="8" borderId="0" xfId="0" applyFont="1" applyFill="1" applyBorder="1" applyAlignment="1">
      <alignment horizontal="center" vertical="center"/>
    </xf>
    <xf numFmtId="0" fontId="4" fillId="8" borderId="6" xfId="0" applyFont="1" applyFill="1" applyBorder="1"/>
    <xf numFmtId="0" fontId="5" fillId="4" borderId="10" xfId="0" applyFont="1" applyFill="1" applyBorder="1" applyAlignment="1">
      <alignment horizontal="center" vertical="center"/>
    </xf>
    <xf numFmtId="0" fontId="5" fillId="6" borderId="20" xfId="0" applyFont="1" applyFill="1" applyBorder="1" applyAlignment="1">
      <alignment horizontal="center" vertical="center"/>
    </xf>
    <xf numFmtId="0" fontId="5" fillId="2" borderId="19" xfId="0" applyFont="1" applyFill="1" applyBorder="1" applyAlignment="1">
      <alignment horizontal="center" vertical="center"/>
    </xf>
    <xf numFmtId="0" fontId="5" fillId="2" borderId="20" xfId="0" applyFont="1" applyFill="1" applyBorder="1" applyAlignment="1">
      <alignment horizontal="center" vertical="center"/>
    </xf>
    <xf numFmtId="0" fontId="5" fillId="2" borderId="10" xfId="0" applyFont="1" applyFill="1" applyBorder="1" applyAlignment="1">
      <alignment horizontal="center" vertical="center"/>
    </xf>
    <xf numFmtId="0" fontId="5" fillId="6" borderId="10" xfId="0" applyFont="1" applyFill="1" applyBorder="1" applyAlignment="1">
      <alignment horizontal="center" vertical="center"/>
    </xf>
    <xf numFmtId="0" fontId="6" fillId="8" borderId="21" xfId="0" applyFont="1" applyFill="1" applyBorder="1" applyAlignment="1">
      <alignment horizontal="center" vertical="center"/>
    </xf>
    <xf numFmtId="0" fontId="5" fillId="3" borderId="22" xfId="0" applyFont="1" applyFill="1" applyBorder="1" applyAlignment="1">
      <alignment horizontal="center" vertical="center"/>
    </xf>
    <xf numFmtId="0" fontId="0" fillId="8" borderId="0" xfId="0" applyFill="1" applyAlignment="1">
      <alignment horizontal="center"/>
    </xf>
    <xf numFmtId="0" fontId="0" fillId="8" borderId="0" xfId="0" applyFill="1"/>
    <xf numFmtId="0" fontId="5" fillId="8" borderId="0" xfId="0" applyFont="1" applyFill="1" applyBorder="1" applyAlignment="1">
      <alignment horizontal="center"/>
    </xf>
    <xf numFmtId="0" fontId="4" fillId="8" borderId="3" xfId="0" applyFont="1" applyFill="1" applyBorder="1"/>
    <xf numFmtId="0" fontId="4" fillId="8" borderId="2" xfId="0" applyFont="1" applyFill="1" applyBorder="1"/>
    <xf numFmtId="0" fontId="0" fillId="8" borderId="0" xfId="0" applyFill="1" applyBorder="1" applyAlignment="1"/>
    <xf numFmtId="0" fontId="0" fillId="8" borderId="9" xfId="0" applyFill="1" applyBorder="1" applyAlignment="1">
      <alignment horizontal="center"/>
    </xf>
    <xf numFmtId="0" fontId="4" fillId="8" borderId="0" xfId="0" applyFont="1" applyFill="1" applyBorder="1" applyAlignment="1">
      <alignment horizontal="center"/>
    </xf>
    <xf numFmtId="0" fontId="0" fillId="8" borderId="0" xfId="0" applyFill="1" applyBorder="1"/>
    <xf numFmtId="0" fontId="13" fillId="8" borderId="0" xfId="0" applyFont="1" applyFill="1"/>
    <xf numFmtId="0" fontId="14" fillId="8" borderId="0" xfId="0" applyFont="1" applyFill="1"/>
    <xf numFmtId="0" fontId="4" fillId="8" borderId="6" xfId="0" applyFont="1" applyFill="1" applyBorder="1" applyAlignment="1"/>
    <xf numFmtId="0" fontId="4" fillId="8" borderId="7" xfId="0" applyFont="1" applyFill="1" applyBorder="1" applyAlignment="1"/>
    <xf numFmtId="0" fontId="4" fillId="8" borderId="9" xfId="0" applyFont="1" applyFill="1" applyBorder="1" applyAlignment="1"/>
    <xf numFmtId="0" fontId="4" fillId="8" borderId="0" xfId="0" applyFont="1" applyFill="1" applyBorder="1" applyAlignment="1"/>
    <xf numFmtId="0" fontId="4" fillId="8" borderId="6" xfId="0" applyFont="1" applyFill="1" applyBorder="1" applyAlignment="1">
      <alignment horizontal="left" vertical="center"/>
    </xf>
    <xf numFmtId="0" fontId="0" fillId="8" borderId="7" xfId="0" applyFill="1" applyBorder="1"/>
    <xf numFmtId="0" fontId="4" fillId="8" borderId="9" xfId="0" applyFont="1" applyFill="1" applyBorder="1" applyAlignment="1">
      <alignment horizontal="left" vertical="center" indent="1"/>
    </xf>
    <xf numFmtId="0" fontId="0" fillId="8" borderId="12" xfId="0" applyFill="1" applyBorder="1"/>
    <xf numFmtId="0" fontId="0" fillId="8" borderId="6" xfId="0" applyFill="1" applyBorder="1" applyAlignment="1">
      <alignment horizontal="center"/>
    </xf>
    <xf numFmtId="164" fontId="0" fillId="8" borderId="0" xfId="1" applyFont="1" applyFill="1"/>
    <xf numFmtId="0" fontId="4" fillId="8" borderId="11" xfId="0" applyFont="1" applyFill="1" applyBorder="1" applyAlignment="1"/>
    <xf numFmtId="0" fontId="4" fillId="8" borderId="12" xfId="0" applyFont="1" applyFill="1" applyBorder="1" applyAlignment="1"/>
    <xf numFmtId="164" fontId="0" fillId="8" borderId="7" xfId="1" applyFont="1" applyFill="1" applyBorder="1"/>
    <xf numFmtId="164" fontId="0" fillId="8" borderId="9" xfId="1" applyFont="1" applyFill="1" applyBorder="1"/>
    <xf numFmtId="164" fontId="0" fillId="8" borderId="0" xfId="1" applyFont="1" applyFill="1" applyBorder="1"/>
    <xf numFmtId="164" fontId="0" fillId="8" borderId="12" xfId="1" applyFont="1" applyFill="1" applyBorder="1"/>
    <xf numFmtId="164" fontId="7" fillId="8" borderId="6" xfId="1" applyFont="1" applyFill="1" applyBorder="1" applyAlignment="1">
      <alignment horizontal="center" vertical="center"/>
    </xf>
    <xf numFmtId="164" fontId="5" fillId="8" borderId="0" xfId="1" applyFont="1" applyFill="1" applyBorder="1"/>
    <xf numFmtId="164" fontId="4" fillId="8" borderId="14" xfId="0" applyNumberFormat="1" applyFont="1" applyFill="1" applyBorder="1"/>
    <xf numFmtId="164" fontId="4" fillId="8" borderId="15" xfId="0" applyNumberFormat="1" applyFont="1" applyFill="1" applyBorder="1"/>
    <xf numFmtId="164" fontId="7" fillId="8" borderId="9" xfId="1" applyFont="1" applyFill="1" applyBorder="1" applyAlignment="1">
      <alignment horizontal="center" vertical="center"/>
    </xf>
    <xf numFmtId="164" fontId="4" fillId="8" borderId="0" xfId="0" applyNumberFormat="1" applyFont="1" applyFill="1" applyBorder="1"/>
    <xf numFmtId="164" fontId="4" fillId="8" borderId="11" xfId="0" applyNumberFormat="1" applyFont="1" applyFill="1" applyBorder="1"/>
    <xf numFmtId="164" fontId="4" fillId="8" borderId="12" xfId="0" applyNumberFormat="1" applyFont="1" applyFill="1" applyBorder="1"/>
    <xf numFmtId="164" fontId="7" fillId="8" borderId="0" xfId="1" applyFont="1" applyFill="1" applyBorder="1" applyAlignment="1">
      <alignment horizontal="center" vertical="center"/>
    </xf>
    <xf numFmtId="164" fontId="7" fillId="8" borderId="7" xfId="1" applyFont="1" applyFill="1" applyBorder="1" applyAlignment="1">
      <alignment horizontal="center" vertical="center"/>
    </xf>
    <xf numFmtId="164" fontId="7" fillId="8" borderId="11" xfId="1" applyFont="1" applyFill="1" applyBorder="1" applyAlignment="1">
      <alignment horizontal="center" vertical="center"/>
    </xf>
    <xf numFmtId="164" fontId="7" fillId="8" borderId="12" xfId="1" applyFont="1" applyFill="1" applyBorder="1" applyAlignment="1">
      <alignment horizontal="center" vertical="center"/>
    </xf>
    <xf numFmtId="164" fontId="5" fillId="4" borderId="0" xfId="1" applyFont="1" applyFill="1" applyBorder="1" applyAlignment="1">
      <alignment horizontal="center" vertical="center"/>
    </xf>
    <xf numFmtId="164" fontId="5" fillId="4" borderId="0" xfId="1" applyFont="1" applyFill="1" applyBorder="1"/>
    <xf numFmtId="164" fontId="0" fillId="8" borderId="16" xfId="1" applyFont="1" applyFill="1" applyBorder="1"/>
    <xf numFmtId="164" fontId="0" fillId="8" borderId="18" xfId="1" applyFont="1" applyFill="1" applyBorder="1"/>
    <xf numFmtId="0" fontId="10" fillId="8" borderId="0" xfId="0" applyFont="1" applyFill="1" applyBorder="1"/>
    <xf numFmtId="0" fontId="10" fillId="8" borderId="0" xfId="0" applyFont="1" applyFill="1"/>
    <xf numFmtId="0" fontId="10" fillId="0" borderId="0" xfId="0" applyFont="1"/>
    <xf numFmtId="0" fontId="10" fillId="8" borderId="17" xfId="0" applyFont="1" applyFill="1" applyBorder="1"/>
    <xf numFmtId="170" fontId="16" fillId="7" borderId="14" xfId="0" applyNumberFormat="1" applyFont="1" applyFill="1" applyBorder="1" applyAlignment="1">
      <alignment horizontal="center" vertical="center"/>
    </xf>
    <xf numFmtId="170" fontId="16" fillId="7" borderId="15" xfId="0" applyNumberFormat="1" applyFont="1" applyFill="1" applyBorder="1" applyAlignment="1">
      <alignment horizontal="center" vertical="center"/>
    </xf>
    <xf numFmtId="170" fontId="16" fillId="7" borderId="6" xfId="0" applyNumberFormat="1" applyFont="1" applyFill="1" applyBorder="1" applyAlignment="1">
      <alignment horizontal="center" vertical="center"/>
    </xf>
    <xf numFmtId="170" fontId="16" fillId="7" borderId="7" xfId="0" applyNumberFormat="1" applyFont="1" applyFill="1" applyBorder="1" applyAlignment="1">
      <alignment horizontal="center" vertical="center"/>
    </xf>
    <xf numFmtId="0" fontId="16" fillId="7" borderId="14" xfId="0" applyFont="1" applyFill="1" applyBorder="1"/>
    <xf numFmtId="171" fontId="0" fillId="8" borderId="0" xfId="1" applyNumberFormat="1" applyFont="1" applyFill="1" applyBorder="1"/>
    <xf numFmtId="171" fontId="15" fillId="8" borderId="0" xfId="1" applyNumberFormat="1" applyFont="1" applyFill="1" applyBorder="1"/>
    <xf numFmtId="164" fontId="0" fillId="8" borderId="0" xfId="0" applyNumberFormat="1" applyFill="1" applyBorder="1"/>
    <xf numFmtId="164" fontId="0" fillId="8" borderId="12" xfId="0" applyNumberFormat="1" applyFill="1" applyBorder="1"/>
    <xf numFmtId="0" fontId="4" fillId="8" borderId="9" xfId="0" applyFont="1" applyFill="1" applyBorder="1" applyAlignment="1">
      <alignment horizontal="left" indent="1"/>
    </xf>
    <xf numFmtId="0" fontId="4" fillId="0" borderId="9" xfId="0" applyFont="1" applyBorder="1" applyAlignment="1">
      <alignment horizontal="left" indent="1"/>
    </xf>
    <xf numFmtId="0" fontId="0" fillId="8" borderId="0" xfId="0" applyFill="1" applyBorder="1" applyAlignment="1">
      <alignment horizontal="right"/>
    </xf>
    <xf numFmtId="171" fontId="0" fillId="8" borderId="7" xfId="1" applyNumberFormat="1" applyFont="1" applyFill="1" applyBorder="1"/>
    <xf numFmtId="173" fontId="0" fillId="8" borderId="0" xfId="1" applyNumberFormat="1" applyFont="1" applyFill="1" applyBorder="1"/>
    <xf numFmtId="164" fontId="3" fillId="8" borderId="0" xfId="0" applyNumberFormat="1" applyFont="1" applyFill="1" applyBorder="1"/>
    <xf numFmtId="171" fontId="0" fillId="0" borderId="7" xfId="1" applyNumberFormat="1" applyFont="1" applyBorder="1"/>
    <xf numFmtId="164" fontId="8" fillId="4" borderId="0" xfId="1" applyFont="1" applyFill="1" applyBorder="1"/>
    <xf numFmtId="173" fontId="18" fillId="9" borderId="0" xfId="1" applyNumberFormat="1" applyFont="1" applyFill="1" applyBorder="1"/>
    <xf numFmtId="173" fontId="18" fillId="11" borderId="12" xfId="1" applyNumberFormat="1" applyFont="1" applyFill="1" applyBorder="1"/>
    <xf numFmtId="0" fontId="18" fillId="9" borderId="9" xfId="0" applyFont="1" applyFill="1" applyBorder="1" applyAlignment="1">
      <alignment horizontal="left" indent="1"/>
    </xf>
    <xf numFmtId="0" fontId="18" fillId="10" borderId="11" xfId="0" applyFont="1" applyFill="1" applyBorder="1" applyAlignment="1">
      <alignment horizontal="left" indent="1"/>
    </xf>
    <xf numFmtId="164" fontId="2" fillId="8" borderId="0" xfId="1" applyFont="1" applyFill="1" applyBorder="1"/>
    <xf numFmtId="9" fontId="4" fillId="8" borderId="0" xfId="2" applyFont="1" applyFill="1" applyBorder="1"/>
    <xf numFmtId="164" fontId="0" fillId="8" borderId="26" xfId="1" applyFont="1" applyFill="1" applyBorder="1"/>
    <xf numFmtId="0" fontId="0" fillId="8" borderId="23" xfId="0" applyFill="1" applyBorder="1" applyAlignment="1">
      <alignment horizontal="center"/>
    </xf>
    <xf numFmtId="0" fontId="0" fillId="8" borderId="24" xfId="0" applyFill="1" applyBorder="1" applyAlignment="1">
      <alignment horizontal="center"/>
    </xf>
    <xf numFmtId="0" fontId="5" fillId="8" borderId="25" xfId="0" applyFont="1" applyFill="1" applyBorder="1" applyAlignment="1">
      <alignment horizontal="center"/>
    </xf>
    <xf numFmtId="0" fontId="4" fillId="3" borderId="9" xfId="0" applyFont="1" applyFill="1" applyBorder="1" applyAlignment="1"/>
    <xf numFmtId="0" fontId="0" fillId="3" borderId="0" xfId="0" applyFill="1" applyBorder="1" applyAlignment="1">
      <alignment horizontal="center"/>
    </xf>
    <xf numFmtId="0" fontId="0" fillId="3" borderId="0" xfId="0" applyFill="1" applyBorder="1"/>
    <xf numFmtId="0" fontId="4" fillId="3" borderId="11" xfId="0" applyFont="1" applyFill="1" applyBorder="1" applyAlignment="1"/>
    <xf numFmtId="0" fontId="0" fillId="3" borderId="12" xfId="0" applyFill="1" applyBorder="1" applyAlignment="1">
      <alignment horizontal="center"/>
    </xf>
    <xf numFmtId="0" fontId="0" fillId="3" borderId="12" xfId="0" applyFill="1" applyBorder="1"/>
    <xf numFmtId="0" fontId="6" fillId="8" borderId="26" xfId="0" applyFont="1" applyFill="1" applyBorder="1" applyAlignment="1">
      <alignment horizontal="center" vertical="center"/>
    </xf>
    <xf numFmtId="0" fontId="5" fillId="5" borderId="27" xfId="0" applyFont="1" applyFill="1" applyBorder="1" applyAlignment="1">
      <alignment horizontal="center" vertical="center"/>
    </xf>
    <xf numFmtId="164" fontId="22" fillId="8" borderId="0" xfId="1" applyFont="1" applyFill="1"/>
    <xf numFmtId="164" fontId="5" fillId="8" borderId="0" xfId="1" applyFont="1" applyFill="1" applyBorder="1" applyAlignment="1">
      <alignment horizontal="center" vertical="center"/>
    </xf>
    <xf numFmtId="173" fontId="17" fillId="8" borderId="0" xfId="1" applyNumberFormat="1" applyFont="1" applyFill="1" applyBorder="1"/>
    <xf numFmtId="164" fontId="17" fillId="8" borderId="0" xfId="1" applyFont="1" applyFill="1" applyBorder="1"/>
    <xf numFmtId="9" fontId="4" fillId="8" borderId="0" xfId="2" applyNumberFormat="1" applyFont="1" applyFill="1" applyBorder="1"/>
    <xf numFmtId="164" fontId="8" fillId="4" borderId="0" xfId="1" applyFont="1" applyFill="1" applyBorder="1" applyAlignment="1">
      <alignment horizontal="center" vertical="center"/>
    </xf>
    <xf numFmtId="164" fontId="2" fillId="8" borderId="18" xfId="1" applyFont="1" applyFill="1" applyBorder="1"/>
    <xf numFmtId="164" fontId="15" fillId="8" borderId="16" xfId="1" applyFont="1" applyFill="1" applyBorder="1"/>
    <xf numFmtId="164" fontId="2" fillId="8" borderId="0" xfId="1" applyFont="1" applyFill="1"/>
    <xf numFmtId="0" fontId="7" fillId="8" borderId="26" xfId="0" applyFont="1" applyFill="1" applyBorder="1" applyAlignment="1">
      <alignment horizontal="center" vertical="center"/>
    </xf>
    <xf numFmtId="0" fontId="5" fillId="6" borderId="27" xfId="0" applyFont="1" applyFill="1" applyBorder="1" applyAlignment="1">
      <alignment horizontal="center" vertical="center"/>
    </xf>
    <xf numFmtId="164" fontId="23" fillId="8" borderId="18" xfId="1" applyFont="1" applyFill="1" applyBorder="1"/>
    <xf numFmtId="164" fontId="1" fillId="8" borderId="0" xfId="1" applyFont="1" applyFill="1" applyBorder="1"/>
    <xf numFmtId="171" fontId="18" fillId="9" borderId="0" xfId="1" applyNumberFormat="1" applyFont="1" applyFill="1" applyBorder="1"/>
    <xf numFmtId="0" fontId="0" fillId="0" borderId="0" xfId="0" applyAlignment="1">
      <alignment horizontal="center" vertical="center"/>
    </xf>
    <xf numFmtId="164" fontId="0" fillId="0" borderId="0" xfId="1" applyFont="1" applyAlignment="1">
      <alignment horizontal="center" vertical="center"/>
    </xf>
    <xf numFmtId="170" fontId="4" fillId="12" borderId="14" xfId="0" applyNumberFormat="1" applyFont="1" applyFill="1" applyBorder="1" applyAlignment="1">
      <alignment horizontal="center" vertical="center"/>
    </xf>
    <xf numFmtId="170" fontId="4" fillId="12" borderId="5" xfId="0" applyNumberFormat="1" applyFont="1" applyFill="1" applyBorder="1" applyAlignment="1">
      <alignment horizontal="center" vertical="center"/>
    </xf>
    <xf numFmtId="170" fontId="17" fillId="12" borderId="15" xfId="0" applyNumberFormat="1" applyFont="1" applyFill="1" applyBorder="1" applyAlignment="1">
      <alignment horizontal="center" vertical="center"/>
    </xf>
    <xf numFmtId="170" fontId="17" fillId="12" borderId="5" xfId="0" applyNumberFormat="1" applyFont="1" applyFill="1" applyBorder="1" applyAlignment="1">
      <alignment horizontal="center" vertical="center"/>
    </xf>
    <xf numFmtId="170" fontId="4" fillId="12" borderId="15" xfId="0" applyNumberFormat="1" applyFont="1" applyFill="1" applyBorder="1" applyAlignment="1">
      <alignment horizontal="center" vertical="center"/>
    </xf>
    <xf numFmtId="170" fontId="3" fillId="12" borderId="5" xfId="0" applyNumberFormat="1" applyFont="1" applyFill="1" applyBorder="1" applyAlignment="1">
      <alignment horizontal="center" vertical="center"/>
    </xf>
    <xf numFmtId="170" fontId="3" fillId="12" borderId="15" xfId="0" applyNumberFormat="1" applyFont="1" applyFill="1" applyBorder="1" applyAlignment="1">
      <alignment horizontal="center" vertical="center"/>
    </xf>
    <xf numFmtId="170" fontId="3" fillId="12" borderId="2" xfId="0" applyNumberFormat="1" applyFont="1" applyFill="1" applyBorder="1" applyAlignment="1">
      <alignment horizontal="center" vertical="center"/>
    </xf>
    <xf numFmtId="170" fontId="3" fillId="12" borderId="7" xfId="0" applyNumberFormat="1" applyFont="1" applyFill="1" applyBorder="1" applyAlignment="1">
      <alignment horizontal="center" vertical="center"/>
    </xf>
    <xf numFmtId="170" fontId="3" fillId="12" borderId="8" xfId="0" applyNumberFormat="1" applyFont="1" applyFill="1" applyBorder="1" applyAlignment="1">
      <alignment horizontal="center" vertical="center"/>
    </xf>
    <xf numFmtId="170" fontId="4" fillId="12" borderId="8" xfId="0" applyNumberFormat="1" applyFont="1" applyFill="1" applyBorder="1" applyAlignment="1">
      <alignment horizontal="center" vertical="center"/>
    </xf>
    <xf numFmtId="0" fontId="0" fillId="2" borderId="0" xfId="0" applyFill="1" applyAlignment="1">
      <alignment horizontal="center" vertical="center"/>
    </xf>
    <xf numFmtId="170" fontId="4" fillId="2" borderId="0" xfId="0" applyNumberFormat="1" applyFont="1" applyFill="1" applyAlignment="1">
      <alignment horizontal="center" vertical="center"/>
    </xf>
    <xf numFmtId="0" fontId="4" fillId="2" borderId="0" xfId="0" applyNumberFormat="1" applyFont="1" applyFill="1" applyAlignment="1">
      <alignment horizontal="center" vertical="center"/>
    </xf>
    <xf numFmtId="0" fontId="4" fillId="2" borderId="7" xfId="0" applyNumberFormat="1" applyFont="1" applyFill="1" applyBorder="1" applyAlignment="1">
      <alignment horizontal="center" vertical="center"/>
    </xf>
    <xf numFmtId="0" fontId="4" fillId="2" borderId="8" xfId="0" applyNumberFormat="1" applyFont="1" applyFill="1" applyBorder="1" applyAlignment="1">
      <alignment horizontal="center" vertical="center"/>
    </xf>
    <xf numFmtId="164" fontId="4" fillId="2" borderId="12" xfId="1" applyFont="1" applyFill="1" applyBorder="1" applyAlignment="1">
      <alignment horizontal="center" vertical="center"/>
    </xf>
    <xf numFmtId="164" fontId="17" fillId="2" borderId="12" xfId="1" applyFont="1" applyFill="1" applyBorder="1" applyAlignment="1">
      <alignment horizontal="center" vertical="center"/>
    </xf>
    <xf numFmtId="164" fontId="4" fillId="2" borderId="13" xfId="1" applyFont="1" applyFill="1" applyBorder="1" applyAlignment="1">
      <alignment horizontal="center" vertical="center"/>
    </xf>
    <xf numFmtId="0" fontId="4" fillId="0" borderId="0" xfId="0" applyFont="1" applyAlignment="1">
      <alignment horizontal="center" vertical="center"/>
    </xf>
    <xf numFmtId="0" fontId="4" fillId="2" borderId="2" xfId="0" applyFont="1" applyFill="1" applyBorder="1" applyAlignment="1">
      <alignment horizontal="center" vertical="center"/>
    </xf>
    <xf numFmtId="164" fontId="4" fillId="2" borderId="6" xfId="1" applyFont="1" applyFill="1" applyBorder="1" applyAlignment="1">
      <alignment horizontal="center" vertical="center"/>
    </xf>
    <xf numFmtId="164" fontId="4" fillId="2" borderId="2" xfId="1" applyFont="1" applyFill="1" applyBorder="1" applyAlignment="1">
      <alignment horizontal="center" vertical="center"/>
    </xf>
    <xf numFmtId="164" fontId="4" fillId="2" borderId="8" xfId="1" applyFont="1" applyFill="1" applyBorder="1" applyAlignment="1">
      <alignment horizontal="center" vertical="center"/>
    </xf>
    <xf numFmtId="164" fontId="4" fillId="2" borderId="7" xfId="1" applyFont="1" applyFill="1" applyBorder="1" applyAlignment="1">
      <alignment horizontal="center" vertical="center"/>
    </xf>
    <xf numFmtId="164" fontId="17" fillId="2" borderId="4" xfId="1" applyFont="1" applyFill="1" applyBorder="1" applyAlignment="1">
      <alignment horizontal="center" vertical="center"/>
    </xf>
    <xf numFmtId="164" fontId="17" fillId="2" borderId="0" xfId="1" applyFont="1" applyFill="1" applyBorder="1" applyAlignment="1">
      <alignment horizontal="center" vertical="center"/>
    </xf>
    <xf numFmtId="164" fontId="17" fillId="2" borderId="3" xfId="1" applyFont="1" applyFill="1" applyBorder="1" applyAlignment="1">
      <alignment horizontal="center" vertical="center"/>
    </xf>
    <xf numFmtId="164" fontId="17" fillId="2" borderId="10" xfId="1" applyFont="1" applyFill="1" applyBorder="1" applyAlignment="1">
      <alignment horizontal="center" vertical="center"/>
    </xf>
    <xf numFmtId="164" fontId="3" fillId="2" borderId="10" xfId="1" applyFont="1" applyFill="1" applyBorder="1" applyAlignment="1">
      <alignment horizontal="center" vertical="center"/>
    </xf>
    <xf numFmtId="164" fontId="5" fillId="0" borderId="0" xfId="0" applyNumberFormat="1" applyFont="1" applyAlignment="1">
      <alignment horizontal="center" vertical="center"/>
    </xf>
    <xf numFmtId="164" fontId="24" fillId="13" borderId="6" xfId="1" applyFont="1" applyFill="1" applyBorder="1" applyAlignment="1">
      <alignment horizontal="center" vertical="center"/>
    </xf>
    <xf numFmtId="164" fontId="24" fillId="13" borderId="2" xfId="1" applyFont="1" applyFill="1" applyBorder="1" applyAlignment="1">
      <alignment horizontal="center" vertical="center"/>
    </xf>
    <xf numFmtId="164" fontId="24" fillId="14" borderId="2" xfId="1" applyFont="1" applyFill="1" applyBorder="1" applyAlignment="1">
      <alignment horizontal="center" vertical="center"/>
    </xf>
    <xf numFmtId="164" fontId="24" fillId="14" borderId="8" xfId="1" applyFont="1" applyFill="1" applyBorder="1" applyAlignment="1">
      <alignment horizontal="center" vertical="center"/>
    </xf>
    <xf numFmtId="164" fontId="24" fillId="14" borderId="6" xfId="1" applyFont="1" applyFill="1" applyBorder="1" applyAlignment="1">
      <alignment horizontal="center" vertical="center"/>
    </xf>
    <xf numFmtId="164" fontId="25" fillId="15" borderId="8" xfId="1" applyFont="1" applyFill="1" applyBorder="1" applyAlignment="1">
      <alignment horizontal="center" vertical="center"/>
    </xf>
    <xf numFmtId="164" fontId="25" fillId="16" borderId="8" xfId="1" applyFont="1" applyFill="1" applyBorder="1" applyAlignment="1">
      <alignment horizontal="center" vertical="center"/>
    </xf>
    <xf numFmtId="164" fontId="26" fillId="16" borderId="8" xfId="1" applyFont="1" applyFill="1" applyBorder="1" applyAlignment="1">
      <alignment horizontal="center" vertical="center"/>
    </xf>
    <xf numFmtId="164" fontId="24" fillId="13" borderId="9" xfId="1" applyFont="1" applyFill="1" applyBorder="1" applyAlignment="1">
      <alignment horizontal="center" vertical="center"/>
    </xf>
    <xf numFmtId="164" fontId="24" fillId="13" borderId="3" xfId="1" applyFont="1" applyFill="1" applyBorder="1" applyAlignment="1">
      <alignment horizontal="center" vertical="center"/>
    </xf>
    <xf numFmtId="164" fontId="24" fillId="14" borderId="3" xfId="1" applyFont="1" applyFill="1" applyBorder="1" applyAlignment="1">
      <alignment horizontal="center" vertical="center"/>
    </xf>
    <xf numFmtId="164" fontId="24" fillId="14" borderId="10" xfId="1" applyFont="1" applyFill="1" applyBorder="1" applyAlignment="1">
      <alignment horizontal="center" vertical="center"/>
    </xf>
    <xf numFmtId="164" fontId="24" fillId="14" borderId="9" xfId="1" applyFont="1" applyFill="1" applyBorder="1" applyAlignment="1">
      <alignment horizontal="center" vertical="center"/>
    </xf>
    <xf numFmtId="164" fontId="25" fillId="17" borderId="3" xfId="1" applyFont="1" applyFill="1" applyBorder="1" applyAlignment="1">
      <alignment horizontal="center" vertical="center"/>
    </xf>
    <xf numFmtId="164" fontId="26" fillId="17" borderId="3" xfId="1" applyFont="1" applyFill="1" applyBorder="1" applyAlignment="1">
      <alignment horizontal="center" vertical="center"/>
    </xf>
    <xf numFmtId="164" fontId="24" fillId="14" borderId="0" xfId="1" applyFont="1" applyFill="1" applyBorder="1" applyAlignment="1">
      <alignment horizontal="center" vertical="center"/>
    </xf>
    <xf numFmtId="164" fontId="25" fillId="17" borderId="10" xfId="1" applyFont="1" applyFill="1" applyBorder="1" applyAlignment="1">
      <alignment horizontal="center" vertical="center"/>
    </xf>
    <xf numFmtId="164" fontId="27" fillId="17" borderId="10" xfId="1" applyFont="1" applyFill="1" applyBorder="1" applyAlignment="1">
      <alignment horizontal="center" vertical="center"/>
    </xf>
    <xf numFmtId="164" fontId="26" fillId="17" borderId="10" xfId="1" applyFont="1" applyFill="1" applyBorder="1" applyAlignment="1">
      <alignment horizontal="center" vertical="center"/>
    </xf>
    <xf numFmtId="0" fontId="4" fillId="4" borderId="4" xfId="0" applyFont="1" applyFill="1" applyBorder="1" applyAlignment="1">
      <alignment horizontal="center" vertical="center"/>
    </xf>
    <xf numFmtId="164" fontId="24" fillId="4" borderId="11" xfId="1" applyFont="1" applyFill="1" applyBorder="1" applyAlignment="1">
      <alignment horizontal="center" vertical="center"/>
    </xf>
    <xf numFmtId="164" fontId="24" fillId="4" borderId="4" xfId="1" applyFont="1" applyFill="1" applyBorder="1" applyAlignment="1">
      <alignment horizontal="center" vertical="center"/>
    </xf>
    <xf numFmtId="164" fontId="24" fillId="18" borderId="4" xfId="1" applyFont="1" applyFill="1" applyBorder="1" applyAlignment="1">
      <alignment horizontal="center" vertical="center"/>
    </xf>
    <xf numFmtId="164" fontId="24" fillId="18" borderId="13" xfId="1" applyFont="1" applyFill="1" applyBorder="1" applyAlignment="1">
      <alignment horizontal="center" vertical="center"/>
    </xf>
    <xf numFmtId="164" fontId="24" fillId="18" borderId="12" xfId="1" applyFont="1" applyFill="1" applyBorder="1" applyAlignment="1">
      <alignment horizontal="center" vertical="center"/>
    </xf>
    <xf numFmtId="164" fontId="28" fillId="18" borderId="4" xfId="1" applyFont="1" applyFill="1" applyBorder="1" applyAlignment="1">
      <alignment horizontal="center" vertical="center"/>
    </xf>
    <xf numFmtId="164" fontId="3" fillId="18" borderId="4" xfId="1" applyFont="1" applyFill="1" applyBorder="1" applyAlignment="1">
      <alignment horizontal="center" vertical="center"/>
    </xf>
    <xf numFmtId="164" fontId="25" fillId="19" borderId="4" xfId="1" applyFont="1" applyFill="1" applyBorder="1" applyAlignment="1">
      <alignment horizontal="center" vertical="center"/>
    </xf>
    <xf numFmtId="164" fontId="26" fillId="19" borderId="4" xfId="1" applyFont="1" applyFill="1" applyBorder="1" applyAlignment="1">
      <alignment horizontal="center" vertical="center"/>
    </xf>
    <xf numFmtId="164" fontId="26" fillId="20" borderId="4" xfId="1" applyFont="1" applyFill="1" applyBorder="1" applyAlignment="1">
      <alignment horizontal="center" vertical="center"/>
    </xf>
    <xf numFmtId="0" fontId="0" fillId="21" borderId="2" xfId="0" applyFill="1" applyBorder="1" applyAlignment="1">
      <alignment horizontal="center" vertical="center"/>
    </xf>
    <xf numFmtId="173" fontId="0" fillId="21" borderId="6" xfId="0" applyNumberFormat="1" applyFill="1" applyBorder="1" applyAlignment="1">
      <alignment horizontal="center" vertical="center"/>
    </xf>
    <xf numFmtId="173" fontId="0" fillId="21" borderId="2" xfId="0" applyNumberFormat="1" applyFill="1" applyBorder="1" applyAlignment="1">
      <alignment horizontal="center" vertical="center"/>
    </xf>
    <xf numFmtId="173" fontId="0" fillId="21" borderId="3" xfId="0" applyNumberFormat="1" applyFill="1" applyBorder="1" applyAlignment="1">
      <alignment horizontal="center" vertical="center"/>
    </xf>
    <xf numFmtId="0" fontId="14" fillId="21" borderId="4" xfId="0" applyFont="1" applyFill="1" applyBorder="1" applyAlignment="1">
      <alignment horizontal="center" vertical="center"/>
    </xf>
    <xf numFmtId="164" fontId="14" fillId="21" borderId="12" xfId="0" applyNumberFormat="1" applyFont="1" applyFill="1" applyBorder="1" applyAlignment="1">
      <alignment horizontal="center" vertical="center"/>
    </xf>
    <xf numFmtId="164" fontId="14" fillId="21" borderId="4" xfId="0" applyNumberFormat="1" applyFont="1" applyFill="1" applyBorder="1" applyAlignment="1">
      <alignment horizontal="center" vertical="center"/>
    </xf>
    <xf numFmtId="164" fontId="14" fillId="22" borderId="4" xfId="0" applyNumberFormat="1" applyFont="1" applyFill="1" applyBorder="1" applyAlignment="1">
      <alignment horizontal="center" vertical="center"/>
    </xf>
    <xf numFmtId="0" fontId="14" fillId="0" borderId="0" xfId="0" applyFont="1" applyAlignment="1">
      <alignment horizontal="center" vertical="center"/>
    </xf>
    <xf numFmtId="0" fontId="4" fillId="0" borderId="0" xfId="0" applyFont="1" applyFill="1" applyBorder="1" applyAlignment="1">
      <alignment horizontal="center" vertical="center"/>
    </xf>
    <xf numFmtId="164" fontId="4" fillId="0" borderId="0" xfId="0" applyNumberFormat="1" applyFont="1" applyFill="1" applyBorder="1" applyAlignment="1">
      <alignment horizontal="center" vertical="center"/>
    </xf>
    <xf numFmtId="0" fontId="4" fillId="0" borderId="0" xfId="0" applyFont="1" applyFill="1" applyAlignment="1">
      <alignment horizontal="center" vertical="center"/>
    </xf>
    <xf numFmtId="0" fontId="3" fillId="0" borderId="0" xfId="0" applyFont="1" applyFill="1" applyAlignment="1">
      <alignment horizontal="left" vertical="center"/>
    </xf>
    <xf numFmtId="0" fontId="4" fillId="13" borderId="5" xfId="0" applyFont="1" applyFill="1" applyBorder="1" applyAlignment="1">
      <alignment horizontal="center" vertical="center"/>
    </xf>
    <xf numFmtId="164" fontId="24" fillId="13" borderId="5" xfId="1" applyFont="1" applyFill="1" applyBorder="1" applyAlignment="1">
      <alignment horizontal="center" vertical="center"/>
    </xf>
    <xf numFmtId="164" fontId="24" fillId="14" borderId="5" xfId="1" applyFont="1" applyFill="1" applyBorder="1" applyAlignment="1">
      <alignment horizontal="center" vertical="center"/>
    </xf>
    <xf numFmtId="0" fontId="29" fillId="0" borderId="0" xfId="0" applyFont="1" applyAlignment="1">
      <alignment horizontal="center" vertical="center"/>
    </xf>
    <xf numFmtId="0" fontId="14" fillId="0" borderId="0" xfId="0" applyFont="1" applyAlignment="1">
      <alignment horizontal="left" vertical="center"/>
    </xf>
    <xf numFmtId="174" fontId="0" fillId="0" borderId="0" xfId="1" applyNumberFormat="1" applyFont="1" applyAlignment="1">
      <alignment horizontal="center" vertical="center"/>
    </xf>
    <xf numFmtId="0" fontId="0" fillId="0" borderId="0" xfId="0" applyAlignment="1">
      <alignment horizontal="left" vertical="center"/>
    </xf>
    <xf numFmtId="174" fontId="0" fillId="0" borderId="0" xfId="0" applyNumberFormat="1" applyAlignment="1">
      <alignment horizontal="center" vertical="center"/>
    </xf>
    <xf numFmtId="164" fontId="0" fillId="0" borderId="0" xfId="1" applyFont="1"/>
    <xf numFmtId="9" fontId="0" fillId="0" borderId="0" xfId="0" applyNumberFormat="1"/>
    <xf numFmtId="0" fontId="0" fillId="0" borderId="0" xfId="0" applyBorder="1"/>
    <xf numFmtId="0" fontId="22" fillId="0" borderId="0" xfId="0" applyFont="1" applyAlignment="1">
      <alignment horizontal="center" vertical="center"/>
    </xf>
    <xf numFmtId="164" fontId="0" fillId="0" borderId="0" xfId="0" applyNumberFormat="1"/>
    <xf numFmtId="164" fontId="22" fillId="12" borderId="0" xfId="1" applyFont="1" applyFill="1"/>
    <xf numFmtId="164" fontId="0" fillId="12" borderId="16" xfId="1" applyFont="1" applyFill="1" applyBorder="1"/>
    <xf numFmtId="172" fontId="0" fillId="8" borderId="0" xfId="0" applyNumberFormat="1" applyFill="1"/>
    <xf numFmtId="174" fontId="5" fillId="4" borderId="0" xfId="1" applyNumberFormat="1" applyFont="1" applyFill="1" applyBorder="1" applyAlignment="1">
      <alignment horizontal="center" vertical="center"/>
    </xf>
    <xf numFmtId="174" fontId="8" fillId="4" borderId="0" xfId="1" applyNumberFormat="1" applyFont="1" applyFill="1" applyBorder="1"/>
    <xf numFmtId="174" fontId="5" fillId="4" borderId="0" xfId="1" applyNumberFormat="1" applyFont="1" applyFill="1" applyBorder="1"/>
    <xf numFmtId="0" fontId="4" fillId="8" borderId="11" xfId="0" applyFont="1" applyFill="1" applyBorder="1" applyAlignment="1">
      <alignment horizontal="left" indent="1"/>
    </xf>
    <xf numFmtId="164" fontId="30" fillId="8" borderId="0" xfId="1" applyFont="1" applyFill="1" applyBorder="1"/>
    <xf numFmtId="164" fontId="23" fillId="8" borderId="0" xfId="1" applyFont="1" applyFill="1" applyBorder="1"/>
    <xf numFmtId="164" fontId="7" fillId="4" borderId="0" xfId="1" applyFont="1" applyFill="1" applyBorder="1"/>
    <xf numFmtId="164" fontId="24" fillId="12" borderId="5" xfId="1" applyFont="1" applyFill="1" applyBorder="1" applyAlignment="1">
      <alignment horizontal="center" vertical="center"/>
    </xf>
    <xf numFmtId="164" fontId="0" fillId="0" borderId="0" xfId="0" quotePrefix="1" applyNumberFormat="1" applyAlignment="1">
      <alignment horizontal="center" vertical="center"/>
    </xf>
    <xf numFmtId="164" fontId="23" fillId="12" borderId="18" xfId="1" applyFont="1" applyFill="1" applyBorder="1"/>
    <xf numFmtId="171" fontId="18" fillId="11" borderId="12" xfId="1" applyNumberFormat="1" applyFont="1" applyFill="1" applyBorder="1"/>
    <xf numFmtId="170" fontId="16" fillId="23" borderId="15" xfId="0" applyNumberFormat="1" applyFont="1" applyFill="1" applyBorder="1" applyAlignment="1">
      <alignment horizontal="center" vertical="center"/>
    </xf>
    <xf numFmtId="164" fontId="18" fillId="9" borderId="0" xfId="1" applyNumberFormat="1" applyFont="1" applyFill="1" applyBorder="1"/>
    <xf numFmtId="164" fontId="0" fillId="0" borderId="18" xfId="1" applyFont="1" applyFill="1" applyBorder="1"/>
    <xf numFmtId="164" fontId="2" fillId="21" borderId="16" xfId="1" applyFont="1" applyFill="1" applyBorder="1"/>
    <xf numFmtId="164" fontId="2" fillId="21" borderId="18" xfId="1" applyFont="1" applyFill="1" applyBorder="1"/>
    <xf numFmtId="164" fontId="4" fillId="0" borderId="0" xfId="0" applyNumberFormat="1" applyFont="1" applyAlignment="1">
      <alignment horizontal="center" vertical="center"/>
    </xf>
    <xf numFmtId="0" fontId="0" fillId="0" borderId="0" xfId="0" applyAlignment="1">
      <alignment horizontal="right" vertical="center"/>
    </xf>
    <xf numFmtId="164" fontId="22" fillId="8" borderId="16" xfId="1" applyFont="1" applyFill="1" applyBorder="1"/>
    <xf numFmtId="164" fontId="22" fillId="8" borderId="26" xfId="1" applyFont="1" applyFill="1" applyBorder="1"/>
    <xf numFmtId="164" fontId="22" fillId="8" borderId="12" xfId="1" applyFont="1" applyFill="1" applyBorder="1"/>
    <xf numFmtId="164" fontId="23" fillId="21" borderId="0" xfId="1" applyFont="1" applyFill="1"/>
    <xf numFmtId="164" fontId="23" fillId="8" borderId="16" xfId="1" applyFont="1" applyFill="1" applyBorder="1"/>
    <xf numFmtId="164" fontId="0" fillId="12" borderId="0" xfId="1" applyFont="1" applyFill="1"/>
    <xf numFmtId="164" fontId="23" fillId="12" borderId="0" xfId="1" applyFont="1" applyFill="1" applyBorder="1"/>
    <xf numFmtId="9" fontId="0" fillId="0" borderId="0" xfId="2" applyFont="1"/>
    <xf numFmtId="174" fontId="18" fillId="9" borderId="0" xfId="1" applyNumberFormat="1" applyFont="1" applyFill="1" applyBorder="1"/>
    <xf numFmtId="164" fontId="2" fillId="8" borderId="26" xfId="1" applyFont="1" applyFill="1" applyBorder="1"/>
    <xf numFmtId="164" fontId="4" fillId="25" borderId="0" xfId="0" applyNumberFormat="1" applyFont="1" applyFill="1" applyBorder="1"/>
    <xf numFmtId="0" fontId="4" fillId="25" borderId="0" xfId="0" applyFont="1" applyFill="1" applyBorder="1" applyAlignment="1">
      <alignment horizontal="center"/>
    </xf>
    <xf numFmtId="0" fontId="4" fillId="25" borderId="0" xfId="0" applyFont="1" applyFill="1" applyBorder="1" applyAlignment="1">
      <alignment horizontal="right"/>
    </xf>
    <xf numFmtId="0" fontId="4" fillId="18" borderId="0" xfId="0" applyFont="1" applyFill="1" applyBorder="1" applyAlignment="1">
      <alignment horizontal="center"/>
    </xf>
    <xf numFmtId="0" fontId="4" fillId="18" borderId="0" xfId="0" applyFont="1" applyFill="1" applyBorder="1" applyAlignment="1">
      <alignment horizontal="right"/>
    </xf>
    <xf numFmtId="164" fontId="5" fillId="18" borderId="0" xfId="0" applyNumberFormat="1" applyFont="1" applyFill="1" applyBorder="1"/>
    <xf numFmtId="164" fontId="17" fillId="2" borderId="5" xfId="1" applyFont="1" applyFill="1" applyBorder="1" applyAlignment="1">
      <alignment horizontal="center" vertical="center"/>
    </xf>
    <xf numFmtId="164" fontId="17" fillId="2" borderId="1" xfId="1" applyFont="1" applyFill="1" applyBorder="1" applyAlignment="1">
      <alignment horizontal="center" vertical="center"/>
    </xf>
    <xf numFmtId="164" fontId="23" fillId="8" borderId="0" xfId="1" applyFont="1" applyFill="1"/>
    <xf numFmtId="175" fontId="8" fillId="4" borderId="0" xfId="1" applyNumberFormat="1" applyFont="1" applyFill="1" applyBorder="1"/>
    <xf numFmtId="175" fontId="5" fillId="4" borderId="0" xfId="1" applyNumberFormat="1" applyFont="1" applyFill="1" applyBorder="1"/>
    <xf numFmtId="170" fontId="3" fillId="23" borderId="15" xfId="0" applyNumberFormat="1" applyFont="1" applyFill="1" applyBorder="1" applyAlignment="1">
      <alignment horizontal="center" vertical="center"/>
    </xf>
    <xf numFmtId="174" fontId="8" fillId="4" borderId="0" xfId="1" applyNumberFormat="1" applyFont="1" applyFill="1" applyBorder="1" applyAlignment="1">
      <alignment horizontal="center" vertical="center"/>
    </xf>
    <xf numFmtId="175" fontId="7" fillId="4" borderId="0" xfId="1" applyNumberFormat="1" applyFont="1" applyFill="1" applyBorder="1"/>
    <xf numFmtId="0" fontId="31" fillId="8" borderId="26" xfId="0" applyFont="1" applyFill="1" applyBorder="1" applyAlignment="1">
      <alignment horizontal="center" vertical="center"/>
    </xf>
    <xf numFmtId="164" fontId="4" fillId="2" borderId="0" xfId="0" applyNumberFormat="1" applyFont="1" applyFill="1" applyBorder="1"/>
    <xf numFmtId="0" fontId="4" fillId="2" borderId="0" xfId="0" applyFont="1" applyFill="1" applyBorder="1" applyAlignment="1">
      <alignment horizontal="center"/>
    </xf>
    <xf numFmtId="0" fontId="4" fillId="2" borderId="0" xfId="0" applyFont="1" applyFill="1" applyBorder="1" applyAlignment="1">
      <alignment horizontal="right"/>
    </xf>
    <xf numFmtId="0" fontId="32" fillId="2" borderId="0" xfId="0" applyFont="1" applyFill="1" applyBorder="1" applyAlignment="1">
      <alignment horizontal="right"/>
    </xf>
    <xf numFmtId="164" fontId="2" fillId="23" borderId="0" xfId="1" applyFont="1" applyFill="1" applyBorder="1"/>
    <xf numFmtId="175" fontId="18" fillId="9" borderId="0" xfId="1" applyNumberFormat="1" applyFont="1" applyFill="1" applyBorder="1"/>
    <xf numFmtId="171" fontId="2" fillId="8" borderId="0" xfId="1" applyNumberFormat="1" applyFont="1" applyFill="1" applyBorder="1"/>
    <xf numFmtId="174" fontId="7" fillId="4" borderId="0" xfId="1" applyNumberFormat="1" applyFont="1" applyFill="1" applyBorder="1" applyAlignment="1">
      <alignment horizontal="center" vertical="center"/>
    </xf>
    <xf numFmtId="0" fontId="0" fillId="8" borderId="0" xfId="0" applyFill="1" applyBorder="1" applyAlignment="1">
      <alignment horizontal="center"/>
    </xf>
    <xf numFmtId="164" fontId="0" fillId="8" borderId="0" xfId="0" applyNumberFormat="1" applyFill="1"/>
    <xf numFmtId="174" fontId="0" fillId="8" borderId="0" xfId="1" applyNumberFormat="1" applyFont="1" applyFill="1" applyAlignment="1">
      <alignment horizontal="center"/>
    </xf>
    <xf numFmtId="0" fontId="7" fillId="8" borderId="14" xfId="0" applyFont="1" applyFill="1" applyBorder="1"/>
    <xf numFmtId="0" fontId="17" fillId="8" borderId="15" xfId="0" applyFont="1" applyFill="1" applyBorder="1" applyAlignment="1">
      <alignment horizontal="center"/>
    </xf>
    <xf numFmtId="170" fontId="17" fillId="8" borderId="15" xfId="0" applyNumberFormat="1" applyFont="1" applyFill="1" applyBorder="1" applyAlignment="1">
      <alignment horizontal="center" vertical="center"/>
    </xf>
    <xf numFmtId="0" fontId="7" fillId="8" borderId="0" xfId="0" applyFont="1" applyFill="1" applyBorder="1"/>
    <xf numFmtId="0" fontId="34" fillId="8" borderId="0" xfId="0" applyFont="1" applyFill="1" applyBorder="1"/>
    <xf numFmtId="0" fontId="7" fillId="8" borderId="0" xfId="0" applyFont="1" applyFill="1" applyBorder="1" applyAlignment="1">
      <alignment horizontal="center"/>
    </xf>
    <xf numFmtId="170" fontId="7" fillId="8" borderId="0" xfId="0" applyNumberFormat="1" applyFont="1" applyFill="1" applyBorder="1" applyAlignment="1">
      <alignment horizontal="center" vertical="center"/>
    </xf>
    <xf numFmtId="0" fontId="35" fillId="18" borderId="0" xfId="0" applyFont="1" applyFill="1" applyBorder="1"/>
    <xf numFmtId="0" fontId="7" fillId="18" borderId="0" xfId="0" applyFont="1" applyFill="1" applyBorder="1" applyAlignment="1">
      <alignment horizontal="center"/>
    </xf>
    <xf numFmtId="0" fontId="36" fillId="8" borderId="0" xfId="0" applyFont="1" applyFill="1" applyBorder="1"/>
    <xf numFmtId="0" fontId="36" fillId="8" borderId="0" xfId="0" applyFont="1" applyFill="1" applyBorder="1" applyAlignment="1">
      <alignment horizontal="center"/>
    </xf>
    <xf numFmtId="0" fontId="37" fillId="8" borderId="0" xfId="0" quotePrefix="1" applyFont="1" applyFill="1" applyBorder="1"/>
    <xf numFmtId="0" fontId="37" fillId="8" borderId="0" xfId="0" applyFont="1" applyFill="1" applyBorder="1" applyAlignment="1">
      <alignment horizontal="center"/>
    </xf>
    <xf numFmtId="0" fontId="7" fillId="21" borderId="0" xfId="0" applyFont="1" applyFill="1" applyBorder="1"/>
    <xf numFmtId="0" fontId="7" fillId="21" borderId="0" xfId="0" applyFont="1" applyFill="1" applyBorder="1" applyAlignment="1">
      <alignment horizontal="center"/>
    </xf>
    <xf numFmtId="173" fontId="7" fillId="8" borderId="0" xfId="0" applyNumberFormat="1" applyFont="1" applyFill="1" applyBorder="1"/>
    <xf numFmtId="0" fontId="36" fillId="18" borderId="0" xfId="0" applyFont="1" applyFill="1" applyBorder="1" applyAlignment="1">
      <alignment horizontal="center"/>
    </xf>
    <xf numFmtId="0" fontId="35" fillId="26" borderId="0" xfId="0" applyFont="1" applyFill="1" applyBorder="1"/>
    <xf numFmtId="0" fontId="7" fillId="26" borderId="0" xfId="0" applyFont="1" applyFill="1" applyBorder="1" applyAlignment="1">
      <alignment horizontal="center"/>
    </xf>
    <xf numFmtId="173" fontId="7" fillId="8" borderId="0" xfId="6" applyNumberFormat="1" applyFont="1" applyFill="1" applyBorder="1"/>
    <xf numFmtId="0" fontId="17" fillId="27" borderId="0" xfId="0" applyFont="1" applyFill="1" applyBorder="1" applyAlignment="1"/>
    <xf numFmtId="0" fontId="7" fillId="8" borderId="0" xfId="0" applyFont="1" applyFill="1" applyBorder="1" applyAlignment="1"/>
    <xf numFmtId="0" fontId="5" fillId="8" borderId="0" xfId="0" applyFont="1" applyFill="1" applyBorder="1"/>
    <xf numFmtId="170" fontId="5" fillId="8" borderId="0" xfId="0" applyNumberFormat="1" applyFont="1" applyFill="1" applyBorder="1"/>
    <xf numFmtId="173" fontId="5" fillId="8" borderId="0" xfId="0" applyNumberFormat="1" applyFont="1" applyFill="1" applyBorder="1"/>
    <xf numFmtId="164" fontId="4" fillId="0" borderId="0" xfId="1" applyFont="1"/>
    <xf numFmtId="164" fontId="18" fillId="9" borderId="0" xfId="1" applyFont="1" applyFill="1" applyBorder="1"/>
    <xf numFmtId="0" fontId="17" fillId="27" borderId="0" xfId="0" applyFont="1" applyFill="1" applyBorder="1" applyAlignment="1">
      <alignment horizontal="center"/>
    </xf>
    <xf numFmtId="0" fontId="17" fillId="8" borderId="0" xfId="0" applyFont="1" applyFill="1" applyBorder="1"/>
    <xf numFmtId="0" fontId="17" fillId="8" borderId="0" xfId="0" applyFont="1" applyFill="1" applyBorder="1" applyAlignment="1">
      <alignment horizontal="center"/>
    </xf>
    <xf numFmtId="174" fontId="17" fillId="8" borderId="0" xfId="1" applyNumberFormat="1" applyFont="1" applyFill="1" applyBorder="1"/>
    <xf numFmtId="174" fontId="3" fillId="8" borderId="0" xfId="1" applyNumberFormat="1" applyFont="1" applyFill="1" applyBorder="1"/>
    <xf numFmtId="174" fontId="17" fillId="27" borderId="0" xfId="1" applyNumberFormat="1" applyFont="1" applyFill="1" applyBorder="1"/>
    <xf numFmtId="174" fontId="7" fillId="18" borderId="0" xfId="1" applyNumberFormat="1" applyFont="1" applyFill="1" applyBorder="1"/>
    <xf numFmtId="174" fontId="8" fillId="8" borderId="0" xfId="1" applyNumberFormat="1" applyFont="1" applyFill="1" applyBorder="1"/>
    <xf numFmtId="174" fontId="36" fillId="8" borderId="0" xfId="1" applyNumberFormat="1" applyFont="1" applyFill="1" applyBorder="1"/>
    <xf numFmtId="174" fontId="8" fillId="21" borderId="0" xfId="1" applyNumberFormat="1" applyFont="1" applyFill="1" applyBorder="1"/>
    <xf numFmtId="174" fontId="7" fillId="8" borderId="0" xfId="1" applyNumberFormat="1" applyFont="1" applyFill="1" applyBorder="1" applyAlignment="1">
      <alignment horizontal="center" vertical="center"/>
    </xf>
    <xf numFmtId="174" fontId="7" fillId="8" borderId="0" xfId="1" applyNumberFormat="1" applyFont="1" applyFill="1" applyBorder="1"/>
    <xf numFmtId="174" fontId="36" fillId="18" borderId="0" xfId="1" applyNumberFormat="1" applyFont="1" applyFill="1" applyBorder="1"/>
    <xf numFmtId="174" fontId="37" fillId="8" borderId="0" xfId="1" applyNumberFormat="1" applyFont="1" applyFill="1" applyBorder="1"/>
    <xf numFmtId="174" fontId="7" fillId="26" borderId="0" xfId="1" applyNumberFormat="1" applyFont="1" applyFill="1" applyBorder="1"/>
    <xf numFmtId="174" fontId="7" fillId="21" borderId="0" xfId="1" applyNumberFormat="1" applyFont="1" applyFill="1" applyBorder="1"/>
    <xf numFmtId="9" fontId="14" fillId="21" borderId="4" xfId="2" applyFont="1" applyFill="1" applyBorder="1" applyAlignment="1">
      <alignment horizontal="center" vertical="center"/>
    </xf>
    <xf numFmtId="170" fontId="4" fillId="8" borderId="0" xfId="0" applyNumberFormat="1" applyFont="1" applyFill="1" applyBorder="1"/>
    <xf numFmtId="4" fontId="7" fillId="8" borderId="0" xfId="0" applyNumberFormat="1" applyFont="1" applyFill="1" applyBorder="1"/>
    <xf numFmtId="4" fontId="5" fillId="8" borderId="0" xfId="0" applyNumberFormat="1" applyFont="1" applyFill="1" applyBorder="1"/>
    <xf numFmtId="175" fontId="5" fillId="4" borderId="0" xfId="1" applyNumberFormat="1" applyFont="1" applyFill="1" applyBorder="1" applyAlignment="1">
      <alignment horizontal="center" vertical="center"/>
    </xf>
    <xf numFmtId="164" fontId="2" fillId="8" borderId="16" xfId="1" applyFont="1" applyFill="1" applyBorder="1"/>
    <xf numFmtId="164" fontId="2" fillId="5" borderId="0" xfId="1" applyFont="1" applyFill="1" applyBorder="1"/>
    <xf numFmtId="175" fontId="8" fillId="4" borderId="0" xfId="1" applyNumberFormat="1" applyFont="1" applyFill="1" applyBorder="1" applyAlignment="1">
      <alignment horizontal="center" vertical="center"/>
    </xf>
    <xf numFmtId="164" fontId="18" fillId="11" borderId="12" xfId="1" applyNumberFormat="1" applyFont="1" applyFill="1" applyBorder="1"/>
    <xf numFmtId="175" fontId="8" fillId="8" borderId="0" xfId="1" applyNumberFormat="1" applyFont="1" applyFill="1" applyBorder="1"/>
    <xf numFmtId="0" fontId="0" fillId="0" borderId="0" xfId="0" applyFill="1" applyBorder="1"/>
    <xf numFmtId="0" fontId="5" fillId="8" borderId="10" xfId="0" applyFont="1" applyFill="1" applyBorder="1" applyAlignment="1">
      <alignment horizontal="center" vertical="center"/>
    </xf>
    <xf numFmtId="0" fontId="4" fillId="8" borderId="9" xfId="0" applyFont="1" applyFill="1" applyBorder="1"/>
    <xf numFmtId="0" fontId="8" fillId="8" borderId="0" xfId="0" applyFont="1" applyFill="1" applyBorder="1" applyAlignment="1">
      <alignment horizontal="center" vertical="center"/>
    </xf>
    <xf numFmtId="0" fontId="4" fillId="8" borderId="29" xfId="0" applyFont="1" applyFill="1" applyBorder="1"/>
    <xf numFmtId="0" fontId="4" fillId="8" borderId="0" xfId="0" applyFont="1" applyFill="1" applyBorder="1"/>
    <xf numFmtId="0" fontId="4" fillId="8" borderId="11" xfId="0" applyFont="1" applyFill="1" applyBorder="1"/>
    <xf numFmtId="0" fontId="5" fillId="8" borderId="9" xfId="0" applyFont="1" applyFill="1" applyBorder="1" applyAlignment="1">
      <alignment horizontal="center"/>
    </xf>
    <xf numFmtId="0" fontId="5" fillId="8" borderId="31" xfId="0" applyFont="1" applyFill="1" applyBorder="1" applyAlignment="1">
      <alignment horizontal="center"/>
    </xf>
    <xf numFmtId="0" fontId="5" fillId="8" borderId="24" xfId="0" applyFont="1" applyFill="1" applyBorder="1" applyAlignment="1">
      <alignment horizontal="center"/>
    </xf>
    <xf numFmtId="0" fontId="5" fillId="8" borderId="23" xfId="0" applyFont="1" applyFill="1" applyBorder="1" applyAlignment="1">
      <alignment horizontal="center"/>
    </xf>
    <xf numFmtId="0" fontId="0" fillId="8" borderId="31" xfId="0" applyFill="1" applyBorder="1" applyAlignment="1">
      <alignment horizontal="center"/>
    </xf>
    <xf numFmtId="0" fontId="7" fillId="8" borderId="10" xfId="0" applyFont="1" applyFill="1" applyBorder="1" applyAlignment="1">
      <alignment horizontal="center" vertical="center"/>
    </xf>
    <xf numFmtId="0" fontId="0" fillId="0" borderId="27" xfId="0" applyBorder="1" applyAlignment="1">
      <alignment horizontal="center"/>
    </xf>
    <xf numFmtId="164" fontId="23" fillId="8" borderId="26" xfId="1" applyFont="1" applyFill="1" applyBorder="1"/>
    <xf numFmtId="174" fontId="5" fillId="12" borderId="0" xfId="1" applyNumberFormat="1" applyFont="1" applyFill="1" applyBorder="1" applyAlignment="1">
      <alignment horizontal="center" vertical="center"/>
    </xf>
    <xf numFmtId="164" fontId="5" fillId="8" borderId="0" xfId="0" applyNumberFormat="1" applyFont="1" applyFill="1" applyBorder="1"/>
    <xf numFmtId="164" fontId="7" fillId="8" borderId="0" xfId="0" applyNumberFormat="1" applyFont="1" applyFill="1" applyBorder="1"/>
    <xf numFmtId="164" fontId="1" fillId="12" borderId="0" xfId="1" applyFont="1" applyFill="1" applyBorder="1"/>
    <xf numFmtId="164" fontId="0" fillId="0" borderId="0" xfId="0" applyNumberFormat="1" applyAlignment="1">
      <alignment horizontal="center" vertical="center"/>
    </xf>
    <xf numFmtId="164" fontId="0" fillId="23" borderId="0" xfId="1" applyFont="1" applyFill="1" applyBorder="1"/>
    <xf numFmtId="1" fontId="29" fillId="0" borderId="0" xfId="0" applyNumberFormat="1" applyFont="1" applyAlignment="1">
      <alignment horizontal="center" vertical="center"/>
    </xf>
    <xf numFmtId="164" fontId="17" fillId="12" borderId="5" xfId="1" applyFont="1" applyFill="1" applyBorder="1" applyAlignment="1">
      <alignment horizontal="center" vertical="center"/>
    </xf>
    <xf numFmtId="174" fontId="0" fillId="8" borderId="0" xfId="0" applyNumberFormat="1" applyFill="1"/>
    <xf numFmtId="164" fontId="2" fillId="12" borderId="0" xfId="1" applyFont="1" applyFill="1" applyBorder="1"/>
    <xf numFmtId="164" fontId="0" fillId="12" borderId="0" xfId="1" applyFont="1" applyFill="1" applyBorder="1"/>
    <xf numFmtId="164" fontId="2" fillId="23" borderId="0" xfId="1" applyFont="1" applyFill="1"/>
    <xf numFmtId="164" fontId="7" fillId="12" borderId="0" xfId="0" applyNumberFormat="1" applyFont="1" applyFill="1" applyBorder="1"/>
    <xf numFmtId="170" fontId="24" fillId="12" borderId="8" xfId="0" applyNumberFormat="1" applyFont="1" applyFill="1" applyBorder="1" applyAlignment="1">
      <alignment horizontal="center" vertical="center"/>
    </xf>
    <xf numFmtId="164" fontId="7" fillId="8" borderId="0" xfId="1" applyFont="1" applyFill="1" applyBorder="1"/>
    <xf numFmtId="164" fontId="0" fillId="0" borderId="0" xfId="0" applyNumberFormat="1"/>
    <xf numFmtId="164" fontId="8" fillId="8" borderId="0" xfId="0" applyNumberFormat="1" applyFont="1" applyFill="1"/>
    <xf numFmtId="0" fontId="16" fillId="7" borderId="15" xfId="0" applyFont="1" applyFill="1" applyBorder="1" applyAlignment="1">
      <alignment horizontal="center"/>
    </xf>
    <xf numFmtId="0" fontId="16" fillId="7" borderId="1" xfId="0" applyFont="1" applyFill="1" applyBorder="1" applyAlignment="1">
      <alignment horizontal="center"/>
    </xf>
    <xf numFmtId="171" fontId="23" fillId="8" borderId="0" xfId="1" applyNumberFormat="1" applyFont="1" applyFill="1" applyBorder="1"/>
    <xf numFmtId="170" fontId="16" fillId="7" borderId="0" xfId="0" applyNumberFormat="1" applyFont="1" applyFill="1" applyBorder="1" applyAlignment="1">
      <alignment horizontal="center" vertical="center"/>
    </xf>
    <xf numFmtId="0" fontId="0" fillId="8" borderId="12" xfId="0" applyFill="1" applyBorder="1" applyAlignment="1"/>
    <xf numFmtId="164" fontId="7" fillId="4" borderId="0" xfId="1" applyFont="1" applyFill="1" applyBorder="1" applyAlignment="1">
      <alignment horizontal="center" vertical="center"/>
    </xf>
    <xf numFmtId="164" fontId="0" fillId="8" borderId="0" xfId="0" applyNumberFormat="1" applyFill="1"/>
    <xf numFmtId="9" fontId="4" fillId="110" borderId="0" xfId="2" applyNumberFormat="1" applyFont="1" applyFill="1" applyBorder="1"/>
    <xf numFmtId="0" fontId="4" fillId="110" borderId="9" xfId="0" applyFont="1" applyFill="1" applyBorder="1" applyAlignment="1">
      <alignment horizontal="left" indent="1"/>
    </xf>
    <xf numFmtId="0" fontId="0" fillId="8" borderId="0" xfId="0" applyFill="1" applyBorder="1" applyAlignment="1">
      <alignment horizontal="center"/>
    </xf>
    <xf numFmtId="0" fontId="0" fillId="8" borderId="10" xfId="0" applyFill="1" applyBorder="1" applyAlignment="1">
      <alignment horizontal="center"/>
    </xf>
    <xf numFmtId="0" fontId="0" fillId="8" borderId="12" xfId="0" applyFill="1" applyBorder="1" applyAlignment="1">
      <alignment horizontal="center"/>
    </xf>
    <xf numFmtId="0" fontId="16" fillId="7" borderId="15" xfId="0" applyFon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16" fillId="7" borderId="1" xfId="0" applyFont="1" applyFill="1" applyBorder="1" applyAlignment="1">
      <alignment horizontal="center"/>
    </xf>
    <xf numFmtId="174" fontId="5" fillId="8" borderId="0" xfId="1" applyNumberFormat="1" applyFont="1" applyFill="1" applyBorder="1" applyAlignment="1">
      <alignment horizontal="center" vertical="center"/>
    </xf>
    <xf numFmtId="0" fontId="0" fillId="8" borderId="8" xfId="0" applyFill="1" applyBorder="1" applyAlignment="1">
      <alignment horizontal="right"/>
    </xf>
    <xf numFmtId="0" fontId="0" fillId="8" borderId="10" xfId="0" applyFill="1" applyBorder="1" applyAlignment="1">
      <alignment horizontal="right"/>
    </xf>
    <xf numFmtId="0" fontId="0" fillId="8" borderId="13" xfId="0" applyFill="1" applyBorder="1" applyAlignment="1">
      <alignment horizontal="right"/>
    </xf>
    <xf numFmtId="171" fontId="0" fillId="8" borderId="6" xfId="1" applyNumberFormat="1" applyFont="1" applyFill="1" applyBorder="1"/>
    <xf numFmtId="171" fontId="23" fillId="8" borderId="9" xfId="1" applyNumberFormat="1" applyFont="1" applyFill="1" applyBorder="1"/>
    <xf numFmtId="173" fontId="0" fillId="8" borderId="9" xfId="1" applyNumberFormat="1" applyFont="1" applyFill="1" applyBorder="1"/>
    <xf numFmtId="0" fontId="17" fillId="8" borderId="0" xfId="0" applyFont="1" applyFill="1"/>
    <xf numFmtId="0" fontId="5" fillId="8" borderId="7" xfId="0" applyFont="1" applyFill="1" applyBorder="1" applyAlignment="1">
      <alignment horizontal="center"/>
    </xf>
    <xf numFmtId="170" fontId="16" fillId="7" borderId="12" xfId="0" applyNumberFormat="1" applyFont="1" applyFill="1" applyBorder="1" applyAlignment="1">
      <alignment horizontal="center" vertical="center"/>
    </xf>
    <xf numFmtId="0" fontId="13" fillId="8" borderId="0" xfId="0" applyFont="1" applyFill="1" applyBorder="1"/>
    <xf numFmtId="171" fontId="17" fillId="8" borderId="0" xfId="1" applyNumberFormat="1" applyFont="1" applyFill="1" applyBorder="1"/>
    <xf numFmtId="0" fontId="4" fillId="3" borderId="6" xfId="0" applyFont="1" applyFill="1" applyBorder="1" applyAlignment="1"/>
    <xf numFmtId="0" fontId="0" fillId="3" borderId="7" xfId="0" applyFill="1" applyBorder="1" applyAlignment="1">
      <alignment horizontal="center"/>
    </xf>
    <xf numFmtId="0" fontId="0" fillId="3" borderId="7" xfId="0" applyFill="1" applyBorder="1"/>
    <xf numFmtId="0" fontId="0" fillId="3" borderId="8" xfId="0" applyFill="1" applyBorder="1"/>
    <xf numFmtId="0" fontId="0" fillId="3" borderId="10" xfId="0" applyFill="1" applyBorder="1"/>
    <xf numFmtId="0" fontId="0" fillId="3" borderId="13" xfId="0" applyFill="1" applyBorder="1"/>
    <xf numFmtId="164" fontId="0" fillId="8" borderId="9" xfId="0" applyNumberFormat="1" applyFill="1" applyBorder="1"/>
    <xf numFmtId="164" fontId="0" fillId="8" borderId="11" xfId="0" applyNumberFormat="1" applyFill="1" applyBorder="1"/>
    <xf numFmtId="174" fontId="0" fillId="8" borderId="0" xfId="0" applyNumberFormat="1" applyFill="1" applyBorder="1"/>
    <xf numFmtId="0" fontId="0" fillId="8" borderId="8" xfId="0" applyFill="1" applyBorder="1" applyAlignment="1">
      <alignment horizontal="center" vertical="center"/>
    </xf>
    <xf numFmtId="0" fontId="0" fillId="8" borderId="10" xfId="0" applyFill="1" applyBorder="1" applyAlignment="1">
      <alignment horizontal="center" vertical="center"/>
    </xf>
    <xf numFmtId="0" fontId="0" fillId="8" borderId="0" xfId="0" applyFill="1" applyBorder="1" applyAlignment="1">
      <alignment horizontal="center" vertical="center"/>
    </xf>
    <xf numFmtId="0" fontId="0" fillId="8" borderId="13" xfId="0" applyFill="1" applyBorder="1" applyAlignment="1">
      <alignment horizontal="center" vertical="center"/>
    </xf>
    <xf numFmtId="0" fontId="5" fillId="8" borderId="7" xfId="0" applyFont="1" applyFill="1" applyBorder="1" applyAlignment="1">
      <alignment horizontal="center" vertical="center"/>
    </xf>
    <xf numFmtId="0" fontId="5" fillId="8" borderId="12" xfId="0" applyFont="1" applyFill="1" applyBorder="1" applyAlignment="1">
      <alignment horizontal="center" vertical="center"/>
    </xf>
    <xf numFmtId="0" fontId="5" fillId="8" borderId="11" xfId="0" applyFont="1" applyFill="1" applyBorder="1" applyAlignment="1">
      <alignment horizontal="center" vertical="center"/>
    </xf>
    <xf numFmtId="0" fontId="5" fillId="8" borderId="8" xfId="0" applyFont="1" applyFill="1" applyBorder="1" applyAlignment="1">
      <alignment horizontal="center" vertical="center"/>
    </xf>
    <xf numFmtId="9" fontId="4" fillId="24" borderId="11" xfId="2" applyNumberFormat="1" applyFont="1" applyFill="1" applyBorder="1"/>
    <xf numFmtId="9" fontId="4" fillId="24" borderId="12" xfId="2" applyNumberFormat="1" applyFont="1" applyFill="1" applyBorder="1"/>
    <xf numFmtId="164" fontId="0" fillId="109" borderId="0" xfId="1" applyFont="1" applyFill="1" applyBorder="1"/>
    <xf numFmtId="164" fontId="4" fillId="8" borderId="7" xfId="1" applyFont="1" applyFill="1" applyBorder="1"/>
    <xf numFmtId="174" fontId="4" fillId="8" borderId="14" xfId="1" applyNumberFormat="1" applyFont="1" applyFill="1" applyBorder="1"/>
    <xf numFmtId="174" fontId="4" fillId="8" borderId="15" xfId="1" applyNumberFormat="1" applyFont="1" applyFill="1" applyBorder="1"/>
    <xf numFmtId="164" fontId="0" fillId="0" borderId="0" xfId="1" applyFont="1" applyBorder="1"/>
    <xf numFmtId="164" fontId="0" fillId="109" borderId="2" xfId="1" applyFont="1" applyFill="1" applyBorder="1"/>
    <xf numFmtId="0" fontId="159" fillId="8" borderId="0" xfId="0" applyFont="1" applyFill="1" applyBorder="1" applyAlignment="1">
      <alignment horizontal="center" vertical="center"/>
    </xf>
    <xf numFmtId="0" fontId="158" fillId="8" borderId="10" xfId="0" applyFont="1" applyFill="1" applyBorder="1" applyAlignment="1">
      <alignment horizontal="center" vertical="center"/>
    </xf>
    <xf numFmtId="164" fontId="158" fillId="18" borderId="0" xfId="0" applyNumberFormat="1" applyFont="1" applyFill="1" applyBorder="1"/>
    <xf numFmtId="164" fontId="1" fillId="8" borderId="0" xfId="1" applyFont="1" applyFill="1"/>
    <xf numFmtId="164" fontId="7" fillId="21" borderId="0" xfId="0" applyNumberFormat="1" applyFont="1" applyFill="1" applyBorder="1"/>
    <xf numFmtId="164" fontId="0" fillId="0" borderId="0" xfId="1" applyFont="1" applyFill="1" applyBorder="1"/>
    <xf numFmtId="164" fontId="0" fillId="0" borderId="0" xfId="0" applyNumberFormat="1"/>
    <xf numFmtId="0" fontId="4" fillId="13" borderId="2" xfId="0" applyFont="1" applyFill="1" applyBorder="1" applyAlignment="1">
      <alignment horizontal="center" vertical="center"/>
    </xf>
    <xf numFmtId="0" fontId="4" fillId="13" borderId="3" xfId="0" applyFont="1" applyFill="1" applyBorder="1" applyAlignment="1">
      <alignment horizontal="center" vertical="center"/>
    </xf>
    <xf numFmtId="164" fontId="8" fillId="8" borderId="0" xfId="0" applyNumberFormat="1" applyFont="1" applyFill="1" applyBorder="1"/>
    <xf numFmtId="164" fontId="17" fillId="12" borderId="1" xfId="1" applyFont="1" applyFill="1" applyBorder="1" applyAlignment="1">
      <alignment horizontal="center" vertical="center"/>
    </xf>
    <xf numFmtId="164" fontId="0" fillId="0" borderId="0" xfId="0" applyNumberFormat="1"/>
    <xf numFmtId="164" fontId="0" fillId="0" borderId="0" xfId="0" applyNumberFormat="1"/>
    <xf numFmtId="0" fontId="17" fillId="111" borderId="2" xfId="0" applyFont="1" applyFill="1" applyBorder="1" applyAlignment="1">
      <alignment horizontal="center" vertical="center"/>
    </xf>
    <xf numFmtId="164" fontId="17" fillId="111" borderId="1" xfId="1" applyFont="1" applyFill="1" applyBorder="1" applyAlignment="1">
      <alignment horizontal="center" vertical="center"/>
    </xf>
    <xf numFmtId="164" fontId="22" fillId="5" borderId="0" xfId="1" applyFont="1" applyFill="1" applyBorder="1"/>
    <xf numFmtId="164" fontId="22" fillId="8" borderId="0" xfId="1" applyFont="1" applyFill="1" applyBorder="1"/>
    <xf numFmtId="164" fontId="18" fillId="11" borderId="12" xfId="1" applyNumberFormat="1" applyFont="1" applyFill="1" applyBorder="1"/>
    <xf numFmtId="164" fontId="0" fillId="0" borderId="0" xfId="0" applyNumberFormat="1" applyAlignment="1">
      <alignment horizontal="center" vertical="center"/>
    </xf>
    <xf numFmtId="164" fontId="23" fillId="0" borderId="0" xfId="1" applyFont="1" applyFill="1" applyBorder="1"/>
    <xf numFmtId="164" fontId="22" fillId="5" borderId="9" xfId="1" applyFont="1" applyFill="1" applyBorder="1"/>
    <xf numFmtId="164" fontId="22" fillId="8" borderId="9" xfId="1" applyFont="1" applyFill="1" applyBorder="1"/>
    <xf numFmtId="164" fontId="22" fillId="8" borderId="11" xfId="1" applyFont="1" applyFill="1" applyBorder="1"/>
    <xf numFmtId="0" fontId="16" fillId="8" borderId="0" xfId="0" applyFont="1" applyFill="1"/>
    <xf numFmtId="174" fontId="4" fillId="8" borderId="0" xfId="1" applyNumberFormat="1" applyFont="1" applyFill="1"/>
    <xf numFmtId="164" fontId="0" fillId="8" borderId="24" xfId="1" applyFont="1" applyFill="1" applyBorder="1"/>
    <xf numFmtId="164" fontId="0" fillId="8" borderId="31" xfId="1" applyFont="1" applyFill="1" applyBorder="1"/>
    <xf numFmtId="164" fontId="23" fillId="8" borderId="9" xfId="1" applyFont="1" applyFill="1" applyBorder="1"/>
    <xf numFmtId="164" fontId="23" fillId="8" borderId="24" xfId="1" applyFont="1" applyFill="1" applyBorder="1"/>
    <xf numFmtId="164" fontId="0" fillId="8" borderId="23" xfId="1" applyFont="1" applyFill="1" applyBorder="1"/>
    <xf numFmtId="164" fontId="2" fillId="8" borderId="23" xfId="1" applyFont="1" applyFill="1" applyBorder="1"/>
    <xf numFmtId="164" fontId="22" fillId="8" borderId="31" xfId="1" applyFont="1" applyFill="1" applyBorder="1"/>
    <xf numFmtId="174" fontId="18" fillId="11" borderId="12" xfId="1" applyNumberFormat="1" applyFont="1" applyFill="1" applyBorder="1"/>
    <xf numFmtId="0" fontId="11" fillId="8" borderId="0" xfId="0" applyFont="1" applyFill="1" applyBorder="1" applyAlignment="1">
      <alignment horizontal="center" vertical="center"/>
    </xf>
    <xf numFmtId="164" fontId="0" fillId="109" borderId="8" xfId="1" applyFont="1" applyFill="1" applyBorder="1"/>
    <xf numFmtId="0" fontId="4" fillId="8" borderId="6" xfId="0" applyFont="1" applyFill="1" applyBorder="1" applyAlignment="1">
      <alignment horizontal="center" vertical="center"/>
    </xf>
    <xf numFmtId="0" fontId="5" fillId="8" borderId="9" xfId="0" applyFont="1" applyFill="1" applyBorder="1" applyAlignment="1">
      <alignment horizontal="center" vertical="center"/>
    </xf>
    <xf numFmtId="0" fontId="158" fillId="8" borderId="9" xfId="0" applyFont="1" applyFill="1" applyBorder="1" applyAlignment="1">
      <alignment horizontal="center" vertical="center"/>
    </xf>
    <xf numFmtId="0" fontId="11" fillId="8" borderId="26" xfId="0" applyFont="1" applyFill="1" applyBorder="1" applyAlignment="1">
      <alignment horizontal="center" vertical="center"/>
    </xf>
    <xf numFmtId="164" fontId="0" fillId="0" borderId="0" xfId="0" applyNumberFormat="1"/>
    <xf numFmtId="164" fontId="161" fillId="8" borderId="0" xfId="1" applyFont="1" applyFill="1" applyBorder="1"/>
    <xf numFmtId="175" fontId="5" fillId="24" borderId="0" xfId="1" applyNumberFormat="1" applyFont="1" applyFill="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164" fontId="4" fillId="0" borderId="9" xfId="0" applyNumberFormat="1" applyFont="1" applyBorder="1" applyAlignment="1">
      <alignment horizontal="center" vertical="center"/>
    </xf>
    <xf numFmtId="164" fontId="4" fillId="0" borderId="10" xfId="0" applyNumberFormat="1" applyFont="1" applyBorder="1" applyAlignment="1">
      <alignment horizontal="center" vertical="center"/>
    </xf>
    <xf numFmtId="164" fontId="4" fillId="0" borderId="11" xfId="0" applyNumberFormat="1" applyFont="1" applyBorder="1" applyAlignment="1">
      <alignment horizontal="center" vertical="center"/>
    </xf>
    <xf numFmtId="164" fontId="4" fillId="0" borderId="13" xfId="0" applyNumberFormat="1" applyFont="1" applyBorder="1" applyAlignment="1">
      <alignment horizontal="center" vertical="center"/>
    </xf>
    <xf numFmtId="164" fontId="26" fillId="112" borderId="3" xfId="1" applyFont="1" applyFill="1" applyBorder="1" applyAlignment="1">
      <alignment horizontal="center" vertical="center"/>
    </xf>
    <xf numFmtId="164" fontId="0" fillId="0" borderId="0" xfId="0" applyNumberFormat="1" applyAlignment="1">
      <alignment horizontal="center" vertical="center"/>
    </xf>
    <xf numFmtId="164" fontId="23" fillId="5" borderId="9" xfId="1" applyFont="1" applyFill="1" applyBorder="1"/>
    <xf numFmtId="164" fontId="22" fillId="12" borderId="0" xfId="1" applyFont="1" applyFill="1" applyBorder="1"/>
    <xf numFmtId="164" fontId="4" fillId="0" borderId="0" xfId="0" applyNumberFormat="1" applyFont="1" applyAlignment="1">
      <alignment horizontal="center" vertical="center"/>
    </xf>
    <xf numFmtId="164" fontId="4" fillId="0" borderId="0" xfId="0" applyNumberFormat="1" applyFont="1" applyFill="1" applyAlignment="1">
      <alignment horizontal="center" vertical="center"/>
    </xf>
    <xf numFmtId="175" fontId="162" fillId="24" borderId="0" xfId="1" applyNumberFormat="1" applyFont="1" applyFill="1" applyBorder="1" applyAlignment="1">
      <alignment horizontal="center" vertical="center"/>
    </xf>
    <xf numFmtId="164" fontId="23" fillId="5" borderId="0" xfId="1" applyFont="1" applyFill="1" applyBorder="1"/>
    <xf numFmtId="164" fontId="6" fillId="5" borderId="7" xfId="0" applyNumberFormat="1" applyFont="1" applyFill="1" applyBorder="1"/>
    <xf numFmtId="164" fontId="0" fillId="0" borderId="0" xfId="0" applyNumberFormat="1"/>
    <xf numFmtId="164" fontId="8" fillId="21" borderId="0" xfId="0" applyNumberFormat="1" applyFont="1" applyFill="1" applyBorder="1"/>
    <xf numFmtId="164" fontId="0" fillId="0" borderId="0" xfId="0" applyNumberFormat="1" applyAlignment="1">
      <alignment horizontal="center" vertical="center"/>
    </xf>
    <xf numFmtId="164" fontId="2" fillId="8" borderId="9" xfId="1" applyFont="1" applyFill="1" applyBorder="1"/>
    <xf numFmtId="0" fontId="0" fillId="12" borderId="0" xfId="0" applyFill="1" applyAlignment="1">
      <alignment horizontal="right" vertical="center"/>
    </xf>
    <xf numFmtId="164" fontId="0" fillId="12" borderId="0" xfId="1" applyFont="1" applyFill="1" applyAlignment="1">
      <alignment horizontal="center" vertical="center"/>
    </xf>
    <xf numFmtId="164" fontId="8" fillId="12" borderId="0" xfId="0" applyNumberFormat="1" applyFont="1" applyFill="1" applyBorder="1"/>
    <xf numFmtId="164" fontId="30" fillId="8" borderId="16" xfId="1" applyFont="1" applyFill="1" applyBorder="1"/>
    <xf numFmtId="174" fontId="24" fillId="8" borderId="0" xfId="1" applyNumberFormat="1" applyFont="1" applyFill="1" applyBorder="1"/>
    <xf numFmtId="0" fontId="163" fillId="8" borderId="0" xfId="0" applyFont="1" applyFill="1" applyBorder="1" applyAlignment="1">
      <alignment horizontal="center"/>
    </xf>
    <xf numFmtId="0" fontId="164" fillId="0" borderId="0" xfId="0" applyFont="1" applyBorder="1"/>
    <xf numFmtId="0" fontId="165" fillId="0" borderId="0" xfId="0" applyFont="1" applyBorder="1" applyAlignment="1">
      <alignment vertical="center"/>
    </xf>
    <xf numFmtId="0" fontId="166" fillId="113" borderId="0" xfId="0" applyFont="1" applyFill="1" applyBorder="1" applyAlignment="1">
      <alignment horizontal="center" vertical="center"/>
    </xf>
    <xf numFmtId="170" fontId="166" fillId="3" borderId="0" xfId="0" applyNumberFormat="1" applyFont="1" applyFill="1" applyBorder="1" applyAlignment="1">
      <alignment horizontal="center" vertical="center"/>
    </xf>
    <xf numFmtId="170" fontId="166" fillId="12" borderId="0" xfId="0" applyNumberFormat="1" applyFont="1" applyFill="1" applyBorder="1" applyAlignment="1">
      <alignment horizontal="center" vertical="center"/>
    </xf>
    <xf numFmtId="170" fontId="166" fillId="113" borderId="0" xfId="0" applyNumberFormat="1" applyFont="1" applyFill="1" applyBorder="1" applyAlignment="1">
      <alignment horizontal="center" vertical="center"/>
    </xf>
    <xf numFmtId="0" fontId="167" fillId="0" borderId="0" xfId="0" applyFont="1" applyBorder="1"/>
    <xf numFmtId="0" fontId="0" fillId="0" borderId="0" xfId="0" applyBorder="1" applyAlignment="1">
      <alignment horizontal="center"/>
    </xf>
    <xf numFmtId="164" fontId="168" fillId="2" borderId="0" xfId="1" applyFont="1" applyFill="1" applyBorder="1"/>
    <xf numFmtId="164" fontId="23" fillId="0" borderId="0" xfId="1" applyFont="1" applyBorder="1"/>
    <xf numFmtId="173" fontId="0" fillId="0" borderId="0" xfId="1" applyNumberFormat="1" applyFont="1" applyBorder="1"/>
    <xf numFmtId="164" fontId="2" fillId="0" borderId="0" xfId="1" applyFont="1" applyBorder="1"/>
    <xf numFmtId="0" fontId="0" fillId="0" borderId="0" xfId="0" applyFont="1" applyBorder="1" applyAlignment="1">
      <alignment horizontal="center"/>
    </xf>
    <xf numFmtId="0" fontId="164" fillId="0" borderId="0" xfId="0" applyFont="1"/>
    <xf numFmtId="164" fontId="22" fillId="2" borderId="0" xfId="1" applyFont="1" applyFill="1" applyBorder="1"/>
    <xf numFmtId="164" fontId="168" fillId="0" borderId="0" xfId="1" applyFont="1" applyFill="1" applyBorder="1"/>
    <xf numFmtId="170" fontId="166" fillId="0" borderId="0" xfId="0" applyNumberFormat="1" applyFont="1" applyFill="1" applyBorder="1" applyAlignment="1">
      <alignment horizontal="center" vertical="center"/>
    </xf>
    <xf numFmtId="0" fontId="169" fillId="0" borderId="0" xfId="0" applyFont="1" applyBorder="1"/>
    <xf numFmtId="164" fontId="171" fillId="0" borderId="0" xfId="1" applyFont="1" applyBorder="1" applyAlignment="1">
      <alignment vertical="center"/>
    </xf>
    <xf numFmtId="164" fontId="0" fillId="0" borderId="0" xfId="1" applyFont="1" applyFill="1"/>
    <xf numFmtId="0" fontId="165" fillId="0" borderId="0" xfId="0" applyFont="1" applyFill="1" applyBorder="1" applyAlignment="1">
      <alignment vertical="center"/>
    </xf>
    <xf numFmtId="173" fontId="0" fillId="0" borderId="0" xfId="1" applyNumberFormat="1" applyFont="1" applyFill="1" applyBorder="1"/>
    <xf numFmtId="164" fontId="2" fillId="0" borderId="0" xfId="1" applyFont="1" applyFill="1" applyBorder="1"/>
    <xf numFmtId="0" fontId="16" fillId="7" borderId="14" xfId="0" applyFont="1" applyFill="1" applyBorder="1" applyAlignment="1">
      <alignment horizontal="center"/>
    </xf>
    <xf numFmtId="0" fontId="16" fillId="7" borderId="15" xfId="0" applyFont="1" applyFill="1" applyBorder="1" applyAlignment="1">
      <alignment horizontal="center"/>
    </xf>
    <xf numFmtId="164" fontId="0" fillId="8" borderId="55" xfId="1" applyFont="1" applyFill="1" applyBorder="1"/>
    <xf numFmtId="164" fontId="23" fillId="8" borderId="17" xfId="1" applyFont="1" applyFill="1" applyBorder="1"/>
    <xf numFmtId="164" fontId="23" fillId="8" borderId="56" xfId="1" applyFont="1" applyFill="1" applyBorder="1"/>
    <xf numFmtId="164" fontId="0" fillId="8" borderId="57" xfId="1" applyFont="1" applyFill="1" applyBorder="1"/>
    <xf numFmtId="164" fontId="0" fillId="8" borderId="58" xfId="1" applyFont="1" applyFill="1" applyBorder="1"/>
    <xf numFmtId="164" fontId="4" fillId="0" borderId="0" xfId="0" applyNumberFormat="1" applyFont="1" applyFill="1" applyBorder="1"/>
    <xf numFmtId="0" fontId="8" fillId="8" borderId="0" xfId="0" applyFont="1" applyFill="1" applyBorder="1" applyAlignment="1">
      <alignment horizontal="center"/>
    </xf>
    <xf numFmtId="3" fontId="0" fillId="0" borderId="0" xfId="0" applyNumberFormat="1" applyAlignment="1">
      <alignment horizontal="center" vertical="center"/>
    </xf>
    <xf numFmtId="174" fontId="174" fillId="0" borderId="0" xfId="1" applyNumberFormat="1" applyFont="1" applyAlignment="1">
      <alignment horizontal="center" vertical="center"/>
    </xf>
    <xf numFmtId="164" fontId="0" fillId="0" borderId="0" xfId="0" applyNumberFormat="1"/>
    <xf numFmtId="164" fontId="2" fillId="12" borderId="11" xfId="1" applyFont="1" applyFill="1" applyBorder="1"/>
    <xf numFmtId="0" fontId="175" fillId="0" borderId="0" xfId="0" applyFont="1" applyBorder="1"/>
    <xf numFmtId="175" fontId="7" fillId="24" borderId="0" xfId="1" applyNumberFormat="1" applyFont="1" applyFill="1" applyBorder="1" applyAlignment="1">
      <alignment horizontal="center" vertical="center"/>
    </xf>
    <xf numFmtId="175" fontId="7" fillId="4" borderId="0" xfId="1" applyNumberFormat="1" applyFont="1" applyFill="1" applyBorder="1" applyAlignment="1">
      <alignment horizontal="center" vertical="center"/>
    </xf>
    <xf numFmtId="174" fontId="5" fillId="8" borderId="0" xfId="0" applyNumberFormat="1" applyFont="1" applyFill="1" applyBorder="1"/>
    <xf numFmtId="0" fontId="0" fillId="8" borderId="13" xfId="0" applyFill="1" applyBorder="1" applyAlignment="1">
      <alignment horizontal="center"/>
    </xf>
    <xf numFmtId="0" fontId="0" fillId="8" borderId="8" xfId="0" applyFill="1" applyBorder="1" applyAlignment="1">
      <alignment horizontal="center"/>
    </xf>
    <xf numFmtId="0" fontId="0" fillId="8" borderId="10" xfId="0" applyFill="1" applyBorder="1" applyAlignment="1">
      <alignment horizontal="center"/>
    </xf>
    <xf numFmtId="3" fontId="10" fillId="8" borderId="0" xfId="0" applyNumberFormat="1" applyFont="1" applyFill="1"/>
    <xf numFmtId="164" fontId="7" fillId="5" borderId="7" xfId="0" applyNumberFormat="1" applyFont="1" applyFill="1" applyBorder="1"/>
    <xf numFmtId="164" fontId="7" fillId="5" borderId="6" xfId="0" applyNumberFormat="1" applyFont="1" applyFill="1" applyBorder="1"/>
    <xf numFmtId="0" fontId="5" fillId="6" borderId="19" xfId="0" applyFont="1" applyFill="1" applyBorder="1" applyAlignment="1">
      <alignment horizontal="center" vertical="center"/>
    </xf>
    <xf numFmtId="0" fontId="6" fillId="8" borderId="7" xfId="0" applyFont="1" applyFill="1" applyBorder="1" applyAlignment="1">
      <alignment horizontal="center" vertical="center"/>
    </xf>
    <xf numFmtId="0" fontId="0" fillId="8" borderId="11" xfId="0" applyFill="1" applyBorder="1" applyAlignment="1">
      <alignment horizontal="center"/>
    </xf>
    <xf numFmtId="0" fontId="11" fillId="8" borderId="12" xfId="0" applyFont="1" applyFill="1" applyBorder="1" applyAlignment="1">
      <alignment horizontal="center" vertical="center"/>
    </xf>
    <xf numFmtId="164" fontId="23" fillId="8" borderId="6" xfId="1" applyFont="1" applyFill="1" applyBorder="1"/>
    <xf numFmtId="164" fontId="23" fillId="8" borderId="7" xfId="1" applyFont="1" applyFill="1" applyBorder="1"/>
    <xf numFmtId="164" fontId="23" fillId="8" borderId="11" xfId="1" applyFont="1" applyFill="1" applyBorder="1"/>
    <xf numFmtId="164" fontId="23" fillId="8" borderId="12" xfId="1" applyFont="1" applyFill="1" applyBorder="1"/>
    <xf numFmtId="164" fontId="6" fillId="8" borderId="0" xfId="1" applyFont="1" applyFill="1" applyBorder="1"/>
    <xf numFmtId="175" fontId="8" fillId="24" borderId="0" xfId="1" applyNumberFormat="1" applyFont="1" applyFill="1" applyBorder="1" applyAlignment="1">
      <alignment horizontal="center" vertical="center"/>
    </xf>
    <xf numFmtId="0" fontId="5" fillId="18" borderId="0" xfId="0" applyFont="1" applyFill="1" applyBorder="1" applyAlignment="1">
      <alignment horizontal="center"/>
    </xf>
    <xf numFmtId="164" fontId="5" fillId="0" borderId="0" xfId="0" applyNumberFormat="1" applyFont="1" applyFill="1" applyBorder="1"/>
    <xf numFmtId="0" fontId="161" fillId="8" borderId="0" xfId="0" applyFont="1" applyFill="1" applyAlignment="1">
      <alignment horizontal="center"/>
    </xf>
    <xf numFmtId="0" fontId="158" fillId="8" borderId="0" xfId="0" applyFont="1" applyFill="1" applyBorder="1" applyAlignment="1">
      <alignment horizontal="center"/>
    </xf>
    <xf numFmtId="0" fontId="5" fillId="26" borderId="0" xfId="0" applyFont="1" applyFill="1" applyBorder="1" applyAlignment="1">
      <alignment horizontal="center"/>
    </xf>
    <xf numFmtId="164" fontId="8" fillId="26" borderId="0" xfId="0" applyNumberFormat="1" applyFont="1" applyFill="1" applyBorder="1"/>
    <xf numFmtId="164" fontId="0" fillId="0" borderId="0" xfId="0" applyNumberFormat="1" applyAlignment="1">
      <alignment horizontal="center" vertical="center"/>
    </xf>
    <xf numFmtId="164" fontId="22" fillId="23" borderId="0" xfId="1" applyFont="1" applyFill="1" applyBorder="1"/>
    <xf numFmtId="164" fontId="2" fillId="12" borderId="9" xfId="1" applyFont="1" applyFill="1" applyBorder="1"/>
    <xf numFmtId="164" fontId="6" fillId="8" borderId="9" xfId="1" applyFont="1" applyFill="1" applyBorder="1"/>
    <xf numFmtId="164" fontId="0" fillId="8" borderId="6" xfId="1" applyFont="1" applyFill="1" applyBorder="1"/>
    <xf numFmtId="164" fontId="6" fillId="5" borderId="6" xfId="0" applyNumberFormat="1" applyFont="1" applyFill="1" applyBorder="1"/>
    <xf numFmtId="164" fontId="23" fillId="8" borderId="23" xfId="1" applyFont="1" applyFill="1" applyBorder="1"/>
    <xf numFmtId="0" fontId="3" fillId="2" borderId="8" xfId="0" applyNumberFormat="1" applyFont="1" applyFill="1" applyBorder="1" applyAlignment="1">
      <alignment horizontal="center" vertical="center"/>
    </xf>
    <xf numFmtId="0" fontId="2" fillId="8" borderId="0" xfId="0" applyFont="1" applyFill="1"/>
    <xf numFmtId="0" fontId="2" fillId="8" borderId="0" xfId="0" applyFont="1" applyFill="1" applyAlignment="1">
      <alignment horizontal="right"/>
    </xf>
    <xf numFmtId="0" fontId="176" fillId="0" borderId="0" xfId="0" applyFont="1" applyBorder="1" applyAlignment="1">
      <alignment vertical="center"/>
    </xf>
    <xf numFmtId="0" fontId="177" fillId="8" borderId="0" xfId="0" applyFont="1" applyFill="1" applyBorder="1"/>
    <xf numFmtId="0" fontId="0" fillId="8" borderId="0" xfId="0" applyFill="1" applyBorder="1" applyAlignment="1">
      <alignment horizontal="center"/>
    </xf>
    <xf numFmtId="0" fontId="0" fillId="8" borderId="10" xfId="0" applyFill="1" applyBorder="1" applyAlignment="1">
      <alignment horizontal="center"/>
    </xf>
    <xf numFmtId="164" fontId="2" fillId="5" borderId="7" xfId="0" applyNumberFormat="1" applyFont="1" applyFill="1" applyBorder="1"/>
    <xf numFmtId="0" fontId="5" fillId="8" borderId="9" xfId="0" applyFont="1" applyFill="1" applyBorder="1" applyAlignment="1"/>
    <xf numFmtId="9" fontId="4" fillId="114" borderId="12" xfId="2" applyNumberFormat="1" applyFont="1" applyFill="1" applyBorder="1"/>
    <xf numFmtId="174" fontId="158" fillId="4" borderId="0" xfId="1" applyNumberFormat="1" applyFont="1" applyFill="1" applyBorder="1" applyAlignment="1">
      <alignment horizontal="center" vertical="center"/>
    </xf>
    <xf numFmtId="174" fontId="10" fillId="8" borderId="0" xfId="0" applyNumberFormat="1" applyFont="1" applyFill="1"/>
    <xf numFmtId="174" fontId="6" fillId="4" borderId="0" xfId="1" applyNumberFormat="1" applyFont="1" applyFill="1" applyBorder="1" applyAlignment="1">
      <alignment horizontal="center" vertical="center"/>
    </xf>
    <xf numFmtId="0" fontId="178" fillId="24" borderId="0" xfId="0" applyFont="1" applyFill="1" applyAlignment="1">
      <alignment horizontal="left" indent="1"/>
    </xf>
    <xf numFmtId="0" fontId="0" fillId="24" borderId="0" xfId="0" applyFill="1" applyAlignment="1">
      <alignment horizontal="center"/>
    </xf>
    <xf numFmtId="0" fontId="0" fillId="24" borderId="0" xfId="0" applyFill="1"/>
    <xf numFmtId="164" fontId="0" fillId="24" borderId="0" xfId="1" applyFont="1" applyFill="1"/>
    <xf numFmtId="0" fontId="16" fillId="24" borderId="15" xfId="0" applyFont="1" applyFill="1" applyBorder="1" applyAlignment="1">
      <alignment horizontal="center"/>
    </xf>
    <xf numFmtId="0" fontId="16" fillId="24" borderId="1" xfId="0" applyFont="1" applyFill="1" applyBorder="1" applyAlignment="1">
      <alignment horizontal="center"/>
    </xf>
    <xf numFmtId="0" fontId="4" fillId="24" borderId="6" xfId="0" applyFont="1" applyFill="1" applyBorder="1"/>
    <xf numFmtId="0" fontId="0" fillId="24" borderId="7" xfId="0" applyFill="1" applyBorder="1" applyAlignment="1">
      <alignment horizontal="center"/>
    </xf>
    <xf numFmtId="0" fontId="0" fillId="24" borderId="7" xfId="0" applyFill="1" applyBorder="1"/>
    <xf numFmtId="0" fontId="0" fillId="24" borderId="8" xfId="0" applyFill="1" applyBorder="1" applyAlignment="1">
      <alignment horizontal="right"/>
    </xf>
    <xf numFmtId="0" fontId="4" fillId="24" borderId="9" xfId="0" applyFont="1" applyFill="1" applyBorder="1" applyAlignment="1">
      <alignment horizontal="left" indent="1"/>
    </xf>
    <xf numFmtId="0" fontId="0" fillId="24" borderId="0" xfId="0" applyFill="1" applyBorder="1" applyAlignment="1">
      <alignment horizontal="center"/>
    </xf>
    <xf numFmtId="0" fontId="0" fillId="24" borderId="0" xfId="0" applyFill="1" applyBorder="1"/>
    <xf numFmtId="0" fontId="0" fillId="24" borderId="10" xfId="0" applyFill="1" applyBorder="1" applyAlignment="1">
      <alignment horizontal="right"/>
    </xf>
    <xf numFmtId="0" fontId="4" fillId="24" borderId="11" xfId="0" applyFont="1" applyFill="1" applyBorder="1" applyAlignment="1">
      <alignment horizontal="left" indent="1"/>
    </xf>
    <xf numFmtId="0" fontId="0" fillId="24" borderId="12" xfId="0" applyFill="1" applyBorder="1" applyAlignment="1">
      <alignment horizontal="center"/>
    </xf>
    <xf numFmtId="0" fontId="0" fillId="24" borderId="12" xfId="0" applyFill="1" applyBorder="1"/>
    <xf numFmtId="0" fontId="0" fillId="24" borderId="13" xfId="0" applyFill="1" applyBorder="1" applyAlignment="1">
      <alignment horizontal="right"/>
    </xf>
    <xf numFmtId="174" fontId="7" fillId="0" borderId="0" xfId="1" applyNumberFormat="1" applyFont="1" applyBorder="1" applyAlignment="1">
      <alignment vertical="center"/>
    </xf>
    <xf numFmtId="174" fontId="158" fillId="0" borderId="0" xfId="1" applyNumberFormat="1" applyFont="1" applyBorder="1" applyAlignment="1">
      <alignment vertical="center"/>
    </xf>
    <xf numFmtId="0" fontId="23" fillId="0" borderId="0" xfId="0" applyFont="1" applyBorder="1" applyAlignment="1">
      <alignment horizontal="center"/>
    </xf>
    <xf numFmtId="164" fontId="179" fillId="0" borderId="0" xfId="1" applyFont="1" applyBorder="1" applyAlignment="1">
      <alignment vertical="center"/>
    </xf>
    <xf numFmtId="164" fontId="5" fillId="0" borderId="0" xfId="1" applyFont="1" applyBorder="1" applyAlignment="1">
      <alignment vertical="center"/>
    </xf>
    <xf numFmtId="0" fontId="172" fillId="0" borderId="0" xfId="0" applyFont="1" applyBorder="1" applyAlignment="1">
      <alignment horizontal="left" vertical="center"/>
    </xf>
    <xf numFmtId="0" fontId="161" fillId="0" borderId="0" xfId="0" applyFont="1" applyBorder="1" applyAlignment="1">
      <alignment horizontal="center"/>
    </xf>
    <xf numFmtId="164" fontId="170" fillId="0" borderId="0" xfId="1" applyFont="1" applyBorder="1" applyAlignment="1">
      <alignment vertical="center"/>
    </xf>
    <xf numFmtId="164" fontId="158" fillId="0" borderId="0" xfId="1" applyFont="1" applyBorder="1" applyAlignment="1">
      <alignment vertical="center"/>
    </xf>
    <xf numFmtId="164" fontId="161" fillId="2" borderId="0" xfId="1" applyFont="1" applyFill="1" applyBorder="1"/>
    <xf numFmtId="164" fontId="158" fillId="0" borderId="0" xfId="1" applyFont="1" applyFill="1" applyBorder="1"/>
    <xf numFmtId="0" fontId="180" fillId="0" borderId="0" xfId="0" applyFont="1" applyBorder="1"/>
    <xf numFmtId="174" fontId="161" fillId="0" borderId="0" xfId="1" applyNumberFormat="1" applyFont="1" applyBorder="1" applyAlignment="1">
      <alignment vertical="center"/>
    </xf>
    <xf numFmtId="174" fontId="166" fillId="0" borderId="0" xfId="1" applyNumberFormat="1" applyFont="1" applyBorder="1" applyAlignment="1">
      <alignment vertical="center"/>
    </xf>
    <xf numFmtId="174" fontId="0" fillId="0" borderId="0" xfId="1" applyNumberFormat="1" applyFont="1" applyBorder="1"/>
    <xf numFmtId="0" fontId="169" fillId="0" borderId="0" xfId="0" applyFont="1"/>
    <xf numFmtId="0" fontId="161" fillId="0" borderId="0" xfId="0" applyFont="1" applyFill="1" applyBorder="1" applyAlignment="1">
      <alignment horizontal="center"/>
    </xf>
    <xf numFmtId="164" fontId="0" fillId="0" borderId="0" xfId="0" applyNumberFormat="1"/>
    <xf numFmtId="164" fontId="2" fillId="8" borderId="12" xfId="1" applyFont="1" applyFill="1" applyBorder="1"/>
    <xf numFmtId="174" fontId="3" fillId="12" borderId="0" xfId="1" applyNumberFormat="1" applyFont="1" applyFill="1" applyBorder="1"/>
    <xf numFmtId="164" fontId="23" fillId="23" borderId="0" xfId="1" applyFont="1" applyFill="1" applyBorder="1"/>
    <xf numFmtId="164" fontId="23" fillId="23" borderId="0" xfId="0" applyNumberFormat="1" applyFont="1" applyFill="1" applyBorder="1"/>
    <xf numFmtId="170" fontId="16" fillId="7" borderId="15" xfId="0" applyNumberFormat="1" applyFont="1" applyFill="1" applyBorder="1" applyAlignment="1">
      <alignment horizontal="center" vertical="center"/>
    </xf>
    <xf numFmtId="164" fontId="1" fillId="5" borderId="0" xfId="1" applyFont="1" applyFill="1" applyBorder="1"/>
    <xf numFmtId="164" fontId="7" fillId="0" borderId="0" xfId="1" applyFont="1" applyBorder="1" applyAlignment="1">
      <alignment vertical="center"/>
    </xf>
    <xf numFmtId="0" fontId="23" fillId="0" borderId="0" xfId="0" applyFont="1"/>
    <xf numFmtId="174" fontId="23" fillId="0" borderId="0" xfId="1" applyNumberFormat="1" applyFont="1"/>
    <xf numFmtId="174" fontId="180" fillId="0" borderId="0" xfId="1" applyNumberFormat="1" applyFont="1"/>
    <xf numFmtId="0" fontId="180" fillId="0" borderId="0" xfId="0" applyFont="1" applyBorder="1" applyAlignment="1">
      <alignment horizontal="center"/>
    </xf>
    <xf numFmtId="164" fontId="8" fillId="0" borderId="0" xfId="1" applyFont="1" applyBorder="1" applyAlignment="1">
      <alignment vertical="center"/>
    </xf>
    <xf numFmtId="164" fontId="17" fillId="14" borderId="5" xfId="1" applyFont="1" applyFill="1" applyBorder="1" applyAlignment="1">
      <alignment horizontal="center" vertical="center"/>
    </xf>
    <xf numFmtId="0" fontId="2" fillId="0" borderId="0" xfId="0" applyFont="1" applyAlignment="1">
      <alignment horizontal="center" vertical="center"/>
    </xf>
    <xf numFmtId="164" fontId="8" fillId="5" borderId="7" xfId="0" applyNumberFormat="1" applyFont="1" applyFill="1" applyBorder="1"/>
    <xf numFmtId="164" fontId="7" fillId="23" borderId="0" xfId="0" applyNumberFormat="1" applyFont="1" applyFill="1" applyBorder="1"/>
    <xf numFmtId="175" fontId="17" fillId="8" borderId="0" xfId="1" applyNumberFormat="1" applyFont="1" applyFill="1" applyBorder="1"/>
    <xf numFmtId="174" fontId="8" fillId="8" borderId="0" xfId="1" applyNumberFormat="1" applyFont="1" applyFill="1" applyBorder="1" applyAlignment="1">
      <alignment horizontal="center" vertical="center"/>
    </xf>
    <xf numFmtId="164" fontId="8" fillId="8" borderId="0" xfId="1" applyFont="1" applyFill="1" applyBorder="1"/>
    <xf numFmtId="164" fontId="22" fillId="0" borderId="0" xfId="1" applyFont="1" applyFill="1" applyBorder="1"/>
    <xf numFmtId="164" fontId="8" fillId="0" borderId="0" xfId="1" applyFont="1" applyFill="1" applyBorder="1"/>
    <xf numFmtId="164" fontId="8" fillId="12" borderId="7" xfId="0" applyNumberFormat="1" applyFont="1" applyFill="1" applyBorder="1"/>
    <xf numFmtId="164" fontId="8" fillId="12" borderId="0" xfId="1" applyFont="1" applyFill="1" applyBorder="1"/>
    <xf numFmtId="0" fontId="22" fillId="0" borderId="0" xfId="0" applyFont="1" applyBorder="1" applyAlignment="1">
      <alignment horizontal="center"/>
    </xf>
    <xf numFmtId="164" fontId="181" fillId="0" borderId="0" xfId="1" applyFont="1" applyBorder="1" applyAlignment="1">
      <alignment vertical="center"/>
    </xf>
    <xf numFmtId="174" fontId="6" fillId="0" borderId="0" xfId="1" applyNumberFormat="1" applyFont="1" applyBorder="1" applyAlignment="1">
      <alignment vertical="center"/>
    </xf>
    <xf numFmtId="0" fontId="22" fillId="0" borderId="0" xfId="0" applyFont="1" applyFill="1"/>
    <xf numFmtId="174" fontId="173" fillId="0" borderId="0" xfId="1" applyNumberFormat="1" applyFont="1" applyBorder="1" applyAlignment="1">
      <alignment vertical="center"/>
    </xf>
    <xf numFmtId="0" fontId="22" fillId="0" borderId="0" xfId="0" applyFont="1"/>
    <xf numFmtId="0" fontId="182" fillId="0" borderId="0" xfId="0" applyFont="1" applyBorder="1" applyAlignment="1">
      <alignment horizontal="left" vertical="center"/>
    </xf>
    <xf numFmtId="0" fontId="183" fillId="0" borderId="0" xfId="0" applyFont="1" applyBorder="1" applyAlignment="1">
      <alignment horizontal="center"/>
    </xf>
    <xf numFmtId="164" fontId="183" fillId="2" borderId="0" xfId="1" applyFont="1" applyFill="1" applyBorder="1"/>
    <xf numFmtId="174" fontId="183" fillId="2" borderId="0" xfId="1" applyNumberFormat="1" applyFont="1" applyFill="1" applyBorder="1"/>
    <xf numFmtId="164" fontId="183" fillId="0" borderId="0" xfId="1" applyFont="1" applyFill="1" applyBorder="1"/>
    <xf numFmtId="174" fontId="183" fillId="0" borderId="0" xfId="1" applyNumberFormat="1" applyFont="1" applyBorder="1"/>
    <xf numFmtId="0" fontId="183" fillId="0" borderId="0" xfId="0" applyFont="1"/>
    <xf numFmtId="164" fontId="5" fillId="5" borderId="7" xfId="0" applyNumberFormat="1" applyFont="1" applyFill="1" applyBorder="1"/>
    <xf numFmtId="164" fontId="22" fillId="111" borderId="0" xfId="1" applyFont="1" applyFill="1" applyBorder="1"/>
    <xf numFmtId="164" fontId="7" fillId="5" borderId="0" xfId="1" applyFont="1" applyFill="1" applyBorder="1"/>
    <xf numFmtId="43" fontId="10" fillId="8" borderId="0" xfId="0" applyNumberFormat="1" applyFont="1" applyFill="1"/>
    <xf numFmtId="0" fontId="0" fillId="8" borderId="0" xfId="0" applyNumberFormat="1" applyFill="1"/>
    <xf numFmtId="17" fontId="0" fillId="8" borderId="0" xfId="0" quotePrefix="1" applyNumberFormat="1" applyFill="1"/>
    <xf numFmtId="0" fontId="0" fillId="8" borderId="0" xfId="0" quotePrefix="1" applyFill="1"/>
    <xf numFmtId="0" fontId="0" fillId="8" borderId="0" xfId="0" applyFill="1" applyBorder="1" applyAlignment="1">
      <alignment horizontal="center"/>
    </xf>
    <xf numFmtId="0" fontId="0" fillId="8" borderId="10" xfId="0" applyFill="1" applyBorder="1" applyAlignment="1">
      <alignment horizontal="center"/>
    </xf>
    <xf numFmtId="172" fontId="0" fillId="8" borderId="0" xfId="0" applyNumberFormat="1" applyFill="1" applyBorder="1" applyAlignment="1">
      <alignment horizontal="center"/>
    </xf>
    <xf numFmtId="172" fontId="0" fillId="8" borderId="12" xfId="0" applyNumberFormat="1" applyFill="1" applyBorder="1" applyAlignment="1">
      <alignment horizontal="center"/>
    </xf>
    <xf numFmtId="0" fontId="0" fillId="8" borderId="12" xfId="0"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0" fontId="16" fillId="7" borderId="14" xfId="0" applyFont="1" applyFill="1" applyBorder="1" applyAlignment="1">
      <alignment horizontal="center"/>
    </xf>
    <xf numFmtId="0" fontId="16" fillId="7" borderId="15" xfId="0" applyFont="1" applyFill="1" applyBorder="1" applyAlignment="1">
      <alignment horizontal="center"/>
    </xf>
    <xf numFmtId="172" fontId="0" fillId="8" borderId="10" xfId="0" applyNumberFormat="1" applyFill="1" applyBorder="1" applyAlignment="1">
      <alignment horizontal="center"/>
    </xf>
    <xf numFmtId="172" fontId="0" fillId="8" borderId="13" xfId="0" applyNumberFormat="1" applyFill="1" applyBorder="1" applyAlignment="1">
      <alignment horizontal="center"/>
    </xf>
    <xf numFmtId="0" fontId="4" fillId="8" borderId="13" xfId="0" applyFont="1" applyFill="1" applyBorder="1" applyAlignment="1">
      <alignment horizontal="center"/>
    </xf>
    <xf numFmtId="0" fontId="16" fillId="7" borderId="6" xfId="0" applyFont="1" applyFill="1" applyBorder="1" applyAlignment="1">
      <alignment horizontal="center"/>
    </xf>
    <xf numFmtId="0" fontId="16" fillId="7" borderId="7" xfId="0" applyFon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16" fillId="7" borderId="8" xfId="0" applyFont="1" applyFill="1" applyBorder="1" applyAlignment="1">
      <alignment horizontal="center"/>
    </xf>
    <xf numFmtId="0" fontId="16" fillId="24" borderId="14" xfId="0" applyFont="1" applyFill="1" applyBorder="1" applyAlignment="1">
      <alignment horizontal="center"/>
    </xf>
    <xf numFmtId="0" fontId="16" fillId="24" borderId="15" xfId="0" applyFont="1" applyFill="1" applyBorder="1" applyAlignment="1">
      <alignment horizontal="center"/>
    </xf>
    <xf numFmtId="0" fontId="0" fillId="8" borderId="13" xfId="0" applyFill="1" applyBorder="1" applyAlignment="1">
      <alignment horizontal="center"/>
    </xf>
    <xf numFmtId="0" fontId="161" fillId="8" borderId="0" xfId="0" applyFont="1" applyFill="1" applyBorder="1" applyAlignment="1">
      <alignment horizontal="center"/>
    </xf>
    <xf numFmtId="0" fontId="161" fillId="8" borderId="10" xfId="0" applyFont="1" applyFill="1" applyBorder="1" applyAlignment="1">
      <alignment horizontal="center"/>
    </xf>
    <xf numFmtId="0" fontId="4" fillId="12" borderId="14" xfId="0" applyFont="1" applyFill="1" applyBorder="1" applyAlignment="1">
      <alignment horizontal="center" vertical="center"/>
    </xf>
    <xf numFmtId="0" fontId="4" fillId="12" borderId="1" xfId="0" applyFont="1" applyFill="1" applyBorder="1" applyAlignment="1">
      <alignment horizontal="center" vertical="center"/>
    </xf>
    <xf numFmtId="0" fontId="4" fillId="13" borderId="2" xfId="0" applyFont="1" applyFill="1" applyBorder="1" applyAlignment="1">
      <alignment horizontal="center" vertical="center"/>
    </xf>
    <xf numFmtId="0" fontId="4" fillId="13" borderId="3" xfId="0" applyFont="1" applyFill="1" applyBorder="1" applyAlignment="1">
      <alignment horizontal="center" vertical="center"/>
    </xf>
    <xf numFmtId="0" fontId="4" fillId="21" borderId="2" xfId="0" applyFont="1" applyFill="1" applyBorder="1" applyAlignment="1">
      <alignment horizontal="center" vertical="center"/>
    </xf>
    <xf numFmtId="0" fontId="4" fillId="21" borderId="4" xfId="0" applyFont="1" applyFill="1" applyBorder="1" applyAlignment="1">
      <alignment horizontal="center" vertical="center"/>
    </xf>
  </cellXfs>
  <cellStyles count="4111">
    <cellStyle name="20% - Accent1 10" xfId="2932"/>
    <cellStyle name="20% - Accent1 11" xfId="2931"/>
    <cellStyle name="20% - Accent1 12" xfId="2930"/>
    <cellStyle name="20% - Accent1 13" xfId="2929"/>
    <cellStyle name="20% - Accent1 14" xfId="2928"/>
    <cellStyle name="20% - Accent1 15" xfId="2927"/>
    <cellStyle name="20% - Accent1 16" xfId="8"/>
    <cellStyle name="20% - Accent1 2" xfId="9"/>
    <cellStyle name="20% - Accent1 2 10" xfId="2925"/>
    <cellStyle name="20% - Accent1 2 11" xfId="2924"/>
    <cellStyle name="20% - Accent1 2 12" xfId="2926"/>
    <cellStyle name="20% - Accent1 2 2" xfId="441"/>
    <cellStyle name="20% - Accent1 2 2 2" xfId="2923"/>
    <cellStyle name="20% - Accent1 2 3" xfId="2922"/>
    <cellStyle name="20% - Accent1 2 4" xfId="2921"/>
    <cellStyle name="20% - Accent1 2 5" xfId="2920"/>
    <cellStyle name="20% - Accent1 2 6" xfId="2919"/>
    <cellStyle name="20% - Accent1 2 7" xfId="2918"/>
    <cellStyle name="20% - Accent1 2 8" xfId="2917"/>
    <cellStyle name="20% - Accent1 2 9" xfId="2916"/>
    <cellStyle name="20% - Accent1 3" xfId="10"/>
    <cellStyle name="20% - Accent1 3 10" xfId="2914"/>
    <cellStyle name="20% - Accent1 3 11" xfId="2913"/>
    <cellStyle name="20% - Accent1 3 12" xfId="2915"/>
    <cellStyle name="20% - Accent1 3 2" xfId="2912"/>
    <cellStyle name="20% - Accent1 3 3" xfId="2911"/>
    <cellStyle name="20% - Accent1 3 4" xfId="2910"/>
    <cellStyle name="20% - Accent1 3 5" xfId="2909"/>
    <cellStyle name="20% - Accent1 3 6" xfId="2908"/>
    <cellStyle name="20% - Accent1 3 7" xfId="2907"/>
    <cellStyle name="20% - Accent1 3 8" xfId="2906"/>
    <cellStyle name="20% - Accent1 3 9" xfId="2905"/>
    <cellStyle name="20% - Accent1 4" xfId="2904"/>
    <cellStyle name="20% - Accent1 4 10" xfId="2903"/>
    <cellStyle name="20% - Accent1 4 11" xfId="2902"/>
    <cellStyle name="20% - Accent1 4 2" xfId="2901"/>
    <cellStyle name="20% - Accent1 4 3" xfId="2900"/>
    <cellStyle name="20% - Accent1 4 4" xfId="2899"/>
    <cellStyle name="20% - Accent1 4 5" xfId="2898"/>
    <cellStyle name="20% - Accent1 4 6" xfId="2897"/>
    <cellStyle name="20% - Accent1 4 7" xfId="2896"/>
    <cellStyle name="20% - Accent1 4 8" xfId="2895"/>
    <cellStyle name="20% - Accent1 4 9" xfId="2894"/>
    <cellStyle name="20% - Accent1 5" xfId="2893"/>
    <cellStyle name="20% - Accent1 5 10" xfId="2892"/>
    <cellStyle name="20% - Accent1 5 11" xfId="2891"/>
    <cellStyle name="20% - Accent1 5 2" xfId="2890"/>
    <cellStyle name="20% - Accent1 5 3" xfId="2889"/>
    <cellStyle name="20% - Accent1 5 4" xfId="2888"/>
    <cellStyle name="20% - Accent1 5 5" xfId="2887"/>
    <cellStyle name="20% - Accent1 5 6" xfId="2886"/>
    <cellStyle name="20% - Accent1 5 7" xfId="2885"/>
    <cellStyle name="20% - Accent1 5 8" xfId="2884"/>
    <cellStyle name="20% - Accent1 5 9" xfId="2883"/>
    <cellStyle name="20% - Accent1 6" xfId="2882"/>
    <cellStyle name="20% - Accent1 7" xfId="2881"/>
    <cellStyle name="20% - Accent1 8" xfId="2880"/>
    <cellStyle name="20% - Accent1 9" xfId="2879"/>
    <cellStyle name="20% - Accent2 10" xfId="2878"/>
    <cellStyle name="20% - Accent2 11" xfId="2877"/>
    <cellStyle name="20% - Accent2 12" xfId="2876"/>
    <cellStyle name="20% - Accent2 13" xfId="2875"/>
    <cellStyle name="20% - Accent2 14" xfId="2874"/>
    <cellStyle name="20% - Accent2 15" xfId="2873"/>
    <cellStyle name="20% - Accent2 16" xfId="11"/>
    <cellStyle name="20% - Accent2 2" xfId="12"/>
    <cellStyle name="20% - Accent2 2 10" xfId="2871"/>
    <cellStyle name="20% - Accent2 2 11" xfId="2870"/>
    <cellStyle name="20% - Accent2 2 12" xfId="2872"/>
    <cellStyle name="20% - Accent2 2 2" xfId="443"/>
    <cellStyle name="20% - Accent2 2 2 2" xfId="2869"/>
    <cellStyle name="20% - Accent2 2 3" xfId="2868"/>
    <cellStyle name="20% - Accent2 2 4" xfId="2867"/>
    <cellStyle name="20% - Accent2 2 5" xfId="2866"/>
    <cellStyle name="20% - Accent2 2 6" xfId="2865"/>
    <cellStyle name="20% - Accent2 2 7" xfId="2864"/>
    <cellStyle name="20% - Accent2 2 8" xfId="2863"/>
    <cellStyle name="20% - Accent2 2 9" xfId="2862"/>
    <cellStyle name="20% - Accent2 3" xfId="13"/>
    <cellStyle name="20% - Accent2 3 10" xfId="2860"/>
    <cellStyle name="20% - Accent2 3 11" xfId="2859"/>
    <cellStyle name="20% - Accent2 3 12" xfId="2861"/>
    <cellStyle name="20% - Accent2 3 2" xfId="2858"/>
    <cellStyle name="20% - Accent2 3 3" xfId="2857"/>
    <cellStyle name="20% - Accent2 3 4" xfId="2856"/>
    <cellStyle name="20% - Accent2 3 5" xfId="2855"/>
    <cellStyle name="20% - Accent2 3 6" xfId="2854"/>
    <cellStyle name="20% - Accent2 3 7" xfId="2853"/>
    <cellStyle name="20% - Accent2 3 8" xfId="2852"/>
    <cellStyle name="20% - Accent2 3 9" xfId="2851"/>
    <cellStyle name="20% - Accent2 4" xfId="2850"/>
    <cellStyle name="20% - Accent2 4 10" xfId="2849"/>
    <cellStyle name="20% - Accent2 4 11" xfId="2848"/>
    <cellStyle name="20% - Accent2 4 2" xfId="2847"/>
    <cellStyle name="20% - Accent2 4 3" xfId="2846"/>
    <cellStyle name="20% - Accent2 4 4" xfId="2845"/>
    <cellStyle name="20% - Accent2 4 5" xfId="2844"/>
    <cellStyle name="20% - Accent2 4 6" xfId="2843"/>
    <cellStyle name="20% - Accent2 4 7" xfId="2842"/>
    <cellStyle name="20% - Accent2 4 8" xfId="2841"/>
    <cellStyle name="20% - Accent2 4 9" xfId="2840"/>
    <cellStyle name="20% - Accent2 5" xfId="2839"/>
    <cellStyle name="20% - Accent2 5 10" xfId="2838"/>
    <cellStyle name="20% - Accent2 5 11" xfId="2837"/>
    <cellStyle name="20% - Accent2 5 2" xfId="2836"/>
    <cellStyle name="20% - Accent2 5 3" xfId="2835"/>
    <cellStyle name="20% - Accent2 5 4" xfId="2834"/>
    <cellStyle name="20% - Accent2 5 5" xfId="2833"/>
    <cellStyle name="20% - Accent2 5 6" xfId="2832"/>
    <cellStyle name="20% - Accent2 5 7" xfId="2831"/>
    <cellStyle name="20% - Accent2 5 8" xfId="2830"/>
    <cellStyle name="20% - Accent2 5 9" xfId="2829"/>
    <cellStyle name="20% - Accent2 6" xfId="2828"/>
    <cellStyle name="20% - Accent2 7" xfId="2827"/>
    <cellStyle name="20% - Accent2 8" xfId="2826"/>
    <cellStyle name="20% - Accent2 9" xfId="2825"/>
    <cellStyle name="20% - Accent3 10" xfId="2824"/>
    <cellStyle name="20% - Accent3 11" xfId="2823"/>
    <cellStyle name="20% - Accent3 12" xfId="2822"/>
    <cellStyle name="20% - Accent3 13" xfId="2821"/>
    <cellStyle name="20% - Accent3 14" xfId="2820"/>
    <cellStyle name="20% - Accent3 15" xfId="2819"/>
    <cellStyle name="20% - Accent3 16" xfId="14"/>
    <cellStyle name="20% - Accent3 2" xfId="15"/>
    <cellStyle name="20% - Accent3 2 10" xfId="2816"/>
    <cellStyle name="20% - Accent3 2 11" xfId="2815"/>
    <cellStyle name="20% - Accent3 2 12" xfId="2817"/>
    <cellStyle name="20% - Accent3 2 2" xfId="445"/>
    <cellStyle name="20% - Accent3 2 2 2" xfId="2814"/>
    <cellStyle name="20% - Accent3 2 3" xfId="2813"/>
    <cellStyle name="20% - Accent3 2 4" xfId="2812"/>
    <cellStyle name="20% - Accent3 2 5" xfId="2811"/>
    <cellStyle name="20% - Accent3 2 6" xfId="2810"/>
    <cellStyle name="20% - Accent3 2 7" xfId="2809"/>
    <cellStyle name="20% - Accent3 2 8" xfId="2808"/>
    <cellStyle name="20% - Accent3 2 9" xfId="2807"/>
    <cellStyle name="20% - Accent3 3" xfId="16"/>
    <cellStyle name="20% - Accent3 3 10" xfId="2805"/>
    <cellStyle name="20% - Accent3 3 11" xfId="2804"/>
    <cellStyle name="20% - Accent3 3 12" xfId="2806"/>
    <cellStyle name="20% - Accent3 3 2" xfId="2803"/>
    <cellStyle name="20% - Accent3 3 3" xfId="2802"/>
    <cellStyle name="20% - Accent3 3 4" xfId="2801"/>
    <cellStyle name="20% - Accent3 3 5" xfId="2800"/>
    <cellStyle name="20% - Accent3 3 6" xfId="2799"/>
    <cellStyle name="20% - Accent3 3 7" xfId="2798"/>
    <cellStyle name="20% - Accent3 3 8" xfId="2797"/>
    <cellStyle name="20% - Accent3 3 9" xfId="2796"/>
    <cellStyle name="20% - Accent3 4" xfId="2795"/>
    <cellStyle name="20% - Accent3 4 10" xfId="2794"/>
    <cellStyle name="20% - Accent3 4 11" xfId="2793"/>
    <cellStyle name="20% - Accent3 4 2" xfId="2792"/>
    <cellStyle name="20% - Accent3 4 3" xfId="2791"/>
    <cellStyle name="20% - Accent3 4 4" xfId="2790"/>
    <cellStyle name="20% - Accent3 4 5" xfId="2789"/>
    <cellStyle name="20% - Accent3 4 6" xfId="2788"/>
    <cellStyle name="20% - Accent3 4 7" xfId="2787"/>
    <cellStyle name="20% - Accent3 4 8" xfId="2786"/>
    <cellStyle name="20% - Accent3 4 9" xfId="2785"/>
    <cellStyle name="20% - Accent3 5" xfId="2784"/>
    <cellStyle name="20% - Accent3 5 10" xfId="2783"/>
    <cellStyle name="20% - Accent3 5 11" xfId="2782"/>
    <cellStyle name="20% - Accent3 5 2" xfId="2781"/>
    <cellStyle name="20% - Accent3 5 3" xfId="2780"/>
    <cellStyle name="20% - Accent3 5 4" xfId="2779"/>
    <cellStyle name="20% - Accent3 5 5" xfId="2778"/>
    <cellStyle name="20% - Accent3 5 6" xfId="2777"/>
    <cellStyle name="20% - Accent3 5 7" xfId="2776"/>
    <cellStyle name="20% - Accent3 5 8" xfId="2775"/>
    <cellStyle name="20% - Accent3 5 9" xfId="2774"/>
    <cellStyle name="20% - Accent3 6" xfId="2773"/>
    <cellStyle name="20% - Accent3 7" xfId="2772"/>
    <cellStyle name="20% - Accent3 8" xfId="2771"/>
    <cellStyle name="20% - Accent3 9" xfId="2770"/>
    <cellStyle name="20% - Accent4 10" xfId="2769"/>
    <cellStyle name="20% - Accent4 11" xfId="2768"/>
    <cellStyle name="20% - Accent4 12" xfId="2767"/>
    <cellStyle name="20% - Accent4 13" xfId="2766"/>
    <cellStyle name="20% - Accent4 14" xfId="2765"/>
    <cellStyle name="20% - Accent4 15" xfId="2764"/>
    <cellStyle name="20% - Accent4 16" xfId="17"/>
    <cellStyle name="20% - Accent4 2" xfId="18"/>
    <cellStyle name="20% - Accent4 2 10" xfId="2762"/>
    <cellStyle name="20% - Accent4 2 11" xfId="2761"/>
    <cellStyle name="20% - Accent4 2 12" xfId="2763"/>
    <cellStyle name="20% - Accent4 2 2" xfId="447"/>
    <cellStyle name="20% - Accent4 2 2 2" xfId="2760"/>
    <cellStyle name="20% - Accent4 2 3" xfId="2759"/>
    <cellStyle name="20% - Accent4 2 4" xfId="2758"/>
    <cellStyle name="20% - Accent4 2 5" xfId="2757"/>
    <cellStyle name="20% - Accent4 2 6" xfId="2756"/>
    <cellStyle name="20% - Accent4 2 7" xfId="2755"/>
    <cellStyle name="20% - Accent4 2 8" xfId="2754"/>
    <cellStyle name="20% - Accent4 2 9" xfId="2753"/>
    <cellStyle name="20% - Accent4 3" xfId="19"/>
    <cellStyle name="20% - Accent4 3 10" xfId="2751"/>
    <cellStyle name="20% - Accent4 3 11" xfId="2750"/>
    <cellStyle name="20% - Accent4 3 12" xfId="2752"/>
    <cellStyle name="20% - Accent4 3 2" xfId="2749"/>
    <cellStyle name="20% - Accent4 3 3" xfId="2748"/>
    <cellStyle name="20% - Accent4 3 4" xfId="2747"/>
    <cellStyle name="20% - Accent4 3 5" xfId="2746"/>
    <cellStyle name="20% - Accent4 3 6" xfId="2745"/>
    <cellStyle name="20% - Accent4 3 7" xfId="2744"/>
    <cellStyle name="20% - Accent4 3 8" xfId="2743"/>
    <cellStyle name="20% - Accent4 3 9" xfId="2742"/>
    <cellStyle name="20% - Accent4 4" xfId="2741"/>
    <cellStyle name="20% - Accent4 4 10" xfId="2740"/>
    <cellStyle name="20% - Accent4 4 11" xfId="2739"/>
    <cellStyle name="20% - Accent4 4 2" xfId="2738"/>
    <cellStyle name="20% - Accent4 4 3" xfId="2737"/>
    <cellStyle name="20% - Accent4 4 4" xfId="2736"/>
    <cellStyle name="20% - Accent4 4 5" xfId="2735"/>
    <cellStyle name="20% - Accent4 4 6" xfId="2734"/>
    <cellStyle name="20% - Accent4 4 7" xfId="2733"/>
    <cellStyle name="20% - Accent4 4 8" xfId="2732"/>
    <cellStyle name="20% - Accent4 4 9" xfId="2731"/>
    <cellStyle name="20% - Accent4 5" xfId="2730"/>
    <cellStyle name="20% - Accent4 5 10" xfId="2729"/>
    <cellStyle name="20% - Accent4 5 11" xfId="2728"/>
    <cellStyle name="20% - Accent4 5 2" xfId="2727"/>
    <cellStyle name="20% - Accent4 5 3" xfId="2726"/>
    <cellStyle name="20% - Accent4 5 4" xfId="2725"/>
    <cellStyle name="20% - Accent4 5 5" xfId="2724"/>
    <cellStyle name="20% - Accent4 5 6" xfId="2723"/>
    <cellStyle name="20% - Accent4 5 7" xfId="2722"/>
    <cellStyle name="20% - Accent4 5 8" xfId="2721"/>
    <cellStyle name="20% - Accent4 5 9" xfId="2720"/>
    <cellStyle name="20% - Accent4 6" xfId="2719"/>
    <cellStyle name="20% - Accent4 7" xfId="2718"/>
    <cellStyle name="20% - Accent4 8" xfId="2717"/>
    <cellStyle name="20% - Accent4 9" xfId="2716"/>
    <cellStyle name="20% - Accent5 10" xfId="2715"/>
    <cellStyle name="20% - Accent5 11" xfId="2714"/>
    <cellStyle name="20% - Accent5 12" xfId="2713"/>
    <cellStyle name="20% - Accent5 13" xfId="2712"/>
    <cellStyle name="20% - Accent5 14" xfId="2711"/>
    <cellStyle name="20% - Accent5 15" xfId="2710"/>
    <cellStyle name="20% - Accent5 16" xfId="20"/>
    <cellStyle name="20% - Accent5 2" xfId="21"/>
    <cellStyle name="20% - Accent5 2 10" xfId="2708"/>
    <cellStyle name="20% - Accent5 2 11" xfId="2707"/>
    <cellStyle name="20% - Accent5 2 12" xfId="2709"/>
    <cellStyle name="20% - Accent5 2 2" xfId="449"/>
    <cellStyle name="20% - Accent5 2 2 2" xfId="2706"/>
    <cellStyle name="20% - Accent5 2 3" xfId="2705"/>
    <cellStyle name="20% - Accent5 2 4" xfId="2704"/>
    <cellStyle name="20% - Accent5 2 5" xfId="2703"/>
    <cellStyle name="20% - Accent5 2 6" xfId="2702"/>
    <cellStyle name="20% - Accent5 2 7" xfId="2701"/>
    <cellStyle name="20% - Accent5 2 8" xfId="2700"/>
    <cellStyle name="20% - Accent5 2 9" xfId="2699"/>
    <cellStyle name="20% - Accent5 3" xfId="22"/>
    <cellStyle name="20% - Accent5 3 10" xfId="2697"/>
    <cellStyle name="20% - Accent5 3 11" xfId="2696"/>
    <cellStyle name="20% - Accent5 3 12" xfId="2698"/>
    <cellStyle name="20% - Accent5 3 2" xfId="2695"/>
    <cellStyle name="20% - Accent5 3 3" xfId="2694"/>
    <cellStyle name="20% - Accent5 3 4" xfId="2693"/>
    <cellStyle name="20% - Accent5 3 5" xfId="2692"/>
    <cellStyle name="20% - Accent5 3 6" xfId="2691"/>
    <cellStyle name="20% - Accent5 3 7" xfId="2690"/>
    <cellStyle name="20% - Accent5 3 8" xfId="2689"/>
    <cellStyle name="20% - Accent5 3 9" xfId="2688"/>
    <cellStyle name="20% - Accent5 4" xfId="2687"/>
    <cellStyle name="20% - Accent5 4 10" xfId="2686"/>
    <cellStyle name="20% - Accent5 4 11" xfId="2685"/>
    <cellStyle name="20% - Accent5 4 2" xfId="2684"/>
    <cellStyle name="20% - Accent5 4 3" xfId="2683"/>
    <cellStyle name="20% - Accent5 4 4" xfId="2682"/>
    <cellStyle name="20% - Accent5 4 5" xfId="2681"/>
    <cellStyle name="20% - Accent5 4 6" xfId="2680"/>
    <cellStyle name="20% - Accent5 4 7" xfId="2679"/>
    <cellStyle name="20% - Accent5 4 8" xfId="2678"/>
    <cellStyle name="20% - Accent5 4 9" xfId="2677"/>
    <cellStyle name="20% - Accent5 5" xfId="2676"/>
    <cellStyle name="20% - Accent5 5 10" xfId="2675"/>
    <cellStyle name="20% - Accent5 5 11" xfId="2674"/>
    <cellStyle name="20% - Accent5 5 2" xfId="2673"/>
    <cellStyle name="20% - Accent5 5 3" xfId="2672"/>
    <cellStyle name="20% - Accent5 5 4" xfId="2671"/>
    <cellStyle name="20% - Accent5 5 5" xfId="2670"/>
    <cellStyle name="20% - Accent5 5 6" xfId="2669"/>
    <cellStyle name="20% - Accent5 5 7" xfId="2668"/>
    <cellStyle name="20% - Accent5 5 8" xfId="2667"/>
    <cellStyle name="20% - Accent5 5 9" xfId="2666"/>
    <cellStyle name="20% - Accent5 6" xfId="2665"/>
    <cellStyle name="20% - Accent5 7" xfId="2664"/>
    <cellStyle name="20% - Accent5 8" xfId="2663"/>
    <cellStyle name="20% - Accent5 9" xfId="2662"/>
    <cellStyle name="20% - Accent6 10" xfId="2661"/>
    <cellStyle name="20% - Accent6 11" xfId="2660"/>
    <cellStyle name="20% - Accent6 12" xfId="2659"/>
    <cellStyle name="20% - Accent6 13" xfId="2658"/>
    <cellStyle name="20% - Accent6 14" xfId="2657"/>
    <cellStyle name="20% - Accent6 15" xfId="2656"/>
    <cellStyle name="20% - Accent6 16" xfId="23"/>
    <cellStyle name="20% - Accent6 2" xfId="24"/>
    <cellStyle name="20% - Accent6 2 10" xfId="2654"/>
    <cellStyle name="20% - Accent6 2 11" xfId="2653"/>
    <cellStyle name="20% - Accent6 2 12" xfId="2655"/>
    <cellStyle name="20% - Accent6 2 2" xfId="451"/>
    <cellStyle name="20% - Accent6 2 2 2" xfId="2652"/>
    <cellStyle name="20% - Accent6 2 3" xfId="2651"/>
    <cellStyle name="20% - Accent6 2 4" xfId="2650"/>
    <cellStyle name="20% - Accent6 2 5" xfId="2649"/>
    <cellStyle name="20% - Accent6 2 6" xfId="2648"/>
    <cellStyle name="20% - Accent6 2 7" xfId="2647"/>
    <cellStyle name="20% - Accent6 2 8" xfId="2646"/>
    <cellStyle name="20% - Accent6 2 9" xfId="2645"/>
    <cellStyle name="20% - Accent6 3" xfId="25"/>
    <cellStyle name="20% - Accent6 3 10" xfId="2643"/>
    <cellStyle name="20% - Accent6 3 11" xfId="2642"/>
    <cellStyle name="20% - Accent6 3 12" xfId="2644"/>
    <cellStyle name="20% - Accent6 3 2" xfId="2641"/>
    <cellStyle name="20% - Accent6 3 3" xfId="2640"/>
    <cellStyle name="20% - Accent6 3 4" xfId="2639"/>
    <cellStyle name="20% - Accent6 3 5" xfId="2638"/>
    <cellStyle name="20% - Accent6 3 6" xfId="2637"/>
    <cellStyle name="20% - Accent6 3 7" xfId="2636"/>
    <cellStyle name="20% - Accent6 3 8" xfId="2635"/>
    <cellStyle name="20% - Accent6 3 9" xfId="2634"/>
    <cellStyle name="20% - Accent6 4" xfId="2633"/>
    <cellStyle name="20% - Accent6 4 10" xfId="2632"/>
    <cellStyle name="20% - Accent6 4 11" xfId="2631"/>
    <cellStyle name="20% - Accent6 4 2" xfId="2630"/>
    <cellStyle name="20% - Accent6 4 3" xfId="2629"/>
    <cellStyle name="20% - Accent6 4 4" xfId="2628"/>
    <cellStyle name="20% - Accent6 4 5" xfId="2627"/>
    <cellStyle name="20% - Accent6 4 6" xfId="2626"/>
    <cellStyle name="20% - Accent6 4 7" xfId="2625"/>
    <cellStyle name="20% - Accent6 4 8" xfId="2624"/>
    <cellStyle name="20% - Accent6 4 9" xfId="2623"/>
    <cellStyle name="20% - Accent6 5" xfId="2622"/>
    <cellStyle name="20% - Accent6 5 10" xfId="2621"/>
    <cellStyle name="20% - Accent6 5 11" xfId="2620"/>
    <cellStyle name="20% - Accent6 5 2" xfId="2619"/>
    <cellStyle name="20% - Accent6 5 3" xfId="2618"/>
    <cellStyle name="20% - Accent6 5 4" xfId="2617"/>
    <cellStyle name="20% - Accent6 5 5" xfId="2616"/>
    <cellStyle name="20% - Accent6 5 6" xfId="2615"/>
    <cellStyle name="20% - Accent6 5 7" xfId="2614"/>
    <cellStyle name="20% - Accent6 5 8" xfId="2613"/>
    <cellStyle name="20% - Accent6 5 9" xfId="2612"/>
    <cellStyle name="20% - Accent6 6" xfId="2611"/>
    <cellStyle name="20% - Accent6 7" xfId="2610"/>
    <cellStyle name="20% - Accent6 8" xfId="2609"/>
    <cellStyle name="20% - Accent6 9" xfId="2608"/>
    <cellStyle name="20% - ส่วนที่ถูกเน้น1" xfId="2607"/>
    <cellStyle name="20% - ส่วนที่ถูกเน้น2" xfId="2606"/>
    <cellStyle name="20% - ส่วนที่ถูกเน้น3" xfId="2605"/>
    <cellStyle name="20% - ส่วนที่ถูกเน้น4" xfId="2604"/>
    <cellStyle name="20% - ส่วนที่ถูกเน้น5" xfId="2603"/>
    <cellStyle name="20% - ส่วนที่ถูกเน้น6" xfId="2602"/>
    <cellStyle name="40% - Accent1 10" xfId="2601"/>
    <cellStyle name="40% - Accent1 11" xfId="2600"/>
    <cellStyle name="40% - Accent1 12" xfId="2599"/>
    <cellStyle name="40% - Accent1 13" xfId="2598"/>
    <cellStyle name="40% - Accent1 14" xfId="2597"/>
    <cellStyle name="40% - Accent1 15" xfId="2596"/>
    <cellStyle name="40% - Accent1 16" xfId="26"/>
    <cellStyle name="40% - Accent1 2" xfId="27"/>
    <cellStyle name="40% - Accent1 2 10" xfId="2594"/>
    <cellStyle name="40% - Accent1 2 11" xfId="2593"/>
    <cellStyle name="40% - Accent1 2 12" xfId="2595"/>
    <cellStyle name="40% - Accent1 2 2" xfId="453"/>
    <cellStyle name="40% - Accent1 2 2 2" xfId="2592"/>
    <cellStyle name="40% - Accent1 2 3" xfId="2591"/>
    <cellStyle name="40% - Accent1 2 4" xfId="2590"/>
    <cellStyle name="40% - Accent1 2 5" xfId="2589"/>
    <cellStyle name="40% - Accent1 2 6" xfId="2588"/>
    <cellStyle name="40% - Accent1 2 7" xfId="2587"/>
    <cellStyle name="40% - Accent1 2 8" xfId="2586"/>
    <cellStyle name="40% - Accent1 2 9" xfId="2585"/>
    <cellStyle name="40% - Accent1 3" xfId="28"/>
    <cellStyle name="40% - Accent1 3 10" xfId="2583"/>
    <cellStyle name="40% - Accent1 3 11" xfId="2582"/>
    <cellStyle name="40% - Accent1 3 12" xfId="2584"/>
    <cellStyle name="40% - Accent1 3 2" xfId="2581"/>
    <cellStyle name="40% - Accent1 3 3" xfId="2580"/>
    <cellStyle name="40% - Accent1 3 4" xfId="2579"/>
    <cellStyle name="40% - Accent1 3 5" xfId="2578"/>
    <cellStyle name="40% - Accent1 3 6" xfId="2577"/>
    <cellStyle name="40% - Accent1 3 7" xfId="2576"/>
    <cellStyle name="40% - Accent1 3 8" xfId="2575"/>
    <cellStyle name="40% - Accent1 3 9" xfId="2574"/>
    <cellStyle name="40% - Accent1 4" xfId="2573"/>
    <cellStyle name="40% - Accent1 4 10" xfId="2572"/>
    <cellStyle name="40% - Accent1 4 11" xfId="2571"/>
    <cellStyle name="40% - Accent1 4 2" xfId="2570"/>
    <cellStyle name="40% - Accent1 4 3" xfId="2569"/>
    <cellStyle name="40% - Accent1 4 4" xfId="2568"/>
    <cellStyle name="40% - Accent1 4 5" xfId="2567"/>
    <cellStyle name="40% - Accent1 4 6" xfId="2566"/>
    <cellStyle name="40% - Accent1 4 7" xfId="2565"/>
    <cellStyle name="40% - Accent1 4 8" xfId="2564"/>
    <cellStyle name="40% - Accent1 4 9" xfId="2563"/>
    <cellStyle name="40% - Accent1 5" xfId="2562"/>
    <cellStyle name="40% - Accent1 5 10" xfId="2561"/>
    <cellStyle name="40% - Accent1 5 11" xfId="2560"/>
    <cellStyle name="40% - Accent1 5 2" xfId="2559"/>
    <cellStyle name="40% - Accent1 5 3" xfId="2558"/>
    <cellStyle name="40% - Accent1 5 4" xfId="2557"/>
    <cellStyle name="40% - Accent1 5 5" xfId="2556"/>
    <cellStyle name="40% - Accent1 5 6" xfId="2555"/>
    <cellStyle name="40% - Accent1 5 7" xfId="2554"/>
    <cellStyle name="40% - Accent1 5 8" xfId="2553"/>
    <cellStyle name="40% - Accent1 5 9" xfId="2552"/>
    <cellStyle name="40% - Accent1 6" xfId="2551"/>
    <cellStyle name="40% - Accent1 7" xfId="2550"/>
    <cellStyle name="40% - Accent1 8" xfId="2549"/>
    <cellStyle name="40% - Accent1 9" xfId="2548"/>
    <cellStyle name="40% - Accent2 10" xfId="2547"/>
    <cellStyle name="40% - Accent2 11" xfId="2546"/>
    <cellStyle name="40% - Accent2 12" xfId="2545"/>
    <cellStyle name="40% - Accent2 13" xfId="2544"/>
    <cellStyle name="40% - Accent2 14" xfId="2543"/>
    <cellStyle name="40% - Accent2 15" xfId="2542"/>
    <cellStyle name="40% - Accent2 16" xfId="29"/>
    <cellStyle name="40% - Accent2 2" xfId="30"/>
    <cellStyle name="40% - Accent2 2 10" xfId="2540"/>
    <cellStyle name="40% - Accent2 2 11" xfId="2539"/>
    <cellStyle name="40% - Accent2 2 12" xfId="2541"/>
    <cellStyle name="40% - Accent2 2 2" xfId="455"/>
    <cellStyle name="40% - Accent2 2 2 2" xfId="2538"/>
    <cellStyle name="40% - Accent2 2 3" xfId="2537"/>
    <cellStyle name="40% - Accent2 2 4" xfId="2536"/>
    <cellStyle name="40% - Accent2 2 5" xfId="2535"/>
    <cellStyle name="40% - Accent2 2 6" xfId="2534"/>
    <cellStyle name="40% - Accent2 2 7" xfId="2533"/>
    <cellStyle name="40% - Accent2 2 8" xfId="2532"/>
    <cellStyle name="40% - Accent2 2 9" xfId="2531"/>
    <cellStyle name="40% - Accent2 3" xfId="31"/>
    <cellStyle name="40% - Accent2 3 10" xfId="2529"/>
    <cellStyle name="40% - Accent2 3 11" xfId="2528"/>
    <cellStyle name="40% - Accent2 3 12" xfId="2530"/>
    <cellStyle name="40% - Accent2 3 2" xfId="2527"/>
    <cellStyle name="40% - Accent2 3 3" xfId="2526"/>
    <cellStyle name="40% - Accent2 3 4" xfId="2525"/>
    <cellStyle name="40% - Accent2 3 5" xfId="2524"/>
    <cellStyle name="40% - Accent2 3 6" xfId="2523"/>
    <cellStyle name="40% - Accent2 3 7" xfId="2522"/>
    <cellStyle name="40% - Accent2 3 8" xfId="2521"/>
    <cellStyle name="40% - Accent2 3 9" xfId="2520"/>
    <cellStyle name="40% - Accent2 4" xfId="2519"/>
    <cellStyle name="40% - Accent2 4 10" xfId="2518"/>
    <cellStyle name="40% - Accent2 4 11" xfId="2517"/>
    <cellStyle name="40% - Accent2 4 2" xfId="2516"/>
    <cellStyle name="40% - Accent2 4 3" xfId="2515"/>
    <cellStyle name="40% - Accent2 4 4" xfId="2514"/>
    <cellStyle name="40% - Accent2 4 5" xfId="2513"/>
    <cellStyle name="40% - Accent2 4 6" xfId="2512"/>
    <cellStyle name="40% - Accent2 4 7" xfId="2511"/>
    <cellStyle name="40% - Accent2 4 8" xfId="2510"/>
    <cellStyle name="40% - Accent2 4 9" xfId="2509"/>
    <cellStyle name="40% - Accent2 5" xfId="2508"/>
    <cellStyle name="40% - Accent2 5 10" xfId="2507"/>
    <cellStyle name="40% - Accent2 5 11" xfId="2506"/>
    <cellStyle name="40% - Accent2 5 2" xfId="2505"/>
    <cellStyle name="40% - Accent2 5 3" xfId="2504"/>
    <cellStyle name="40% - Accent2 5 4" xfId="2503"/>
    <cellStyle name="40% - Accent2 5 5" xfId="2502"/>
    <cellStyle name="40% - Accent2 5 6" xfId="2501"/>
    <cellStyle name="40% - Accent2 5 7" xfId="2500"/>
    <cellStyle name="40% - Accent2 5 8" xfId="2499"/>
    <cellStyle name="40% - Accent2 5 9" xfId="2498"/>
    <cellStyle name="40% - Accent2 6" xfId="2497"/>
    <cellStyle name="40% - Accent2 7" xfId="2496"/>
    <cellStyle name="40% - Accent2 8" xfId="2495"/>
    <cellStyle name="40% - Accent2 9" xfId="2494"/>
    <cellStyle name="40% - Accent3 10" xfId="2493"/>
    <cellStyle name="40% - Accent3 11" xfId="2492"/>
    <cellStyle name="40% - Accent3 12" xfId="2491"/>
    <cellStyle name="40% - Accent3 13" xfId="2490"/>
    <cellStyle name="40% - Accent3 14" xfId="2489"/>
    <cellStyle name="40% - Accent3 15" xfId="2488"/>
    <cellStyle name="40% - Accent3 16" xfId="32"/>
    <cellStyle name="40% - Accent3 2" xfId="33"/>
    <cellStyle name="40% - Accent3 2 10" xfId="2486"/>
    <cellStyle name="40% - Accent3 2 11" xfId="2485"/>
    <cellStyle name="40% - Accent3 2 12" xfId="2487"/>
    <cellStyle name="40% - Accent3 2 2" xfId="457"/>
    <cellStyle name="40% - Accent3 2 2 2" xfId="2484"/>
    <cellStyle name="40% - Accent3 2 3" xfId="2483"/>
    <cellStyle name="40% - Accent3 2 4" xfId="2482"/>
    <cellStyle name="40% - Accent3 2 5" xfId="2481"/>
    <cellStyle name="40% - Accent3 2 6" xfId="2480"/>
    <cellStyle name="40% - Accent3 2 7" xfId="2479"/>
    <cellStyle name="40% - Accent3 2 8" xfId="2478"/>
    <cellStyle name="40% - Accent3 2 9" xfId="2477"/>
    <cellStyle name="40% - Accent3 3" xfId="34"/>
    <cellStyle name="40% - Accent3 3 10" xfId="2475"/>
    <cellStyle name="40% - Accent3 3 11" xfId="2474"/>
    <cellStyle name="40% - Accent3 3 12" xfId="2476"/>
    <cellStyle name="40% - Accent3 3 2" xfId="2473"/>
    <cellStyle name="40% - Accent3 3 3" xfId="2472"/>
    <cellStyle name="40% - Accent3 3 4" xfId="2471"/>
    <cellStyle name="40% - Accent3 3 5" xfId="2470"/>
    <cellStyle name="40% - Accent3 3 6" xfId="2469"/>
    <cellStyle name="40% - Accent3 3 7" xfId="2468"/>
    <cellStyle name="40% - Accent3 3 8" xfId="2467"/>
    <cellStyle name="40% - Accent3 3 9" xfId="2466"/>
    <cellStyle name="40% - Accent3 4" xfId="2465"/>
    <cellStyle name="40% - Accent3 4 10" xfId="2464"/>
    <cellStyle name="40% - Accent3 4 11" xfId="2463"/>
    <cellStyle name="40% - Accent3 4 2" xfId="2462"/>
    <cellStyle name="40% - Accent3 4 3" xfId="2461"/>
    <cellStyle name="40% - Accent3 4 4" xfId="2460"/>
    <cellStyle name="40% - Accent3 4 5" xfId="2459"/>
    <cellStyle name="40% - Accent3 4 6" xfId="2458"/>
    <cellStyle name="40% - Accent3 4 7" xfId="2457"/>
    <cellStyle name="40% - Accent3 4 8" xfId="2456"/>
    <cellStyle name="40% - Accent3 4 9" xfId="2455"/>
    <cellStyle name="40% - Accent3 5" xfId="2454"/>
    <cellStyle name="40% - Accent3 5 10" xfId="2453"/>
    <cellStyle name="40% - Accent3 5 11" xfId="2452"/>
    <cellStyle name="40% - Accent3 5 2" xfId="2451"/>
    <cellStyle name="40% - Accent3 5 3" xfId="2450"/>
    <cellStyle name="40% - Accent3 5 4" xfId="2449"/>
    <cellStyle name="40% - Accent3 5 5" xfId="2448"/>
    <cellStyle name="40% - Accent3 5 6" xfId="2447"/>
    <cellStyle name="40% - Accent3 5 7" xfId="2446"/>
    <cellStyle name="40% - Accent3 5 8" xfId="2445"/>
    <cellStyle name="40% - Accent3 5 9" xfId="2444"/>
    <cellStyle name="40% - Accent3 6" xfId="2443"/>
    <cellStyle name="40% - Accent3 7" xfId="2442"/>
    <cellStyle name="40% - Accent3 8" xfId="2441"/>
    <cellStyle name="40% - Accent3 9" xfId="2440"/>
    <cellStyle name="40% - Accent4 10" xfId="2439"/>
    <cellStyle name="40% - Accent4 11" xfId="2438"/>
    <cellStyle name="40% - Accent4 12" xfId="2437"/>
    <cellStyle name="40% - Accent4 13" xfId="2436"/>
    <cellStyle name="40% - Accent4 14" xfId="2435"/>
    <cellStyle name="40% - Accent4 15" xfId="2434"/>
    <cellStyle name="40% - Accent4 16" xfId="35"/>
    <cellStyle name="40% - Accent4 2" xfId="36"/>
    <cellStyle name="40% - Accent4 2 10" xfId="2432"/>
    <cellStyle name="40% - Accent4 2 11" xfId="2431"/>
    <cellStyle name="40% - Accent4 2 12" xfId="2433"/>
    <cellStyle name="40% - Accent4 2 2" xfId="459"/>
    <cellStyle name="40% - Accent4 2 2 2" xfId="2430"/>
    <cellStyle name="40% - Accent4 2 3" xfId="2429"/>
    <cellStyle name="40% - Accent4 2 4" xfId="2428"/>
    <cellStyle name="40% - Accent4 2 5" xfId="2427"/>
    <cellStyle name="40% - Accent4 2 6" xfId="2426"/>
    <cellStyle name="40% - Accent4 2 7" xfId="2425"/>
    <cellStyle name="40% - Accent4 2 8" xfId="2424"/>
    <cellStyle name="40% - Accent4 2 9" xfId="2423"/>
    <cellStyle name="40% - Accent4 3" xfId="37"/>
    <cellStyle name="40% - Accent4 3 10" xfId="2421"/>
    <cellStyle name="40% - Accent4 3 11" xfId="2420"/>
    <cellStyle name="40% - Accent4 3 12" xfId="2422"/>
    <cellStyle name="40% - Accent4 3 2" xfId="2419"/>
    <cellStyle name="40% - Accent4 3 3" xfId="2418"/>
    <cellStyle name="40% - Accent4 3 4" xfId="2417"/>
    <cellStyle name="40% - Accent4 3 5" xfId="2416"/>
    <cellStyle name="40% - Accent4 3 6" xfId="2415"/>
    <cellStyle name="40% - Accent4 3 7" xfId="2414"/>
    <cellStyle name="40% - Accent4 3 8" xfId="2413"/>
    <cellStyle name="40% - Accent4 3 9" xfId="2412"/>
    <cellStyle name="40% - Accent4 4" xfId="2411"/>
    <cellStyle name="40% - Accent4 4 10" xfId="2410"/>
    <cellStyle name="40% - Accent4 4 11" xfId="2409"/>
    <cellStyle name="40% - Accent4 4 2" xfId="2408"/>
    <cellStyle name="40% - Accent4 4 3" xfId="2407"/>
    <cellStyle name="40% - Accent4 4 4" xfId="2406"/>
    <cellStyle name="40% - Accent4 4 5" xfId="2405"/>
    <cellStyle name="40% - Accent4 4 6" xfId="2404"/>
    <cellStyle name="40% - Accent4 4 7" xfId="2403"/>
    <cellStyle name="40% - Accent4 4 8" xfId="2402"/>
    <cellStyle name="40% - Accent4 4 9" xfId="2401"/>
    <cellStyle name="40% - Accent4 5" xfId="2400"/>
    <cellStyle name="40% - Accent4 5 10" xfId="2399"/>
    <cellStyle name="40% - Accent4 5 11" xfId="2398"/>
    <cellStyle name="40% - Accent4 5 2" xfId="2397"/>
    <cellStyle name="40% - Accent4 5 3" xfId="2396"/>
    <cellStyle name="40% - Accent4 5 4" xfId="2395"/>
    <cellStyle name="40% - Accent4 5 5" xfId="2394"/>
    <cellStyle name="40% - Accent4 5 6" xfId="2393"/>
    <cellStyle name="40% - Accent4 5 7" xfId="2392"/>
    <cellStyle name="40% - Accent4 5 8" xfId="2391"/>
    <cellStyle name="40% - Accent4 5 9" xfId="2390"/>
    <cellStyle name="40% - Accent4 6" xfId="2389"/>
    <cellStyle name="40% - Accent4 7" xfId="2388"/>
    <cellStyle name="40% - Accent4 8" xfId="2387"/>
    <cellStyle name="40% - Accent4 9" xfId="2386"/>
    <cellStyle name="40% - Accent5 10" xfId="2385"/>
    <cellStyle name="40% - Accent5 11" xfId="2384"/>
    <cellStyle name="40% - Accent5 12" xfId="2383"/>
    <cellStyle name="40% - Accent5 13" xfId="2382"/>
    <cellStyle name="40% - Accent5 14" xfId="2381"/>
    <cellStyle name="40% - Accent5 15" xfId="2380"/>
    <cellStyle name="40% - Accent5 16" xfId="38"/>
    <cellStyle name="40% - Accent5 2" xfId="39"/>
    <cellStyle name="40% - Accent5 2 10" xfId="2378"/>
    <cellStyle name="40% - Accent5 2 11" xfId="2377"/>
    <cellStyle name="40% - Accent5 2 12" xfId="2379"/>
    <cellStyle name="40% - Accent5 2 2" xfId="461"/>
    <cellStyle name="40% - Accent5 2 2 2" xfId="2376"/>
    <cellStyle name="40% - Accent5 2 3" xfId="2375"/>
    <cellStyle name="40% - Accent5 2 4" xfId="2374"/>
    <cellStyle name="40% - Accent5 2 5" xfId="2373"/>
    <cellStyle name="40% - Accent5 2 6" xfId="2372"/>
    <cellStyle name="40% - Accent5 2 7" xfId="2371"/>
    <cellStyle name="40% - Accent5 2 8" xfId="2370"/>
    <cellStyle name="40% - Accent5 2 9" xfId="2369"/>
    <cellStyle name="40% - Accent5 3" xfId="40"/>
    <cellStyle name="40% - Accent5 3 10" xfId="2367"/>
    <cellStyle name="40% - Accent5 3 11" xfId="2366"/>
    <cellStyle name="40% - Accent5 3 12" xfId="2368"/>
    <cellStyle name="40% - Accent5 3 2" xfId="2365"/>
    <cellStyle name="40% - Accent5 3 3" xfId="2364"/>
    <cellStyle name="40% - Accent5 3 4" xfId="2363"/>
    <cellStyle name="40% - Accent5 3 5" xfId="2362"/>
    <cellStyle name="40% - Accent5 3 6" xfId="2361"/>
    <cellStyle name="40% - Accent5 3 7" xfId="2360"/>
    <cellStyle name="40% - Accent5 3 8" xfId="2359"/>
    <cellStyle name="40% - Accent5 3 9" xfId="2358"/>
    <cellStyle name="40% - Accent5 4" xfId="2357"/>
    <cellStyle name="40% - Accent5 4 10" xfId="2356"/>
    <cellStyle name="40% - Accent5 4 11" xfId="2355"/>
    <cellStyle name="40% - Accent5 4 2" xfId="2354"/>
    <cellStyle name="40% - Accent5 4 3" xfId="2353"/>
    <cellStyle name="40% - Accent5 4 4" xfId="2352"/>
    <cellStyle name="40% - Accent5 4 5" xfId="2351"/>
    <cellStyle name="40% - Accent5 4 6" xfId="2350"/>
    <cellStyle name="40% - Accent5 4 7" xfId="2349"/>
    <cellStyle name="40% - Accent5 4 8" xfId="2348"/>
    <cellStyle name="40% - Accent5 4 9" xfId="2347"/>
    <cellStyle name="40% - Accent5 5" xfId="2346"/>
    <cellStyle name="40% - Accent5 5 10" xfId="2345"/>
    <cellStyle name="40% - Accent5 5 11" xfId="2344"/>
    <cellStyle name="40% - Accent5 5 2" xfId="2343"/>
    <cellStyle name="40% - Accent5 5 3" xfId="2342"/>
    <cellStyle name="40% - Accent5 5 4" xfId="2341"/>
    <cellStyle name="40% - Accent5 5 5" xfId="2340"/>
    <cellStyle name="40% - Accent5 5 6" xfId="2339"/>
    <cellStyle name="40% - Accent5 5 7" xfId="2338"/>
    <cellStyle name="40% - Accent5 5 8" xfId="2337"/>
    <cellStyle name="40% - Accent5 5 9" xfId="2336"/>
    <cellStyle name="40% - Accent5 6" xfId="2335"/>
    <cellStyle name="40% - Accent5 7" xfId="2334"/>
    <cellStyle name="40% - Accent5 8" xfId="2333"/>
    <cellStyle name="40% - Accent5 9" xfId="2332"/>
    <cellStyle name="40% - Accent6 10" xfId="2331"/>
    <cellStyle name="40% - Accent6 11" xfId="2330"/>
    <cellStyle name="40% - Accent6 12" xfId="2329"/>
    <cellStyle name="40% - Accent6 13" xfId="2328"/>
    <cellStyle name="40% - Accent6 14" xfId="2327"/>
    <cellStyle name="40% - Accent6 15" xfId="2326"/>
    <cellStyle name="40% - Accent6 16" xfId="41"/>
    <cellStyle name="40% - Accent6 2" xfId="42"/>
    <cellStyle name="40% - Accent6 2 10" xfId="2324"/>
    <cellStyle name="40% - Accent6 2 11" xfId="2323"/>
    <cellStyle name="40% - Accent6 2 12" xfId="2325"/>
    <cellStyle name="40% - Accent6 2 2" xfId="463"/>
    <cellStyle name="40% - Accent6 2 2 2" xfId="2322"/>
    <cellStyle name="40% - Accent6 2 3" xfId="2321"/>
    <cellStyle name="40% - Accent6 2 4" xfId="2320"/>
    <cellStyle name="40% - Accent6 2 5" xfId="2319"/>
    <cellStyle name="40% - Accent6 2 6" xfId="2318"/>
    <cellStyle name="40% - Accent6 2 7" xfId="2317"/>
    <cellStyle name="40% - Accent6 2 8" xfId="2316"/>
    <cellStyle name="40% - Accent6 2 9" xfId="2315"/>
    <cellStyle name="40% - Accent6 3" xfId="43"/>
    <cellStyle name="40% - Accent6 3 10" xfId="2313"/>
    <cellStyle name="40% - Accent6 3 11" xfId="2312"/>
    <cellStyle name="40% - Accent6 3 12" xfId="2314"/>
    <cellStyle name="40% - Accent6 3 2" xfId="2311"/>
    <cellStyle name="40% - Accent6 3 3" xfId="2310"/>
    <cellStyle name="40% - Accent6 3 4" xfId="2309"/>
    <cellStyle name="40% - Accent6 3 5" xfId="2308"/>
    <cellStyle name="40% - Accent6 3 6" xfId="2307"/>
    <cellStyle name="40% - Accent6 3 7" xfId="2306"/>
    <cellStyle name="40% - Accent6 3 8" xfId="2305"/>
    <cellStyle name="40% - Accent6 3 9" xfId="2304"/>
    <cellStyle name="40% - Accent6 4" xfId="2303"/>
    <cellStyle name="40% - Accent6 4 10" xfId="2302"/>
    <cellStyle name="40% - Accent6 4 11" xfId="2301"/>
    <cellStyle name="40% - Accent6 4 2" xfId="2300"/>
    <cellStyle name="40% - Accent6 4 3" xfId="2299"/>
    <cellStyle name="40% - Accent6 4 4" xfId="2298"/>
    <cellStyle name="40% - Accent6 4 5" xfId="2297"/>
    <cellStyle name="40% - Accent6 4 6" xfId="2296"/>
    <cellStyle name="40% - Accent6 4 7" xfId="2295"/>
    <cellStyle name="40% - Accent6 4 8" xfId="2294"/>
    <cellStyle name="40% - Accent6 4 9" xfId="2293"/>
    <cellStyle name="40% - Accent6 5" xfId="2292"/>
    <cellStyle name="40% - Accent6 5 10" xfId="2291"/>
    <cellStyle name="40% - Accent6 5 11" xfId="2290"/>
    <cellStyle name="40% - Accent6 5 2" xfId="2289"/>
    <cellStyle name="40% - Accent6 5 3" xfId="2288"/>
    <cellStyle name="40% - Accent6 5 4" xfId="2287"/>
    <cellStyle name="40% - Accent6 5 5" xfId="2286"/>
    <cellStyle name="40% - Accent6 5 6" xfId="2285"/>
    <cellStyle name="40% - Accent6 5 7" xfId="2284"/>
    <cellStyle name="40% - Accent6 5 8" xfId="2283"/>
    <cellStyle name="40% - Accent6 5 9" xfId="2282"/>
    <cellStyle name="40% - Accent6 6" xfId="2281"/>
    <cellStyle name="40% - Accent6 7" xfId="2280"/>
    <cellStyle name="40% - Accent6 8" xfId="2279"/>
    <cellStyle name="40% - Accent6 9" xfId="2278"/>
    <cellStyle name="40% - ส่วนที่ถูกเน้น1" xfId="2277"/>
    <cellStyle name="40% - ส่วนที่ถูกเน้น2" xfId="2276"/>
    <cellStyle name="40% - ส่วนที่ถูกเน้น3" xfId="2275"/>
    <cellStyle name="40% - ส่วนที่ถูกเน้น4" xfId="2274"/>
    <cellStyle name="40% - ส่วนที่ถูกเน้น5" xfId="2273"/>
    <cellStyle name="40% - ส่วนที่ถูกเน้น6" xfId="2272"/>
    <cellStyle name="60% - Accent1 10" xfId="2271"/>
    <cellStyle name="60% - Accent1 11" xfId="2270"/>
    <cellStyle name="60% - Accent1 12" xfId="2269"/>
    <cellStyle name="60% - Accent1 13" xfId="2268"/>
    <cellStyle name="60% - Accent1 14" xfId="2267"/>
    <cellStyle name="60% - Accent1 15" xfId="2266"/>
    <cellStyle name="60% - Accent1 16" xfId="44"/>
    <cellStyle name="60% - Accent1 2" xfId="45"/>
    <cellStyle name="60% - Accent1 2 10" xfId="2264"/>
    <cellStyle name="60% - Accent1 2 11" xfId="2263"/>
    <cellStyle name="60% - Accent1 2 12" xfId="2265"/>
    <cellStyle name="60% - Accent1 2 2" xfId="465"/>
    <cellStyle name="60% - Accent1 2 2 2" xfId="2262"/>
    <cellStyle name="60% - Accent1 2 3" xfId="2261"/>
    <cellStyle name="60% - Accent1 2 4" xfId="2260"/>
    <cellStyle name="60% - Accent1 2 5" xfId="2259"/>
    <cellStyle name="60% - Accent1 2 6" xfId="2258"/>
    <cellStyle name="60% - Accent1 2 7" xfId="2257"/>
    <cellStyle name="60% - Accent1 2 8" xfId="2256"/>
    <cellStyle name="60% - Accent1 2 9" xfId="2255"/>
    <cellStyle name="60% - Accent1 3" xfId="46"/>
    <cellStyle name="60% - Accent1 3 10" xfId="2253"/>
    <cellStyle name="60% - Accent1 3 11" xfId="2252"/>
    <cellStyle name="60% - Accent1 3 12" xfId="2254"/>
    <cellStyle name="60% - Accent1 3 2" xfId="2251"/>
    <cellStyle name="60% - Accent1 3 3" xfId="2250"/>
    <cellStyle name="60% - Accent1 3 4" xfId="2249"/>
    <cellStyle name="60% - Accent1 3 5" xfId="2248"/>
    <cellStyle name="60% - Accent1 3 6" xfId="2247"/>
    <cellStyle name="60% - Accent1 3 7" xfId="2246"/>
    <cellStyle name="60% - Accent1 3 8" xfId="2245"/>
    <cellStyle name="60% - Accent1 3 9" xfId="2244"/>
    <cellStyle name="60% - Accent1 4" xfId="2243"/>
    <cellStyle name="60% - Accent1 4 10" xfId="2242"/>
    <cellStyle name="60% - Accent1 4 11" xfId="2241"/>
    <cellStyle name="60% - Accent1 4 2" xfId="2240"/>
    <cellStyle name="60% - Accent1 4 3" xfId="2239"/>
    <cellStyle name="60% - Accent1 4 4" xfId="2238"/>
    <cellStyle name="60% - Accent1 4 5" xfId="2237"/>
    <cellStyle name="60% - Accent1 4 6" xfId="2236"/>
    <cellStyle name="60% - Accent1 4 7" xfId="2235"/>
    <cellStyle name="60% - Accent1 4 8" xfId="2234"/>
    <cellStyle name="60% - Accent1 4 9" xfId="2233"/>
    <cellStyle name="60% - Accent1 5" xfId="2232"/>
    <cellStyle name="60% - Accent1 5 10" xfId="2231"/>
    <cellStyle name="60% - Accent1 5 11" xfId="2230"/>
    <cellStyle name="60% - Accent1 5 2" xfId="2229"/>
    <cellStyle name="60% - Accent1 5 3" xfId="2228"/>
    <cellStyle name="60% - Accent1 5 4" xfId="2227"/>
    <cellStyle name="60% - Accent1 5 5" xfId="2226"/>
    <cellStyle name="60% - Accent1 5 6" xfId="2225"/>
    <cellStyle name="60% - Accent1 5 7" xfId="2224"/>
    <cellStyle name="60% - Accent1 5 8" xfId="2223"/>
    <cellStyle name="60% - Accent1 5 9" xfId="2222"/>
    <cellStyle name="60% - Accent1 6" xfId="2221"/>
    <cellStyle name="60% - Accent1 7" xfId="2220"/>
    <cellStyle name="60% - Accent1 8" xfId="2219"/>
    <cellStyle name="60% - Accent1 9" xfId="2218"/>
    <cellStyle name="60% - Accent2 10" xfId="2217"/>
    <cellStyle name="60% - Accent2 11" xfId="2216"/>
    <cellStyle name="60% - Accent2 12" xfId="2215"/>
    <cellStyle name="60% - Accent2 13" xfId="2214"/>
    <cellStyle name="60% - Accent2 14" xfId="2213"/>
    <cellStyle name="60% - Accent2 15" xfId="2212"/>
    <cellStyle name="60% - Accent2 16" xfId="47"/>
    <cellStyle name="60% - Accent2 2" xfId="48"/>
    <cellStyle name="60% - Accent2 2 10" xfId="2210"/>
    <cellStyle name="60% - Accent2 2 11" xfId="2209"/>
    <cellStyle name="60% - Accent2 2 12" xfId="2211"/>
    <cellStyle name="60% - Accent2 2 2" xfId="467"/>
    <cellStyle name="60% - Accent2 2 2 2" xfId="2208"/>
    <cellStyle name="60% - Accent2 2 3" xfId="2207"/>
    <cellStyle name="60% - Accent2 2 4" xfId="2206"/>
    <cellStyle name="60% - Accent2 2 5" xfId="2205"/>
    <cellStyle name="60% - Accent2 2 6" xfId="2204"/>
    <cellStyle name="60% - Accent2 2 7" xfId="2203"/>
    <cellStyle name="60% - Accent2 2 8" xfId="2202"/>
    <cellStyle name="60% - Accent2 2 9" xfId="2201"/>
    <cellStyle name="60% - Accent2 3" xfId="49"/>
    <cellStyle name="60% - Accent2 3 10" xfId="2199"/>
    <cellStyle name="60% - Accent2 3 11" xfId="2198"/>
    <cellStyle name="60% - Accent2 3 12" xfId="2200"/>
    <cellStyle name="60% - Accent2 3 2" xfId="2197"/>
    <cellStyle name="60% - Accent2 3 3" xfId="2196"/>
    <cellStyle name="60% - Accent2 3 4" xfId="2195"/>
    <cellStyle name="60% - Accent2 3 5" xfId="2194"/>
    <cellStyle name="60% - Accent2 3 6" xfId="2193"/>
    <cellStyle name="60% - Accent2 3 7" xfId="2192"/>
    <cellStyle name="60% - Accent2 3 8" xfId="2191"/>
    <cellStyle name="60% - Accent2 3 9" xfId="2190"/>
    <cellStyle name="60% - Accent2 4" xfId="2189"/>
    <cellStyle name="60% - Accent2 4 10" xfId="2188"/>
    <cellStyle name="60% - Accent2 4 11" xfId="2187"/>
    <cellStyle name="60% - Accent2 4 2" xfId="2186"/>
    <cellStyle name="60% - Accent2 4 3" xfId="2185"/>
    <cellStyle name="60% - Accent2 4 4" xfId="2184"/>
    <cellStyle name="60% - Accent2 4 5" xfId="2183"/>
    <cellStyle name="60% - Accent2 4 6" xfId="2182"/>
    <cellStyle name="60% - Accent2 4 7" xfId="2181"/>
    <cellStyle name="60% - Accent2 4 8" xfId="2180"/>
    <cellStyle name="60% - Accent2 4 9" xfId="2179"/>
    <cellStyle name="60% - Accent2 5" xfId="2178"/>
    <cellStyle name="60% - Accent2 5 10" xfId="2177"/>
    <cellStyle name="60% - Accent2 5 11" xfId="2176"/>
    <cellStyle name="60% - Accent2 5 2" xfId="2175"/>
    <cellStyle name="60% - Accent2 5 3" xfId="2174"/>
    <cellStyle name="60% - Accent2 5 4" xfId="2173"/>
    <cellStyle name="60% - Accent2 5 5" xfId="2172"/>
    <cellStyle name="60% - Accent2 5 6" xfId="2171"/>
    <cellStyle name="60% - Accent2 5 7" xfId="2170"/>
    <cellStyle name="60% - Accent2 5 8" xfId="2169"/>
    <cellStyle name="60% - Accent2 5 9" xfId="2168"/>
    <cellStyle name="60% - Accent2 6" xfId="2167"/>
    <cellStyle name="60% - Accent2 7" xfId="2166"/>
    <cellStyle name="60% - Accent2 8" xfId="2165"/>
    <cellStyle name="60% - Accent2 9" xfId="2164"/>
    <cellStyle name="60% - Accent3 10" xfId="2163"/>
    <cellStyle name="60% - Accent3 11" xfId="2162"/>
    <cellStyle name="60% - Accent3 12" xfId="2161"/>
    <cellStyle name="60% - Accent3 13" xfId="2160"/>
    <cellStyle name="60% - Accent3 14" xfId="2159"/>
    <cellStyle name="60% - Accent3 15" xfId="2158"/>
    <cellStyle name="60% - Accent3 16" xfId="50"/>
    <cellStyle name="60% - Accent3 2" xfId="51"/>
    <cellStyle name="60% - Accent3 2 10" xfId="2156"/>
    <cellStyle name="60% - Accent3 2 11" xfId="2155"/>
    <cellStyle name="60% - Accent3 2 12" xfId="2157"/>
    <cellStyle name="60% - Accent3 2 2" xfId="469"/>
    <cellStyle name="60% - Accent3 2 2 2" xfId="2154"/>
    <cellStyle name="60% - Accent3 2 3" xfId="2153"/>
    <cellStyle name="60% - Accent3 2 4" xfId="2152"/>
    <cellStyle name="60% - Accent3 2 5" xfId="2151"/>
    <cellStyle name="60% - Accent3 2 6" xfId="2150"/>
    <cellStyle name="60% - Accent3 2 7" xfId="2149"/>
    <cellStyle name="60% - Accent3 2 8" xfId="2148"/>
    <cellStyle name="60% - Accent3 2 9" xfId="2147"/>
    <cellStyle name="60% - Accent3 3" xfId="52"/>
    <cellStyle name="60% - Accent3 3 10" xfId="2145"/>
    <cellStyle name="60% - Accent3 3 11" xfId="2144"/>
    <cellStyle name="60% - Accent3 3 12" xfId="2146"/>
    <cellStyle name="60% - Accent3 3 2" xfId="2143"/>
    <cellStyle name="60% - Accent3 3 3" xfId="2142"/>
    <cellStyle name="60% - Accent3 3 4" xfId="2141"/>
    <cellStyle name="60% - Accent3 3 5" xfId="2140"/>
    <cellStyle name="60% - Accent3 3 6" xfId="2139"/>
    <cellStyle name="60% - Accent3 3 7" xfId="2138"/>
    <cellStyle name="60% - Accent3 3 8" xfId="2137"/>
    <cellStyle name="60% - Accent3 3 9" xfId="2136"/>
    <cellStyle name="60% - Accent3 4" xfId="2135"/>
    <cellStyle name="60% - Accent3 4 10" xfId="2134"/>
    <cellStyle name="60% - Accent3 4 11" xfId="2133"/>
    <cellStyle name="60% - Accent3 4 2" xfId="2132"/>
    <cellStyle name="60% - Accent3 4 3" xfId="2131"/>
    <cellStyle name="60% - Accent3 4 4" xfId="2130"/>
    <cellStyle name="60% - Accent3 4 5" xfId="2129"/>
    <cellStyle name="60% - Accent3 4 6" xfId="2128"/>
    <cellStyle name="60% - Accent3 4 7" xfId="2127"/>
    <cellStyle name="60% - Accent3 4 8" xfId="2126"/>
    <cellStyle name="60% - Accent3 4 9" xfId="2125"/>
    <cellStyle name="60% - Accent3 5" xfId="2124"/>
    <cellStyle name="60% - Accent3 5 10" xfId="2123"/>
    <cellStyle name="60% - Accent3 5 11" xfId="2122"/>
    <cellStyle name="60% - Accent3 5 2" xfId="2121"/>
    <cellStyle name="60% - Accent3 5 3" xfId="2120"/>
    <cellStyle name="60% - Accent3 5 4" xfId="2119"/>
    <cellStyle name="60% - Accent3 5 5" xfId="2118"/>
    <cellStyle name="60% - Accent3 5 6" xfId="2117"/>
    <cellStyle name="60% - Accent3 5 7" xfId="2116"/>
    <cellStyle name="60% - Accent3 5 8" xfId="2115"/>
    <cellStyle name="60% - Accent3 5 9" xfId="2114"/>
    <cellStyle name="60% - Accent3 6" xfId="2113"/>
    <cellStyle name="60% - Accent3 7" xfId="2112"/>
    <cellStyle name="60% - Accent3 8" xfId="2111"/>
    <cellStyle name="60% - Accent3 9" xfId="2110"/>
    <cellStyle name="60% - Accent4 10" xfId="2109"/>
    <cellStyle name="60% - Accent4 11" xfId="2108"/>
    <cellStyle name="60% - Accent4 12" xfId="2107"/>
    <cellStyle name="60% - Accent4 13" xfId="2106"/>
    <cellStyle name="60% - Accent4 14" xfId="2105"/>
    <cellStyle name="60% - Accent4 15" xfId="2104"/>
    <cellStyle name="60% - Accent4 16" xfId="53"/>
    <cellStyle name="60% - Accent4 2" xfId="54"/>
    <cellStyle name="60% - Accent4 2 10" xfId="2102"/>
    <cellStyle name="60% - Accent4 2 11" xfId="2101"/>
    <cellStyle name="60% - Accent4 2 12" xfId="2103"/>
    <cellStyle name="60% - Accent4 2 2" xfId="471"/>
    <cellStyle name="60% - Accent4 2 2 2" xfId="2100"/>
    <cellStyle name="60% - Accent4 2 3" xfId="2099"/>
    <cellStyle name="60% - Accent4 2 4" xfId="2098"/>
    <cellStyle name="60% - Accent4 2 5" xfId="2097"/>
    <cellStyle name="60% - Accent4 2 6" xfId="2096"/>
    <cellStyle name="60% - Accent4 2 7" xfId="2095"/>
    <cellStyle name="60% - Accent4 2 8" xfId="2094"/>
    <cellStyle name="60% - Accent4 2 9" xfId="2093"/>
    <cellStyle name="60% - Accent4 3" xfId="55"/>
    <cellStyle name="60% - Accent4 3 10" xfId="2091"/>
    <cellStyle name="60% - Accent4 3 11" xfId="2090"/>
    <cellStyle name="60% - Accent4 3 12" xfId="2092"/>
    <cellStyle name="60% - Accent4 3 2" xfId="2089"/>
    <cellStyle name="60% - Accent4 3 3" xfId="2088"/>
    <cellStyle name="60% - Accent4 3 4" xfId="2087"/>
    <cellStyle name="60% - Accent4 3 5" xfId="2086"/>
    <cellStyle name="60% - Accent4 3 6" xfId="2085"/>
    <cellStyle name="60% - Accent4 3 7" xfId="2084"/>
    <cellStyle name="60% - Accent4 3 8" xfId="2083"/>
    <cellStyle name="60% - Accent4 3 9" xfId="2082"/>
    <cellStyle name="60% - Accent4 4" xfId="2081"/>
    <cellStyle name="60% - Accent4 4 10" xfId="2080"/>
    <cellStyle name="60% - Accent4 4 11" xfId="2079"/>
    <cellStyle name="60% - Accent4 4 2" xfId="2078"/>
    <cellStyle name="60% - Accent4 4 3" xfId="2077"/>
    <cellStyle name="60% - Accent4 4 4" xfId="2076"/>
    <cellStyle name="60% - Accent4 4 5" xfId="2075"/>
    <cellStyle name="60% - Accent4 4 6" xfId="2074"/>
    <cellStyle name="60% - Accent4 4 7" xfId="2073"/>
    <cellStyle name="60% - Accent4 4 8" xfId="2072"/>
    <cellStyle name="60% - Accent4 4 9" xfId="2071"/>
    <cellStyle name="60% - Accent4 5" xfId="2070"/>
    <cellStyle name="60% - Accent4 5 10" xfId="2069"/>
    <cellStyle name="60% - Accent4 5 11" xfId="2068"/>
    <cellStyle name="60% - Accent4 5 2" xfId="2067"/>
    <cellStyle name="60% - Accent4 5 3" xfId="2066"/>
    <cellStyle name="60% - Accent4 5 4" xfId="2065"/>
    <cellStyle name="60% - Accent4 5 5" xfId="2064"/>
    <cellStyle name="60% - Accent4 5 6" xfId="2063"/>
    <cellStyle name="60% - Accent4 5 7" xfId="2062"/>
    <cellStyle name="60% - Accent4 5 8" xfId="2061"/>
    <cellStyle name="60% - Accent4 5 9" xfId="2060"/>
    <cellStyle name="60% - Accent4 6" xfId="2059"/>
    <cellStyle name="60% - Accent4 7" xfId="2058"/>
    <cellStyle name="60% - Accent4 8" xfId="2057"/>
    <cellStyle name="60% - Accent4 9" xfId="2056"/>
    <cellStyle name="60% - Accent5 10" xfId="2055"/>
    <cellStyle name="60% - Accent5 11" xfId="2054"/>
    <cellStyle name="60% - Accent5 12" xfId="2053"/>
    <cellStyle name="60% - Accent5 13" xfId="2052"/>
    <cellStyle name="60% - Accent5 14" xfId="2051"/>
    <cellStyle name="60% - Accent5 15" xfId="2050"/>
    <cellStyle name="60% - Accent5 16" xfId="56"/>
    <cellStyle name="60% - Accent5 2" xfId="57"/>
    <cellStyle name="60% - Accent5 2 10" xfId="2048"/>
    <cellStyle name="60% - Accent5 2 11" xfId="2047"/>
    <cellStyle name="60% - Accent5 2 12" xfId="2049"/>
    <cellStyle name="60% - Accent5 2 2" xfId="473"/>
    <cellStyle name="60% - Accent5 2 2 2" xfId="2046"/>
    <cellStyle name="60% - Accent5 2 3" xfId="2045"/>
    <cellStyle name="60% - Accent5 2 4" xfId="2044"/>
    <cellStyle name="60% - Accent5 2 5" xfId="2043"/>
    <cellStyle name="60% - Accent5 2 6" xfId="2042"/>
    <cellStyle name="60% - Accent5 2 7" xfId="2041"/>
    <cellStyle name="60% - Accent5 2 8" xfId="2040"/>
    <cellStyle name="60% - Accent5 2 9" xfId="2039"/>
    <cellStyle name="60% - Accent5 3" xfId="58"/>
    <cellStyle name="60% - Accent5 3 10" xfId="2037"/>
    <cellStyle name="60% - Accent5 3 11" xfId="2036"/>
    <cellStyle name="60% - Accent5 3 12" xfId="2038"/>
    <cellStyle name="60% - Accent5 3 2" xfId="2035"/>
    <cellStyle name="60% - Accent5 3 3" xfId="2034"/>
    <cellStyle name="60% - Accent5 3 4" xfId="2033"/>
    <cellStyle name="60% - Accent5 3 5" xfId="2032"/>
    <cellStyle name="60% - Accent5 3 6" xfId="2031"/>
    <cellStyle name="60% - Accent5 3 7" xfId="2030"/>
    <cellStyle name="60% - Accent5 3 8" xfId="2029"/>
    <cellStyle name="60% - Accent5 3 9" xfId="2028"/>
    <cellStyle name="60% - Accent5 4" xfId="2027"/>
    <cellStyle name="60% - Accent5 4 10" xfId="2026"/>
    <cellStyle name="60% - Accent5 4 11" xfId="2025"/>
    <cellStyle name="60% - Accent5 4 2" xfId="2024"/>
    <cellStyle name="60% - Accent5 4 3" xfId="2023"/>
    <cellStyle name="60% - Accent5 4 4" xfId="2022"/>
    <cellStyle name="60% - Accent5 4 5" xfId="2021"/>
    <cellStyle name="60% - Accent5 4 6" xfId="2020"/>
    <cellStyle name="60% - Accent5 4 7" xfId="2019"/>
    <cellStyle name="60% - Accent5 4 8" xfId="2018"/>
    <cellStyle name="60% - Accent5 4 9" xfId="2017"/>
    <cellStyle name="60% - Accent5 5" xfId="2016"/>
    <cellStyle name="60% - Accent5 5 10" xfId="2015"/>
    <cellStyle name="60% - Accent5 5 11" xfId="2014"/>
    <cellStyle name="60% - Accent5 5 2" xfId="2013"/>
    <cellStyle name="60% - Accent5 5 3" xfId="2012"/>
    <cellStyle name="60% - Accent5 5 4" xfId="2011"/>
    <cellStyle name="60% - Accent5 5 5" xfId="2010"/>
    <cellStyle name="60% - Accent5 5 6" xfId="2009"/>
    <cellStyle name="60% - Accent5 5 7" xfId="2008"/>
    <cellStyle name="60% - Accent5 5 8" xfId="2007"/>
    <cellStyle name="60% - Accent5 5 9" xfId="2006"/>
    <cellStyle name="60% - Accent5 6" xfId="2005"/>
    <cellStyle name="60% - Accent5 7" xfId="2004"/>
    <cellStyle name="60% - Accent5 8" xfId="2003"/>
    <cellStyle name="60% - Accent5 9" xfId="2002"/>
    <cellStyle name="60% - Accent6 10" xfId="2001"/>
    <cellStyle name="60% - Accent6 11" xfId="2000"/>
    <cellStyle name="60% - Accent6 12" xfId="1999"/>
    <cellStyle name="60% - Accent6 13" xfId="1998"/>
    <cellStyle name="60% - Accent6 14" xfId="1997"/>
    <cellStyle name="60% - Accent6 15" xfId="1996"/>
    <cellStyle name="60% - Accent6 16" xfId="59"/>
    <cellStyle name="60% - Accent6 2" xfId="60"/>
    <cellStyle name="60% - Accent6 2 10" xfId="1994"/>
    <cellStyle name="60% - Accent6 2 11" xfId="1993"/>
    <cellStyle name="60% - Accent6 2 12" xfId="1995"/>
    <cellStyle name="60% - Accent6 2 2" xfId="475"/>
    <cellStyle name="60% - Accent6 2 2 2" xfId="1992"/>
    <cellStyle name="60% - Accent6 2 3" xfId="1991"/>
    <cellStyle name="60% - Accent6 2 4" xfId="1990"/>
    <cellStyle name="60% - Accent6 2 5" xfId="1989"/>
    <cellStyle name="60% - Accent6 2 6" xfId="1988"/>
    <cellStyle name="60% - Accent6 2 7" xfId="1987"/>
    <cellStyle name="60% - Accent6 2 8" xfId="1986"/>
    <cellStyle name="60% - Accent6 2 9" xfId="1985"/>
    <cellStyle name="60% - Accent6 3" xfId="61"/>
    <cellStyle name="60% - Accent6 3 10" xfId="1983"/>
    <cellStyle name="60% - Accent6 3 11" xfId="1982"/>
    <cellStyle name="60% - Accent6 3 12" xfId="1984"/>
    <cellStyle name="60% - Accent6 3 2" xfId="1981"/>
    <cellStyle name="60% - Accent6 3 3" xfId="1980"/>
    <cellStyle name="60% - Accent6 3 4" xfId="1979"/>
    <cellStyle name="60% - Accent6 3 5" xfId="1978"/>
    <cellStyle name="60% - Accent6 3 6" xfId="1977"/>
    <cellStyle name="60% - Accent6 3 7" xfId="1976"/>
    <cellStyle name="60% - Accent6 3 8" xfId="1975"/>
    <cellStyle name="60% - Accent6 3 9" xfId="1974"/>
    <cellStyle name="60% - Accent6 4" xfId="1973"/>
    <cellStyle name="60% - Accent6 4 10" xfId="1972"/>
    <cellStyle name="60% - Accent6 4 11" xfId="1971"/>
    <cellStyle name="60% - Accent6 4 2" xfId="1970"/>
    <cellStyle name="60% - Accent6 4 3" xfId="1969"/>
    <cellStyle name="60% - Accent6 4 4" xfId="1968"/>
    <cellStyle name="60% - Accent6 4 5" xfId="1967"/>
    <cellStyle name="60% - Accent6 4 6" xfId="1966"/>
    <cellStyle name="60% - Accent6 4 7" xfId="1965"/>
    <cellStyle name="60% - Accent6 4 8" xfId="1964"/>
    <cellStyle name="60% - Accent6 4 9" xfId="1963"/>
    <cellStyle name="60% - Accent6 5" xfId="1962"/>
    <cellStyle name="60% - Accent6 5 10" xfId="1961"/>
    <cellStyle name="60% - Accent6 5 11" xfId="1960"/>
    <cellStyle name="60% - Accent6 5 2" xfId="1959"/>
    <cellStyle name="60% - Accent6 5 3" xfId="1958"/>
    <cellStyle name="60% - Accent6 5 4" xfId="1957"/>
    <cellStyle name="60% - Accent6 5 5" xfId="1956"/>
    <cellStyle name="60% - Accent6 5 6" xfId="1955"/>
    <cellStyle name="60% - Accent6 5 7" xfId="1954"/>
    <cellStyle name="60% - Accent6 5 8" xfId="1953"/>
    <cellStyle name="60% - Accent6 5 9" xfId="1952"/>
    <cellStyle name="60% - Accent6 6" xfId="1951"/>
    <cellStyle name="60% - Accent6 7" xfId="1950"/>
    <cellStyle name="60% - Accent6 8" xfId="1949"/>
    <cellStyle name="60% - Accent6 9" xfId="1948"/>
    <cellStyle name="60% - ส่วนที่ถูกเน้น1" xfId="1947"/>
    <cellStyle name="60% - ส่วนที่ถูกเน้น2" xfId="1946"/>
    <cellStyle name="60% - ส่วนที่ถูกเน้น3" xfId="1945"/>
    <cellStyle name="60% - ส่วนที่ถูกเน้น4" xfId="1944"/>
    <cellStyle name="60% - ส่วนที่ถูกเน้น5" xfId="1943"/>
    <cellStyle name="60% - ส่วนที่ถูกเน้น6" xfId="1942"/>
    <cellStyle name="75" xfId="62"/>
    <cellStyle name="75 2" xfId="63"/>
    <cellStyle name="Accent1 - 20%" xfId="479"/>
    <cellStyle name="Accent1 - 40%" xfId="480"/>
    <cellStyle name="Accent1 - 60%" xfId="481"/>
    <cellStyle name="Accent1 10" xfId="482"/>
    <cellStyle name="Accent1 10 2" xfId="1941"/>
    <cellStyle name="Accent1 100" xfId="483"/>
    <cellStyle name="Accent1 101" xfId="484"/>
    <cellStyle name="Accent1 102" xfId="485"/>
    <cellStyle name="Accent1 103" xfId="486"/>
    <cellStyle name="Accent1 104" xfId="487"/>
    <cellStyle name="Accent1 105" xfId="488"/>
    <cellStyle name="Accent1 106" xfId="489"/>
    <cellStyle name="Accent1 107" xfId="490"/>
    <cellStyle name="Accent1 108" xfId="64"/>
    <cellStyle name="Accent1 11" xfId="491"/>
    <cellStyle name="Accent1 11 2" xfId="1940"/>
    <cellStyle name="Accent1 12" xfId="492"/>
    <cellStyle name="Accent1 12 2" xfId="1939"/>
    <cellStyle name="Accent1 13" xfId="493"/>
    <cellStyle name="Accent1 13 2" xfId="1938"/>
    <cellStyle name="Accent1 14" xfId="494"/>
    <cellStyle name="Accent1 14 2" xfId="1937"/>
    <cellStyle name="Accent1 15" xfId="495"/>
    <cellStyle name="Accent1 15 2" xfId="1936"/>
    <cellStyle name="Accent1 16" xfId="496"/>
    <cellStyle name="Accent1 17" xfId="497"/>
    <cellStyle name="Accent1 18" xfId="498"/>
    <cellStyle name="Accent1 19" xfId="499"/>
    <cellStyle name="Accent1 2" xfId="65"/>
    <cellStyle name="Accent1 2 10" xfId="1934"/>
    <cellStyle name="Accent1 2 11" xfId="1933"/>
    <cellStyle name="Accent1 2 12" xfId="1935"/>
    <cellStyle name="Accent1 2 2" xfId="500"/>
    <cellStyle name="Accent1 2 2 2" xfId="1932"/>
    <cellStyle name="Accent1 2 3" xfId="1931"/>
    <cellStyle name="Accent1 2 4" xfId="1930"/>
    <cellStyle name="Accent1 2 5" xfId="1929"/>
    <cellStyle name="Accent1 2 6" xfId="1928"/>
    <cellStyle name="Accent1 2 7" xfId="1927"/>
    <cellStyle name="Accent1 2 8" xfId="1926"/>
    <cellStyle name="Accent1 2 9" xfId="1925"/>
    <cellStyle name="Accent1 20" xfId="501"/>
    <cellStyle name="Accent1 21" xfId="502"/>
    <cellStyle name="Accent1 22" xfId="503"/>
    <cellStyle name="Accent1 23" xfId="504"/>
    <cellStyle name="Accent1 24" xfId="505"/>
    <cellStyle name="Accent1 25" xfId="506"/>
    <cellStyle name="Accent1 26" xfId="507"/>
    <cellStyle name="Accent1 27" xfId="508"/>
    <cellStyle name="Accent1 28" xfId="509"/>
    <cellStyle name="Accent1 29" xfId="510"/>
    <cellStyle name="Accent1 3" xfId="66"/>
    <cellStyle name="Accent1 3 10" xfId="1923"/>
    <cellStyle name="Accent1 3 11" xfId="1922"/>
    <cellStyle name="Accent1 3 12" xfId="1924"/>
    <cellStyle name="Accent1 3 2" xfId="1921"/>
    <cellStyle name="Accent1 3 3" xfId="1920"/>
    <cellStyle name="Accent1 3 4" xfId="1919"/>
    <cellStyle name="Accent1 3 5" xfId="1918"/>
    <cellStyle name="Accent1 3 6" xfId="1917"/>
    <cellStyle name="Accent1 3 7" xfId="1916"/>
    <cellStyle name="Accent1 3 8" xfId="1915"/>
    <cellStyle name="Accent1 3 9" xfId="1914"/>
    <cellStyle name="Accent1 30" xfId="512"/>
    <cellStyle name="Accent1 31" xfId="513"/>
    <cellStyle name="Accent1 32" xfId="514"/>
    <cellStyle name="Accent1 33" xfId="515"/>
    <cellStyle name="Accent1 34" xfId="516"/>
    <cellStyle name="Accent1 35" xfId="517"/>
    <cellStyle name="Accent1 36" xfId="518"/>
    <cellStyle name="Accent1 37" xfId="519"/>
    <cellStyle name="Accent1 38" xfId="520"/>
    <cellStyle name="Accent1 39" xfId="521"/>
    <cellStyle name="Accent1 4" xfId="522"/>
    <cellStyle name="Accent1 4 10" xfId="1912"/>
    <cellStyle name="Accent1 4 11" xfId="1911"/>
    <cellStyle name="Accent1 4 12" xfId="1913"/>
    <cellStyle name="Accent1 4 2" xfId="1910"/>
    <cellStyle name="Accent1 4 3" xfId="1909"/>
    <cellStyle name="Accent1 4 4" xfId="1908"/>
    <cellStyle name="Accent1 4 5" xfId="1907"/>
    <cellStyle name="Accent1 4 6" xfId="1906"/>
    <cellStyle name="Accent1 4 7" xfId="1905"/>
    <cellStyle name="Accent1 4 8" xfId="1904"/>
    <cellStyle name="Accent1 4 9" xfId="1903"/>
    <cellStyle name="Accent1 40" xfId="523"/>
    <cellStyle name="Accent1 41" xfId="524"/>
    <cellStyle name="Accent1 42" xfId="525"/>
    <cellStyle name="Accent1 43" xfId="526"/>
    <cellStyle name="Accent1 44" xfId="527"/>
    <cellStyle name="Accent1 45" xfId="528"/>
    <cellStyle name="Accent1 46" xfId="529"/>
    <cellStyle name="Accent1 47" xfId="530"/>
    <cellStyle name="Accent1 48" xfId="531"/>
    <cellStyle name="Accent1 49" xfId="532"/>
    <cellStyle name="Accent1 5" xfId="533"/>
    <cellStyle name="Accent1 5 10" xfId="1901"/>
    <cellStyle name="Accent1 5 11" xfId="1900"/>
    <cellStyle name="Accent1 5 12" xfId="1902"/>
    <cellStyle name="Accent1 5 2" xfId="1899"/>
    <cellStyle name="Accent1 5 3" xfId="1898"/>
    <cellStyle name="Accent1 5 4" xfId="1897"/>
    <cellStyle name="Accent1 5 5" xfId="1896"/>
    <cellStyle name="Accent1 5 6" xfId="1895"/>
    <cellStyle name="Accent1 5 7" xfId="1894"/>
    <cellStyle name="Accent1 5 8" xfId="1893"/>
    <cellStyle name="Accent1 5 9" xfId="1892"/>
    <cellStyle name="Accent1 50" xfId="534"/>
    <cellStyle name="Accent1 51" xfId="535"/>
    <cellStyle name="Accent1 52" xfId="536"/>
    <cellStyle name="Accent1 53" xfId="537"/>
    <cellStyle name="Accent1 54" xfId="538"/>
    <cellStyle name="Accent1 55" xfId="539"/>
    <cellStyle name="Accent1 56" xfId="540"/>
    <cellStyle name="Accent1 57" xfId="541"/>
    <cellStyle name="Accent1 58" xfId="542"/>
    <cellStyle name="Accent1 59" xfId="543"/>
    <cellStyle name="Accent1 6" xfId="544"/>
    <cellStyle name="Accent1 6 2" xfId="1891"/>
    <cellStyle name="Accent1 60" xfId="545"/>
    <cellStyle name="Accent1 61" xfId="546"/>
    <cellStyle name="Accent1 62" xfId="547"/>
    <cellStyle name="Accent1 63" xfId="548"/>
    <cellStyle name="Accent1 64" xfId="549"/>
    <cellStyle name="Accent1 65" xfId="550"/>
    <cellStyle name="Accent1 66" xfId="551"/>
    <cellStyle name="Accent1 67" xfId="552"/>
    <cellStyle name="Accent1 68" xfId="553"/>
    <cellStyle name="Accent1 69" xfId="554"/>
    <cellStyle name="Accent1 7" xfId="555"/>
    <cellStyle name="Accent1 7 2" xfId="1890"/>
    <cellStyle name="Accent1 70" xfId="556"/>
    <cellStyle name="Accent1 71" xfId="557"/>
    <cellStyle name="Accent1 72" xfId="558"/>
    <cellStyle name="Accent1 73" xfId="559"/>
    <cellStyle name="Accent1 74" xfId="560"/>
    <cellStyle name="Accent1 75" xfId="561"/>
    <cellStyle name="Accent1 76" xfId="562"/>
    <cellStyle name="Accent1 77" xfId="563"/>
    <cellStyle name="Accent1 78" xfId="564"/>
    <cellStyle name="Accent1 79" xfId="565"/>
    <cellStyle name="Accent1 8" xfId="566"/>
    <cellStyle name="Accent1 8 2" xfId="1889"/>
    <cellStyle name="Accent1 80" xfId="567"/>
    <cellStyle name="Accent1 81" xfId="568"/>
    <cellStyle name="Accent1 82" xfId="569"/>
    <cellStyle name="Accent1 83" xfId="570"/>
    <cellStyle name="Accent1 84" xfId="571"/>
    <cellStyle name="Accent1 85" xfId="572"/>
    <cellStyle name="Accent1 86" xfId="573"/>
    <cellStyle name="Accent1 87" xfId="574"/>
    <cellStyle name="Accent1 88" xfId="575"/>
    <cellStyle name="Accent1 89" xfId="576"/>
    <cellStyle name="Accent1 9" xfId="577"/>
    <cellStyle name="Accent1 9 2" xfId="1888"/>
    <cellStyle name="Accent1 90" xfId="578"/>
    <cellStyle name="Accent1 91" xfId="579"/>
    <cellStyle name="Accent1 92" xfId="580"/>
    <cellStyle name="Accent1 93" xfId="581"/>
    <cellStyle name="Accent1 94" xfId="582"/>
    <cellStyle name="Accent1 95" xfId="583"/>
    <cellStyle name="Accent1 96" xfId="584"/>
    <cellStyle name="Accent1 97" xfId="585"/>
    <cellStyle name="Accent1 98" xfId="586"/>
    <cellStyle name="Accent1 99" xfId="587"/>
    <cellStyle name="Accent2 - 20%" xfId="588"/>
    <cellStyle name="Accent2 - 40%" xfId="589"/>
    <cellStyle name="Accent2 - 60%" xfId="590"/>
    <cellStyle name="Accent2 10" xfId="591"/>
    <cellStyle name="Accent2 10 2" xfId="1887"/>
    <cellStyle name="Accent2 100" xfId="592"/>
    <cellStyle name="Accent2 101" xfId="593"/>
    <cellStyle name="Accent2 102" xfId="594"/>
    <cellStyle name="Accent2 103" xfId="595"/>
    <cellStyle name="Accent2 104" xfId="596"/>
    <cellStyle name="Accent2 105" xfId="597"/>
    <cellStyle name="Accent2 106" xfId="598"/>
    <cellStyle name="Accent2 107" xfId="599"/>
    <cellStyle name="Accent2 108" xfId="67"/>
    <cellStyle name="Accent2 11" xfId="600"/>
    <cellStyle name="Accent2 11 2" xfId="1886"/>
    <cellStyle name="Accent2 12" xfId="601"/>
    <cellStyle name="Accent2 12 2" xfId="1885"/>
    <cellStyle name="Accent2 13" xfId="602"/>
    <cellStyle name="Accent2 13 2" xfId="1884"/>
    <cellStyle name="Accent2 14" xfId="603"/>
    <cellStyle name="Accent2 14 2" xfId="1883"/>
    <cellStyle name="Accent2 15" xfId="604"/>
    <cellStyle name="Accent2 15 2" xfId="1882"/>
    <cellStyle name="Accent2 16" xfId="605"/>
    <cellStyle name="Accent2 17" xfId="606"/>
    <cellStyle name="Accent2 18" xfId="607"/>
    <cellStyle name="Accent2 19" xfId="608"/>
    <cellStyle name="Accent2 2" xfId="68"/>
    <cellStyle name="Accent2 2 10" xfId="1880"/>
    <cellStyle name="Accent2 2 11" xfId="1879"/>
    <cellStyle name="Accent2 2 12" xfId="1881"/>
    <cellStyle name="Accent2 2 2" xfId="609"/>
    <cellStyle name="Accent2 2 2 2" xfId="1878"/>
    <cellStyle name="Accent2 2 3" xfId="1877"/>
    <cellStyle name="Accent2 2 4" xfId="1876"/>
    <cellStyle name="Accent2 2 5" xfId="1875"/>
    <cellStyle name="Accent2 2 6" xfId="1874"/>
    <cellStyle name="Accent2 2 7" xfId="1873"/>
    <cellStyle name="Accent2 2 8" xfId="1872"/>
    <cellStyle name="Accent2 2 9" xfId="1871"/>
    <cellStyle name="Accent2 20" xfId="610"/>
    <cellStyle name="Accent2 21" xfId="611"/>
    <cellStyle name="Accent2 22" xfId="612"/>
    <cellStyle name="Accent2 23" xfId="613"/>
    <cellStyle name="Accent2 24" xfId="614"/>
    <cellStyle name="Accent2 25" xfId="615"/>
    <cellStyle name="Accent2 26" xfId="616"/>
    <cellStyle name="Accent2 27" xfId="617"/>
    <cellStyle name="Accent2 28" xfId="618"/>
    <cellStyle name="Accent2 29" xfId="619"/>
    <cellStyle name="Accent2 3" xfId="69"/>
    <cellStyle name="Accent2 3 10" xfId="1869"/>
    <cellStyle name="Accent2 3 11" xfId="1868"/>
    <cellStyle name="Accent2 3 12" xfId="1870"/>
    <cellStyle name="Accent2 3 2" xfId="1867"/>
    <cellStyle name="Accent2 3 3" xfId="1866"/>
    <cellStyle name="Accent2 3 4" xfId="1865"/>
    <cellStyle name="Accent2 3 5" xfId="1864"/>
    <cellStyle name="Accent2 3 6" xfId="1863"/>
    <cellStyle name="Accent2 3 7" xfId="1862"/>
    <cellStyle name="Accent2 3 8" xfId="1861"/>
    <cellStyle name="Accent2 3 9" xfId="1860"/>
    <cellStyle name="Accent2 30" xfId="621"/>
    <cellStyle name="Accent2 31" xfId="622"/>
    <cellStyle name="Accent2 32" xfId="623"/>
    <cellStyle name="Accent2 33" xfId="624"/>
    <cellStyle name="Accent2 34" xfId="625"/>
    <cellStyle name="Accent2 35" xfId="626"/>
    <cellStyle name="Accent2 36" xfId="627"/>
    <cellStyle name="Accent2 37" xfId="628"/>
    <cellStyle name="Accent2 38" xfId="629"/>
    <cellStyle name="Accent2 39" xfId="630"/>
    <cellStyle name="Accent2 4" xfId="631"/>
    <cellStyle name="Accent2 4 10" xfId="1858"/>
    <cellStyle name="Accent2 4 11" xfId="1857"/>
    <cellStyle name="Accent2 4 12" xfId="1859"/>
    <cellStyle name="Accent2 4 2" xfId="1856"/>
    <cellStyle name="Accent2 4 3" xfId="1855"/>
    <cellStyle name="Accent2 4 4" xfId="1854"/>
    <cellStyle name="Accent2 4 5" xfId="1853"/>
    <cellStyle name="Accent2 4 6" xfId="1852"/>
    <cellStyle name="Accent2 4 7" xfId="1851"/>
    <cellStyle name="Accent2 4 8" xfId="1850"/>
    <cellStyle name="Accent2 4 9" xfId="1849"/>
    <cellStyle name="Accent2 40" xfId="632"/>
    <cellStyle name="Accent2 41" xfId="633"/>
    <cellStyle name="Accent2 42" xfId="634"/>
    <cellStyle name="Accent2 43" xfId="635"/>
    <cellStyle name="Accent2 44" xfId="636"/>
    <cellStyle name="Accent2 45" xfId="637"/>
    <cellStyle name="Accent2 46" xfId="638"/>
    <cellStyle name="Accent2 47" xfId="639"/>
    <cellStyle name="Accent2 48" xfId="640"/>
    <cellStyle name="Accent2 49" xfId="641"/>
    <cellStyle name="Accent2 5" xfId="642"/>
    <cellStyle name="Accent2 5 10" xfId="1847"/>
    <cellStyle name="Accent2 5 11" xfId="1846"/>
    <cellStyle name="Accent2 5 12" xfId="1848"/>
    <cellStyle name="Accent2 5 2" xfId="1845"/>
    <cellStyle name="Accent2 5 3" xfId="1844"/>
    <cellStyle name="Accent2 5 4" xfId="1843"/>
    <cellStyle name="Accent2 5 5" xfId="1842"/>
    <cellStyle name="Accent2 5 6" xfId="1841"/>
    <cellStyle name="Accent2 5 7" xfId="1840"/>
    <cellStyle name="Accent2 5 8" xfId="1839"/>
    <cellStyle name="Accent2 5 9" xfId="1838"/>
    <cellStyle name="Accent2 50" xfId="643"/>
    <cellStyle name="Accent2 51" xfId="644"/>
    <cellStyle name="Accent2 52" xfId="645"/>
    <cellStyle name="Accent2 53" xfId="646"/>
    <cellStyle name="Accent2 54" xfId="647"/>
    <cellStyle name="Accent2 55" xfId="648"/>
    <cellStyle name="Accent2 56" xfId="649"/>
    <cellStyle name="Accent2 57" xfId="650"/>
    <cellStyle name="Accent2 58" xfId="651"/>
    <cellStyle name="Accent2 59" xfId="652"/>
    <cellStyle name="Accent2 6" xfId="653"/>
    <cellStyle name="Accent2 6 2" xfId="1837"/>
    <cellStyle name="Accent2 60" xfId="654"/>
    <cellStyle name="Accent2 61" xfId="655"/>
    <cellStyle name="Accent2 62" xfId="656"/>
    <cellStyle name="Accent2 63" xfId="657"/>
    <cellStyle name="Accent2 64" xfId="658"/>
    <cellStyle name="Accent2 65" xfId="659"/>
    <cellStyle name="Accent2 66" xfId="660"/>
    <cellStyle name="Accent2 67" xfId="661"/>
    <cellStyle name="Accent2 68" xfId="662"/>
    <cellStyle name="Accent2 69" xfId="663"/>
    <cellStyle name="Accent2 7" xfId="664"/>
    <cellStyle name="Accent2 7 2" xfId="1836"/>
    <cellStyle name="Accent2 70" xfId="665"/>
    <cellStyle name="Accent2 71" xfId="666"/>
    <cellStyle name="Accent2 72" xfId="667"/>
    <cellStyle name="Accent2 73" xfId="668"/>
    <cellStyle name="Accent2 74" xfId="669"/>
    <cellStyle name="Accent2 75" xfId="670"/>
    <cellStyle name="Accent2 76" xfId="671"/>
    <cellStyle name="Accent2 77" xfId="672"/>
    <cellStyle name="Accent2 78" xfId="673"/>
    <cellStyle name="Accent2 79" xfId="674"/>
    <cellStyle name="Accent2 8" xfId="675"/>
    <cellStyle name="Accent2 8 2" xfId="1835"/>
    <cellStyle name="Accent2 80" xfId="676"/>
    <cellStyle name="Accent2 81" xfId="677"/>
    <cellStyle name="Accent2 82" xfId="678"/>
    <cellStyle name="Accent2 83" xfId="679"/>
    <cellStyle name="Accent2 84" xfId="680"/>
    <cellStyle name="Accent2 85" xfId="681"/>
    <cellStyle name="Accent2 86" xfId="682"/>
    <cellStyle name="Accent2 87" xfId="683"/>
    <cellStyle name="Accent2 88" xfId="684"/>
    <cellStyle name="Accent2 89" xfId="685"/>
    <cellStyle name="Accent2 9" xfId="686"/>
    <cellStyle name="Accent2 9 2" xfId="1834"/>
    <cellStyle name="Accent2 90" xfId="687"/>
    <cellStyle name="Accent2 91" xfId="688"/>
    <cellStyle name="Accent2 92" xfId="689"/>
    <cellStyle name="Accent2 93" xfId="690"/>
    <cellStyle name="Accent2 94" xfId="691"/>
    <cellStyle name="Accent2 95" xfId="692"/>
    <cellStyle name="Accent2 96" xfId="693"/>
    <cellStyle name="Accent2 97" xfId="694"/>
    <cellStyle name="Accent2 98" xfId="695"/>
    <cellStyle name="Accent2 99" xfId="696"/>
    <cellStyle name="Accent3 - 20%" xfId="697"/>
    <cellStyle name="Accent3 - 40%" xfId="698"/>
    <cellStyle name="Accent3 - 60%" xfId="699"/>
    <cellStyle name="Accent3 10" xfId="700"/>
    <cellStyle name="Accent3 10 2" xfId="1833"/>
    <cellStyle name="Accent3 100" xfId="701"/>
    <cellStyle name="Accent3 101" xfId="702"/>
    <cellStyle name="Accent3 102" xfId="703"/>
    <cellStyle name="Accent3 103" xfId="704"/>
    <cellStyle name="Accent3 104" xfId="705"/>
    <cellStyle name="Accent3 105" xfId="706"/>
    <cellStyle name="Accent3 106" xfId="707"/>
    <cellStyle name="Accent3 107" xfId="708"/>
    <cellStyle name="Accent3 108" xfId="70"/>
    <cellStyle name="Accent3 11" xfId="709"/>
    <cellStyle name="Accent3 11 2" xfId="1832"/>
    <cellStyle name="Accent3 12" xfId="710"/>
    <cellStyle name="Accent3 12 2" xfId="1831"/>
    <cellStyle name="Accent3 13" xfId="711"/>
    <cellStyle name="Accent3 13 2" xfId="1830"/>
    <cellStyle name="Accent3 14" xfId="712"/>
    <cellStyle name="Accent3 14 2" xfId="1829"/>
    <cellStyle name="Accent3 15" xfId="713"/>
    <cellStyle name="Accent3 15 2" xfId="1828"/>
    <cellStyle name="Accent3 16" xfId="714"/>
    <cellStyle name="Accent3 17" xfId="715"/>
    <cellStyle name="Accent3 18" xfId="716"/>
    <cellStyle name="Accent3 19" xfId="717"/>
    <cellStyle name="Accent3 2" xfId="71"/>
    <cellStyle name="Accent3 2 10" xfId="1826"/>
    <cellStyle name="Accent3 2 11" xfId="1825"/>
    <cellStyle name="Accent3 2 12" xfId="1827"/>
    <cellStyle name="Accent3 2 2" xfId="718"/>
    <cellStyle name="Accent3 2 2 2" xfId="1824"/>
    <cellStyle name="Accent3 2 3" xfId="1823"/>
    <cellStyle name="Accent3 2 4" xfId="1822"/>
    <cellStyle name="Accent3 2 5" xfId="1821"/>
    <cellStyle name="Accent3 2 6" xfId="1820"/>
    <cellStyle name="Accent3 2 7" xfId="1819"/>
    <cellStyle name="Accent3 2 8" xfId="1818"/>
    <cellStyle name="Accent3 2 9" xfId="1817"/>
    <cellStyle name="Accent3 20" xfId="719"/>
    <cellStyle name="Accent3 21" xfId="720"/>
    <cellStyle name="Accent3 22" xfId="721"/>
    <cellStyle name="Accent3 23" xfId="722"/>
    <cellStyle name="Accent3 24" xfId="723"/>
    <cellStyle name="Accent3 25" xfId="724"/>
    <cellStyle name="Accent3 26" xfId="725"/>
    <cellStyle name="Accent3 27" xfId="726"/>
    <cellStyle name="Accent3 28" xfId="727"/>
    <cellStyle name="Accent3 29" xfId="728"/>
    <cellStyle name="Accent3 3" xfId="72"/>
    <cellStyle name="Accent3 3 10" xfId="1815"/>
    <cellStyle name="Accent3 3 11" xfId="1814"/>
    <cellStyle name="Accent3 3 12" xfId="1816"/>
    <cellStyle name="Accent3 3 2" xfId="1813"/>
    <cellStyle name="Accent3 3 3" xfId="1812"/>
    <cellStyle name="Accent3 3 4" xfId="1811"/>
    <cellStyle name="Accent3 3 5" xfId="1810"/>
    <cellStyle name="Accent3 3 6" xfId="1809"/>
    <cellStyle name="Accent3 3 7" xfId="1808"/>
    <cellStyle name="Accent3 3 8" xfId="1807"/>
    <cellStyle name="Accent3 3 9" xfId="1806"/>
    <cellStyle name="Accent3 30" xfId="730"/>
    <cellStyle name="Accent3 31" xfId="731"/>
    <cellStyle name="Accent3 32" xfId="732"/>
    <cellStyle name="Accent3 33" xfId="733"/>
    <cellStyle name="Accent3 34" xfId="734"/>
    <cellStyle name="Accent3 35" xfId="735"/>
    <cellStyle name="Accent3 36" xfId="736"/>
    <cellStyle name="Accent3 37" xfId="737"/>
    <cellStyle name="Accent3 38" xfId="738"/>
    <cellStyle name="Accent3 39" xfId="739"/>
    <cellStyle name="Accent3 4" xfId="740"/>
    <cellStyle name="Accent3 4 10" xfId="1804"/>
    <cellStyle name="Accent3 4 11" xfId="1803"/>
    <cellStyle name="Accent3 4 12" xfId="1805"/>
    <cellStyle name="Accent3 4 2" xfId="1802"/>
    <cellStyle name="Accent3 4 3" xfId="1801"/>
    <cellStyle name="Accent3 4 4" xfId="1800"/>
    <cellStyle name="Accent3 4 5" xfId="1799"/>
    <cellStyle name="Accent3 4 6" xfId="1798"/>
    <cellStyle name="Accent3 4 7" xfId="1797"/>
    <cellStyle name="Accent3 4 8" xfId="1796"/>
    <cellStyle name="Accent3 4 9" xfId="1795"/>
    <cellStyle name="Accent3 40" xfId="741"/>
    <cellStyle name="Accent3 41" xfId="742"/>
    <cellStyle name="Accent3 42" xfId="743"/>
    <cellStyle name="Accent3 43" xfId="744"/>
    <cellStyle name="Accent3 44" xfId="745"/>
    <cellStyle name="Accent3 45" xfId="746"/>
    <cellStyle name="Accent3 46" xfId="747"/>
    <cellStyle name="Accent3 47" xfId="748"/>
    <cellStyle name="Accent3 48" xfId="749"/>
    <cellStyle name="Accent3 49" xfId="750"/>
    <cellStyle name="Accent3 5" xfId="751"/>
    <cellStyle name="Accent3 5 10" xfId="1793"/>
    <cellStyle name="Accent3 5 11" xfId="1792"/>
    <cellStyle name="Accent3 5 12" xfId="1794"/>
    <cellStyle name="Accent3 5 2" xfId="1791"/>
    <cellStyle name="Accent3 5 3" xfId="1790"/>
    <cellStyle name="Accent3 5 4" xfId="1789"/>
    <cellStyle name="Accent3 5 5" xfId="1788"/>
    <cellStyle name="Accent3 5 6" xfId="1787"/>
    <cellStyle name="Accent3 5 7" xfId="1786"/>
    <cellStyle name="Accent3 5 8" xfId="1785"/>
    <cellStyle name="Accent3 5 9" xfId="1784"/>
    <cellStyle name="Accent3 50" xfId="752"/>
    <cellStyle name="Accent3 51" xfId="753"/>
    <cellStyle name="Accent3 52" xfId="754"/>
    <cellStyle name="Accent3 53" xfId="755"/>
    <cellStyle name="Accent3 54" xfId="756"/>
    <cellStyle name="Accent3 55" xfId="757"/>
    <cellStyle name="Accent3 56" xfId="758"/>
    <cellStyle name="Accent3 57" xfId="759"/>
    <cellStyle name="Accent3 58" xfId="760"/>
    <cellStyle name="Accent3 59" xfId="761"/>
    <cellStyle name="Accent3 6" xfId="762"/>
    <cellStyle name="Accent3 6 2" xfId="1783"/>
    <cellStyle name="Accent3 60" xfId="763"/>
    <cellStyle name="Accent3 61" xfId="764"/>
    <cellStyle name="Accent3 62" xfId="765"/>
    <cellStyle name="Accent3 63" xfId="766"/>
    <cellStyle name="Accent3 64" xfId="767"/>
    <cellStyle name="Accent3 65" xfId="768"/>
    <cellStyle name="Accent3 66" xfId="769"/>
    <cellStyle name="Accent3 67" xfId="770"/>
    <cellStyle name="Accent3 68" xfId="771"/>
    <cellStyle name="Accent3 69" xfId="772"/>
    <cellStyle name="Accent3 7" xfId="773"/>
    <cellStyle name="Accent3 7 2" xfId="1782"/>
    <cellStyle name="Accent3 70" xfId="774"/>
    <cellStyle name="Accent3 71" xfId="775"/>
    <cellStyle name="Accent3 72" xfId="776"/>
    <cellStyle name="Accent3 73" xfId="777"/>
    <cellStyle name="Accent3 74" xfId="778"/>
    <cellStyle name="Accent3 75" xfId="779"/>
    <cellStyle name="Accent3 76" xfId="780"/>
    <cellStyle name="Accent3 77" xfId="781"/>
    <cellStyle name="Accent3 78" xfId="782"/>
    <cellStyle name="Accent3 79" xfId="783"/>
    <cellStyle name="Accent3 8" xfId="784"/>
    <cellStyle name="Accent3 8 2" xfId="1781"/>
    <cellStyle name="Accent3 80" xfId="785"/>
    <cellStyle name="Accent3 81" xfId="786"/>
    <cellStyle name="Accent3 82" xfId="787"/>
    <cellStyle name="Accent3 83" xfId="788"/>
    <cellStyle name="Accent3 84" xfId="789"/>
    <cellStyle name="Accent3 85" xfId="790"/>
    <cellStyle name="Accent3 86" xfId="791"/>
    <cellStyle name="Accent3 87" xfId="792"/>
    <cellStyle name="Accent3 88" xfId="793"/>
    <cellStyle name="Accent3 89" xfId="794"/>
    <cellStyle name="Accent3 9" xfId="795"/>
    <cellStyle name="Accent3 9 2" xfId="1780"/>
    <cellStyle name="Accent3 90" xfId="796"/>
    <cellStyle name="Accent3 91" xfId="797"/>
    <cellStyle name="Accent3 92" xfId="798"/>
    <cellStyle name="Accent3 93" xfId="799"/>
    <cellStyle name="Accent3 94" xfId="800"/>
    <cellStyle name="Accent3 95" xfId="801"/>
    <cellStyle name="Accent3 96" xfId="802"/>
    <cellStyle name="Accent3 97" xfId="803"/>
    <cellStyle name="Accent3 98" xfId="804"/>
    <cellStyle name="Accent3 99" xfId="805"/>
    <cellStyle name="Accent4 - 20%" xfId="806"/>
    <cellStyle name="Accent4 - 40%" xfId="807"/>
    <cellStyle name="Accent4 - 60%" xfId="808"/>
    <cellStyle name="Accent4 10" xfId="809"/>
    <cellStyle name="Accent4 10 2" xfId="1779"/>
    <cellStyle name="Accent4 100" xfId="810"/>
    <cellStyle name="Accent4 101" xfId="811"/>
    <cellStyle name="Accent4 102" xfId="812"/>
    <cellStyle name="Accent4 103" xfId="813"/>
    <cellStyle name="Accent4 104" xfId="814"/>
    <cellStyle name="Accent4 105" xfId="815"/>
    <cellStyle name="Accent4 106" xfId="816"/>
    <cellStyle name="Accent4 107" xfId="817"/>
    <cellStyle name="Accent4 108" xfId="73"/>
    <cellStyle name="Accent4 11" xfId="818"/>
    <cellStyle name="Accent4 11 2" xfId="1778"/>
    <cellStyle name="Accent4 12" xfId="819"/>
    <cellStyle name="Accent4 12 2" xfId="442"/>
    <cellStyle name="Accent4 13" xfId="820"/>
    <cellStyle name="Accent4 13 2" xfId="444"/>
    <cellStyle name="Accent4 14" xfId="821"/>
    <cellStyle name="Accent4 14 2" xfId="446"/>
    <cellStyle name="Accent4 15" xfId="822"/>
    <cellStyle name="Accent4 15 2" xfId="448"/>
    <cellStyle name="Accent4 16" xfId="823"/>
    <cellStyle name="Accent4 17" xfId="824"/>
    <cellStyle name="Accent4 18" xfId="825"/>
    <cellStyle name="Accent4 19" xfId="826"/>
    <cellStyle name="Accent4 2" xfId="74"/>
    <cellStyle name="Accent4 2 10" xfId="452"/>
    <cellStyle name="Accent4 2 11" xfId="454"/>
    <cellStyle name="Accent4 2 12" xfId="450"/>
    <cellStyle name="Accent4 2 2" xfId="827"/>
    <cellStyle name="Accent4 2 2 2" xfId="456"/>
    <cellStyle name="Accent4 2 3" xfId="458"/>
    <cellStyle name="Accent4 2 4" xfId="460"/>
    <cellStyle name="Accent4 2 5" xfId="462"/>
    <cellStyle name="Accent4 2 6" xfId="464"/>
    <cellStyle name="Accent4 2 7" xfId="466"/>
    <cellStyle name="Accent4 2 8" xfId="468"/>
    <cellStyle name="Accent4 2 9" xfId="470"/>
    <cellStyle name="Accent4 20" xfId="828"/>
    <cellStyle name="Accent4 21" xfId="829"/>
    <cellStyle name="Accent4 22" xfId="830"/>
    <cellStyle name="Accent4 23" xfId="831"/>
    <cellStyle name="Accent4 24" xfId="832"/>
    <cellStyle name="Accent4 25" xfId="833"/>
    <cellStyle name="Accent4 26" xfId="834"/>
    <cellStyle name="Accent4 27" xfId="835"/>
    <cellStyle name="Accent4 28" xfId="836"/>
    <cellStyle name="Accent4 29" xfId="837"/>
    <cellStyle name="Accent4 3" xfId="75"/>
    <cellStyle name="Accent4 3 10" xfId="474"/>
    <cellStyle name="Accent4 3 11" xfId="476"/>
    <cellStyle name="Accent4 3 12" xfId="472"/>
    <cellStyle name="Accent4 3 2" xfId="477"/>
    <cellStyle name="Accent4 3 3" xfId="478"/>
    <cellStyle name="Accent4 3 4" xfId="511"/>
    <cellStyle name="Accent4 3 5" xfId="620"/>
    <cellStyle name="Accent4 3 6" xfId="729"/>
    <cellStyle name="Accent4 3 7" xfId="838"/>
    <cellStyle name="Accent4 3 8" xfId="947"/>
    <cellStyle name="Accent4 3 9" xfId="1056"/>
    <cellStyle name="Accent4 30" xfId="839"/>
    <cellStyle name="Accent4 31" xfId="840"/>
    <cellStyle name="Accent4 32" xfId="841"/>
    <cellStyle name="Accent4 33" xfId="842"/>
    <cellStyle name="Accent4 34" xfId="843"/>
    <cellStyle name="Accent4 35" xfId="844"/>
    <cellStyle name="Accent4 36" xfId="845"/>
    <cellStyle name="Accent4 37" xfId="846"/>
    <cellStyle name="Accent4 38" xfId="847"/>
    <cellStyle name="Accent4 39" xfId="848"/>
    <cellStyle name="Accent4 4" xfId="849"/>
    <cellStyle name="Accent4 4 10" xfId="1137"/>
    <cellStyle name="Accent4 4 11" xfId="1140"/>
    <cellStyle name="Accent4 4 12" xfId="1134"/>
    <cellStyle name="Accent4 4 2" xfId="1142"/>
    <cellStyle name="Accent4 4 3" xfId="1143"/>
    <cellStyle name="Accent4 4 4" xfId="1148"/>
    <cellStyle name="Accent4 4 5" xfId="1149"/>
    <cellStyle name="Accent4 4 6" xfId="1150"/>
    <cellStyle name="Accent4 4 7" xfId="1167"/>
    <cellStyle name="Accent4 4 8" xfId="1206"/>
    <cellStyle name="Accent4 4 9" xfId="1219"/>
    <cellStyle name="Accent4 40" xfId="850"/>
    <cellStyle name="Accent4 41" xfId="851"/>
    <cellStyle name="Accent4 42" xfId="852"/>
    <cellStyle name="Accent4 43" xfId="853"/>
    <cellStyle name="Accent4 44" xfId="854"/>
    <cellStyle name="Accent4 45" xfId="855"/>
    <cellStyle name="Accent4 46" xfId="856"/>
    <cellStyle name="Accent4 47" xfId="857"/>
    <cellStyle name="Accent4 48" xfId="858"/>
    <cellStyle name="Accent4 49" xfId="859"/>
    <cellStyle name="Accent4 5" xfId="860"/>
    <cellStyle name="Accent4 5 10" xfId="1221"/>
    <cellStyle name="Accent4 5 11" xfId="1223"/>
    <cellStyle name="Accent4 5 12" xfId="1220"/>
    <cellStyle name="Accent4 5 2" xfId="1224"/>
    <cellStyle name="Accent4 5 3" xfId="1229"/>
    <cellStyle name="Accent4 5 4" xfId="1231"/>
    <cellStyle name="Accent4 5 5" xfId="1233"/>
    <cellStyle name="Accent4 5 6" xfId="1234"/>
    <cellStyle name="Accent4 5 7" xfId="1235"/>
    <cellStyle name="Accent4 5 8" xfId="1237"/>
    <cellStyle name="Accent4 5 9" xfId="1240"/>
    <cellStyle name="Accent4 50" xfId="861"/>
    <cellStyle name="Accent4 51" xfId="862"/>
    <cellStyle name="Accent4 52" xfId="863"/>
    <cellStyle name="Accent4 53" xfId="864"/>
    <cellStyle name="Accent4 54" xfId="865"/>
    <cellStyle name="Accent4 55" xfId="866"/>
    <cellStyle name="Accent4 56" xfId="867"/>
    <cellStyle name="Accent4 57" xfId="868"/>
    <cellStyle name="Accent4 58" xfId="869"/>
    <cellStyle name="Accent4 59" xfId="870"/>
    <cellStyle name="Accent4 6" xfId="871"/>
    <cellStyle name="Accent4 6 2" xfId="1243"/>
    <cellStyle name="Accent4 60" xfId="872"/>
    <cellStyle name="Accent4 61" xfId="873"/>
    <cellStyle name="Accent4 62" xfId="874"/>
    <cellStyle name="Accent4 63" xfId="875"/>
    <cellStyle name="Accent4 64" xfId="876"/>
    <cellStyle name="Accent4 65" xfId="877"/>
    <cellStyle name="Accent4 66" xfId="878"/>
    <cellStyle name="Accent4 67" xfId="879"/>
    <cellStyle name="Accent4 68" xfId="880"/>
    <cellStyle name="Accent4 69" xfId="881"/>
    <cellStyle name="Accent4 7" xfId="882"/>
    <cellStyle name="Accent4 7 2" xfId="1246"/>
    <cellStyle name="Accent4 70" xfId="883"/>
    <cellStyle name="Accent4 71" xfId="884"/>
    <cellStyle name="Accent4 72" xfId="885"/>
    <cellStyle name="Accent4 73" xfId="886"/>
    <cellStyle name="Accent4 74" xfId="887"/>
    <cellStyle name="Accent4 75" xfId="888"/>
    <cellStyle name="Accent4 76" xfId="889"/>
    <cellStyle name="Accent4 77" xfId="890"/>
    <cellStyle name="Accent4 78" xfId="891"/>
    <cellStyle name="Accent4 79" xfId="892"/>
    <cellStyle name="Accent4 8" xfId="893"/>
    <cellStyle name="Accent4 8 2" xfId="1248"/>
    <cellStyle name="Accent4 80" xfId="894"/>
    <cellStyle name="Accent4 81" xfId="895"/>
    <cellStyle name="Accent4 82" xfId="896"/>
    <cellStyle name="Accent4 83" xfId="897"/>
    <cellStyle name="Accent4 84" xfId="898"/>
    <cellStyle name="Accent4 85" xfId="899"/>
    <cellStyle name="Accent4 86" xfId="900"/>
    <cellStyle name="Accent4 87" xfId="901"/>
    <cellStyle name="Accent4 88" xfId="902"/>
    <cellStyle name="Accent4 89" xfId="903"/>
    <cellStyle name="Accent4 9" xfId="904"/>
    <cellStyle name="Accent4 9 2" xfId="1249"/>
    <cellStyle name="Accent4 90" xfId="905"/>
    <cellStyle name="Accent4 91" xfId="906"/>
    <cellStyle name="Accent4 92" xfId="907"/>
    <cellStyle name="Accent4 93" xfId="908"/>
    <cellStyle name="Accent4 94" xfId="909"/>
    <cellStyle name="Accent4 95" xfId="910"/>
    <cellStyle name="Accent4 96" xfId="911"/>
    <cellStyle name="Accent4 97" xfId="912"/>
    <cellStyle name="Accent4 98" xfId="913"/>
    <cellStyle name="Accent4 99" xfId="914"/>
    <cellStyle name="Accent5 - 20%" xfId="915"/>
    <cellStyle name="Accent5 - 40%" xfId="916"/>
    <cellStyle name="Accent5 - 60%" xfId="917"/>
    <cellStyle name="Accent5 10" xfId="918"/>
    <cellStyle name="Accent5 10 2" xfId="1250"/>
    <cellStyle name="Accent5 100" xfId="919"/>
    <cellStyle name="Accent5 101" xfId="920"/>
    <cellStyle name="Accent5 102" xfId="921"/>
    <cellStyle name="Accent5 103" xfId="922"/>
    <cellStyle name="Accent5 104" xfId="923"/>
    <cellStyle name="Accent5 105" xfId="924"/>
    <cellStyle name="Accent5 106" xfId="925"/>
    <cellStyle name="Accent5 107" xfId="926"/>
    <cellStyle name="Accent5 108" xfId="76"/>
    <cellStyle name="Accent5 11" xfId="927"/>
    <cellStyle name="Accent5 11 2" xfId="1251"/>
    <cellStyle name="Accent5 12" xfId="928"/>
    <cellStyle name="Accent5 12 2" xfId="1252"/>
    <cellStyle name="Accent5 13" xfId="929"/>
    <cellStyle name="Accent5 13 2" xfId="1256"/>
    <cellStyle name="Accent5 14" xfId="930"/>
    <cellStyle name="Accent5 14 2" xfId="1257"/>
    <cellStyle name="Accent5 15" xfId="931"/>
    <cellStyle name="Accent5 15 2" xfId="1258"/>
    <cellStyle name="Accent5 16" xfId="932"/>
    <cellStyle name="Accent5 17" xfId="933"/>
    <cellStyle name="Accent5 18" xfId="934"/>
    <cellStyle name="Accent5 19" xfId="935"/>
    <cellStyle name="Accent5 2" xfId="77"/>
    <cellStyle name="Accent5 2 10" xfId="1260"/>
    <cellStyle name="Accent5 2 11" xfId="1261"/>
    <cellStyle name="Accent5 2 12" xfId="1259"/>
    <cellStyle name="Accent5 2 2" xfId="936"/>
    <cellStyle name="Accent5 2 2 2" xfId="1262"/>
    <cellStyle name="Accent5 2 3" xfId="1263"/>
    <cellStyle name="Accent5 2 4" xfId="1264"/>
    <cellStyle name="Accent5 2 5" xfId="1372"/>
    <cellStyle name="Accent5 2 6" xfId="1374"/>
    <cellStyle name="Accent5 2 7" xfId="1375"/>
    <cellStyle name="Accent5 2 8" xfId="1376"/>
    <cellStyle name="Accent5 2 9" xfId="1377"/>
    <cellStyle name="Accent5 20" xfId="937"/>
    <cellStyle name="Accent5 21" xfId="938"/>
    <cellStyle name="Accent5 22" xfId="939"/>
    <cellStyle name="Accent5 23" xfId="940"/>
    <cellStyle name="Accent5 24" xfId="941"/>
    <cellStyle name="Accent5 25" xfId="942"/>
    <cellStyle name="Accent5 26" xfId="943"/>
    <cellStyle name="Accent5 27" xfId="944"/>
    <cellStyle name="Accent5 28" xfId="945"/>
    <cellStyle name="Accent5 29" xfId="946"/>
    <cellStyle name="Accent5 3" xfId="78"/>
    <cellStyle name="Accent5 3 10" xfId="1381"/>
    <cellStyle name="Accent5 3 11" xfId="1382"/>
    <cellStyle name="Accent5 3 12" xfId="1379"/>
    <cellStyle name="Accent5 3 2" xfId="1383"/>
    <cellStyle name="Accent5 3 3" xfId="1384"/>
    <cellStyle name="Accent5 3 4" xfId="1395"/>
    <cellStyle name="Accent5 3 5" xfId="1406"/>
    <cellStyle name="Accent5 3 6" xfId="1418"/>
    <cellStyle name="Accent5 3 7" xfId="1429"/>
    <cellStyle name="Accent5 3 8" xfId="1440"/>
    <cellStyle name="Accent5 3 9" xfId="1451"/>
    <cellStyle name="Accent5 30" xfId="948"/>
    <cellStyle name="Accent5 31" xfId="949"/>
    <cellStyle name="Accent5 32" xfId="950"/>
    <cellStyle name="Accent5 33" xfId="951"/>
    <cellStyle name="Accent5 34" xfId="952"/>
    <cellStyle name="Accent5 35" xfId="953"/>
    <cellStyle name="Accent5 36" xfId="954"/>
    <cellStyle name="Accent5 37" xfId="955"/>
    <cellStyle name="Accent5 38" xfId="956"/>
    <cellStyle name="Accent5 39" xfId="957"/>
    <cellStyle name="Accent5 4" xfId="958"/>
    <cellStyle name="Accent5 4 10" xfId="1473"/>
    <cellStyle name="Accent5 4 11" xfId="1484"/>
    <cellStyle name="Accent5 4 12" xfId="1462"/>
    <cellStyle name="Accent5 4 2" xfId="1495"/>
    <cellStyle name="Accent5 4 3" xfId="1496"/>
    <cellStyle name="Accent5 4 4" xfId="1503"/>
    <cellStyle name="Accent5 4 5" xfId="1514"/>
    <cellStyle name="Accent5 4 6" xfId="1525"/>
    <cellStyle name="Accent5 4 7" xfId="1536"/>
    <cellStyle name="Accent5 4 8" xfId="1546"/>
    <cellStyle name="Accent5 4 9" xfId="1549"/>
    <cellStyle name="Accent5 40" xfId="959"/>
    <cellStyle name="Accent5 41" xfId="960"/>
    <cellStyle name="Accent5 42" xfId="961"/>
    <cellStyle name="Accent5 43" xfId="962"/>
    <cellStyle name="Accent5 44" xfId="963"/>
    <cellStyle name="Accent5 45" xfId="964"/>
    <cellStyle name="Accent5 46" xfId="965"/>
    <cellStyle name="Accent5 47" xfId="966"/>
    <cellStyle name="Accent5 48" xfId="967"/>
    <cellStyle name="Accent5 49" xfId="968"/>
    <cellStyle name="Accent5 5" xfId="969"/>
    <cellStyle name="Accent5 5 10" xfId="1551"/>
    <cellStyle name="Accent5 5 11" xfId="1553"/>
    <cellStyle name="Accent5 5 12" xfId="1550"/>
    <cellStyle name="Accent5 5 2" xfId="1554"/>
    <cellStyle name="Accent5 5 3" xfId="1555"/>
    <cellStyle name="Accent5 5 4" xfId="1556"/>
    <cellStyle name="Accent5 5 5" xfId="1557"/>
    <cellStyle name="Accent5 5 6" xfId="1558"/>
    <cellStyle name="Accent5 5 7" xfId="1559"/>
    <cellStyle name="Accent5 5 8" xfId="1560"/>
    <cellStyle name="Accent5 5 9" xfId="1561"/>
    <cellStyle name="Accent5 50" xfId="970"/>
    <cellStyle name="Accent5 51" xfId="971"/>
    <cellStyle name="Accent5 52" xfId="972"/>
    <cellStyle name="Accent5 53" xfId="973"/>
    <cellStyle name="Accent5 54" xfId="974"/>
    <cellStyle name="Accent5 55" xfId="975"/>
    <cellStyle name="Accent5 56" xfId="976"/>
    <cellStyle name="Accent5 57" xfId="977"/>
    <cellStyle name="Accent5 58" xfId="978"/>
    <cellStyle name="Accent5 59" xfId="979"/>
    <cellStyle name="Accent5 6" xfId="980"/>
    <cellStyle name="Accent5 6 2" xfId="1562"/>
    <cellStyle name="Accent5 60" xfId="981"/>
    <cellStyle name="Accent5 61" xfId="982"/>
    <cellStyle name="Accent5 62" xfId="983"/>
    <cellStyle name="Accent5 63" xfId="984"/>
    <cellStyle name="Accent5 64" xfId="985"/>
    <cellStyle name="Accent5 65" xfId="986"/>
    <cellStyle name="Accent5 66" xfId="987"/>
    <cellStyle name="Accent5 67" xfId="988"/>
    <cellStyle name="Accent5 68" xfId="989"/>
    <cellStyle name="Accent5 69" xfId="990"/>
    <cellStyle name="Accent5 7" xfId="991"/>
    <cellStyle name="Accent5 7 2" xfId="1563"/>
    <cellStyle name="Accent5 70" xfId="992"/>
    <cellStyle name="Accent5 71" xfId="993"/>
    <cellStyle name="Accent5 72" xfId="994"/>
    <cellStyle name="Accent5 73" xfId="995"/>
    <cellStyle name="Accent5 74" xfId="996"/>
    <cellStyle name="Accent5 75" xfId="997"/>
    <cellStyle name="Accent5 76" xfId="998"/>
    <cellStyle name="Accent5 77" xfId="999"/>
    <cellStyle name="Accent5 78" xfId="1000"/>
    <cellStyle name="Accent5 79" xfId="1001"/>
    <cellStyle name="Accent5 8" xfId="1002"/>
    <cellStyle name="Accent5 8 2" xfId="1564"/>
    <cellStyle name="Accent5 80" xfId="1003"/>
    <cellStyle name="Accent5 81" xfId="1004"/>
    <cellStyle name="Accent5 82" xfId="1005"/>
    <cellStyle name="Accent5 83" xfId="1006"/>
    <cellStyle name="Accent5 84" xfId="1007"/>
    <cellStyle name="Accent5 85" xfId="1008"/>
    <cellStyle name="Accent5 86" xfId="1009"/>
    <cellStyle name="Accent5 87" xfId="1010"/>
    <cellStyle name="Accent5 88" xfId="1011"/>
    <cellStyle name="Accent5 89" xfId="1012"/>
    <cellStyle name="Accent5 9" xfId="1013"/>
    <cellStyle name="Accent5 9 2" xfId="1565"/>
    <cellStyle name="Accent5 90" xfId="1014"/>
    <cellStyle name="Accent5 91" xfId="1015"/>
    <cellStyle name="Accent5 92" xfId="1016"/>
    <cellStyle name="Accent5 93" xfId="1017"/>
    <cellStyle name="Accent5 94" xfId="1018"/>
    <cellStyle name="Accent5 95" xfId="1019"/>
    <cellStyle name="Accent5 96" xfId="1020"/>
    <cellStyle name="Accent5 97" xfId="1021"/>
    <cellStyle name="Accent5 98" xfId="1022"/>
    <cellStyle name="Accent5 99" xfId="1023"/>
    <cellStyle name="Accent6 - 20%" xfId="1024"/>
    <cellStyle name="Accent6 - 40%" xfId="1025"/>
    <cellStyle name="Accent6 - 60%" xfId="1026"/>
    <cellStyle name="Accent6 10" xfId="1027"/>
    <cellStyle name="Accent6 10 2" xfId="1566"/>
    <cellStyle name="Accent6 100" xfId="1028"/>
    <cellStyle name="Accent6 101" xfId="1029"/>
    <cellStyle name="Accent6 102" xfId="1030"/>
    <cellStyle name="Accent6 103" xfId="1031"/>
    <cellStyle name="Accent6 104" xfId="1032"/>
    <cellStyle name="Accent6 105" xfId="1033"/>
    <cellStyle name="Accent6 106" xfId="1034"/>
    <cellStyle name="Accent6 107" xfId="1035"/>
    <cellStyle name="Accent6 108" xfId="79"/>
    <cellStyle name="Accent6 11" xfId="1036"/>
    <cellStyle name="Accent6 11 2" xfId="1567"/>
    <cellStyle name="Accent6 12" xfId="1037"/>
    <cellStyle name="Accent6 12 2" xfId="1568"/>
    <cellStyle name="Accent6 13" xfId="1038"/>
    <cellStyle name="Accent6 13 2" xfId="1569"/>
    <cellStyle name="Accent6 14" xfId="1039"/>
    <cellStyle name="Accent6 14 2" xfId="1570"/>
    <cellStyle name="Accent6 15" xfId="1040"/>
    <cellStyle name="Accent6 15 2" xfId="1571"/>
    <cellStyle name="Accent6 16" xfId="1041"/>
    <cellStyle name="Accent6 17" xfId="1042"/>
    <cellStyle name="Accent6 18" xfId="1043"/>
    <cellStyle name="Accent6 19" xfId="1044"/>
    <cellStyle name="Accent6 2" xfId="80"/>
    <cellStyle name="Accent6 2 10" xfId="1573"/>
    <cellStyle name="Accent6 2 11" xfId="1574"/>
    <cellStyle name="Accent6 2 12" xfId="1572"/>
    <cellStyle name="Accent6 2 2" xfId="1045"/>
    <cellStyle name="Accent6 2 2 2" xfId="1575"/>
    <cellStyle name="Accent6 2 3" xfId="1577"/>
    <cellStyle name="Accent6 2 4" xfId="1578"/>
    <cellStyle name="Accent6 2 5" xfId="1579"/>
    <cellStyle name="Accent6 2 6" xfId="1580"/>
    <cellStyle name="Accent6 2 7" xfId="1581"/>
    <cellStyle name="Accent6 2 8" xfId="1582"/>
    <cellStyle name="Accent6 2 9" xfId="1583"/>
    <cellStyle name="Accent6 20" xfId="1046"/>
    <cellStyle name="Accent6 21" xfId="1047"/>
    <cellStyle name="Accent6 22" xfId="1048"/>
    <cellStyle name="Accent6 23" xfId="1049"/>
    <cellStyle name="Accent6 24" xfId="1050"/>
    <cellStyle name="Accent6 25" xfId="1051"/>
    <cellStyle name="Accent6 26" xfId="1052"/>
    <cellStyle name="Accent6 27" xfId="1053"/>
    <cellStyle name="Accent6 28" xfId="1054"/>
    <cellStyle name="Accent6 29" xfId="1055"/>
    <cellStyle name="Accent6 3" xfId="81"/>
    <cellStyle name="Accent6 3 10" xfId="1585"/>
    <cellStyle name="Accent6 3 11" xfId="1586"/>
    <cellStyle name="Accent6 3 12" xfId="1584"/>
    <cellStyle name="Accent6 3 2" xfId="1587"/>
    <cellStyle name="Accent6 3 3" xfId="1588"/>
    <cellStyle name="Accent6 3 4" xfId="1591"/>
    <cellStyle name="Accent6 3 5" xfId="1592"/>
    <cellStyle name="Accent6 3 6" xfId="1593"/>
    <cellStyle name="Accent6 3 7" xfId="1594"/>
    <cellStyle name="Accent6 3 8" xfId="1595"/>
    <cellStyle name="Accent6 3 9" xfId="1596"/>
    <cellStyle name="Accent6 30" xfId="1057"/>
    <cellStyle name="Accent6 31" xfId="1058"/>
    <cellStyle name="Accent6 32" xfId="1059"/>
    <cellStyle name="Accent6 33" xfId="1060"/>
    <cellStyle name="Accent6 34" xfId="1061"/>
    <cellStyle name="Accent6 35" xfId="1062"/>
    <cellStyle name="Accent6 36" xfId="1063"/>
    <cellStyle name="Accent6 37" xfId="1064"/>
    <cellStyle name="Accent6 38" xfId="1065"/>
    <cellStyle name="Accent6 39" xfId="1066"/>
    <cellStyle name="Accent6 4" xfId="1067"/>
    <cellStyle name="Accent6 4 10" xfId="1598"/>
    <cellStyle name="Accent6 4 11" xfId="1599"/>
    <cellStyle name="Accent6 4 12" xfId="1597"/>
    <cellStyle name="Accent6 4 2" xfId="1600"/>
    <cellStyle name="Accent6 4 3" xfId="1601"/>
    <cellStyle name="Accent6 4 4" xfId="1603"/>
    <cellStyle name="Accent6 4 5" xfId="1604"/>
    <cellStyle name="Accent6 4 6" xfId="1605"/>
    <cellStyle name="Accent6 4 7" xfId="1606"/>
    <cellStyle name="Accent6 4 8" xfId="1607"/>
    <cellStyle name="Accent6 4 9" xfId="1608"/>
    <cellStyle name="Accent6 40" xfId="1068"/>
    <cellStyle name="Accent6 41" xfId="1069"/>
    <cellStyle name="Accent6 42" xfId="1070"/>
    <cellStyle name="Accent6 43" xfId="1071"/>
    <cellStyle name="Accent6 44" xfId="1072"/>
    <cellStyle name="Accent6 45" xfId="1073"/>
    <cellStyle name="Accent6 46" xfId="1074"/>
    <cellStyle name="Accent6 47" xfId="1075"/>
    <cellStyle name="Accent6 48" xfId="1076"/>
    <cellStyle name="Accent6 49" xfId="1077"/>
    <cellStyle name="Accent6 5" xfId="1078"/>
    <cellStyle name="Accent6 5 10" xfId="1610"/>
    <cellStyle name="Accent6 5 11" xfId="1611"/>
    <cellStyle name="Accent6 5 12" xfId="1609"/>
    <cellStyle name="Accent6 5 2" xfId="1612"/>
    <cellStyle name="Accent6 5 3" xfId="1613"/>
    <cellStyle name="Accent6 5 4" xfId="1637"/>
    <cellStyle name="Accent6 5 5" xfId="1638"/>
    <cellStyle name="Accent6 5 6" xfId="1639"/>
    <cellStyle name="Accent6 5 7" xfId="1640"/>
    <cellStyle name="Accent6 5 8" xfId="1641"/>
    <cellStyle name="Accent6 5 9" xfId="1643"/>
    <cellStyle name="Accent6 50" xfId="1079"/>
    <cellStyle name="Accent6 51" xfId="1080"/>
    <cellStyle name="Accent6 52" xfId="1081"/>
    <cellStyle name="Accent6 53" xfId="1082"/>
    <cellStyle name="Accent6 54" xfId="1083"/>
    <cellStyle name="Accent6 55" xfId="1084"/>
    <cellStyle name="Accent6 56" xfId="1085"/>
    <cellStyle name="Accent6 57" xfId="1086"/>
    <cellStyle name="Accent6 58" xfId="1087"/>
    <cellStyle name="Accent6 59" xfId="1088"/>
    <cellStyle name="Accent6 6" xfId="1089"/>
    <cellStyle name="Accent6 6 2" xfId="1644"/>
    <cellStyle name="Accent6 60" xfId="1090"/>
    <cellStyle name="Accent6 61" xfId="1091"/>
    <cellStyle name="Accent6 62" xfId="1092"/>
    <cellStyle name="Accent6 63" xfId="1093"/>
    <cellStyle name="Accent6 64" xfId="1094"/>
    <cellStyle name="Accent6 65" xfId="1095"/>
    <cellStyle name="Accent6 66" xfId="1096"/>
    <cellStyle name="Accent6 67" xfId="1097"/>
    <cellStyle name="Accent6 68" xfId="1098"/>
    <cellStyle name="Accent6 69" xfId="1099"/>
    <cellStyle name="Accent6 7" xfId="1100"/>
    <cellStyle name="Accent6 7 2" xfId="1645"/>
    <cellStyle name="Accent6 70" xfId="1101"/>
    <cellStyle name="Accent6 71" xfId="1102"/>
    <cellStyle name="Accent6 72" xfId="1103"/>
    <cellStyle name="Accent6 73" xfId="1104"/>
    <cellStyle name="Accent6 74" xfId="1105"/>
    <cellStyle name="Accent6 75" xfId="1106"/>
    <cellStyle name="Accent6 76" xfId="1107"/>
    <cellStyle name="Accent6 77" xfId="1108"/>
    <cellStyle name="Accent6 78" xfId="1109"/>
    <cellStyle name="Accent6 79" xfId="1110"/>
    <cellStyle name="Accent6 8" xfId="1111"/>
    <cellStyle name="Accent6 8 2" xfId="1646"/>
    <cellStyle name="Accent6 80" xfId="1112"/>
    <cellStyle name="Accent6 81" xfId="1113"/>
    <cellStyle name="Accent6 82" xfId="1114"/>
    <cellStyle name="Accent6 83" xfId="1115"/>
    <cellStyle name="Accent6 84" xfId="1116"/>
    <cellStyle name="Accent6 85" xfId="1117"/>
    <cellStyle name="Accent6 86" xfId="1118"/>
    <cellStyle name="Accent6 87" xfId="1119"/>
    <cellStyle name="Accent6 88" xfId="1120"/>
    <cellStyle name="Accent6 89" xfId="1121"/>
    <cellStyle name="Accent6 9" xfId="1122"/>
    <cellStyle name="Accent6 9 2" xfId="1648"/>
    <cellStyle name="Accent6 90" xfId="1123"/>
    <cellStyle name="Accent6 91" xfId="1124"/>
    <cellStyle name="Accent6 92" xfId="1125"/>
    <cellStyle name="Accent6 93" xfId="1126"/>
    <cellStyle name="Accent6 94" xfId="1127"/>
    <cellStyle name="Accent6 95" xfId="1128"/>
    <cellStyle name="Accent6 96" xfId="1129"/>
    <cellStyle name="Accent6 97" xfId="1130"/>
    <cellStyle name="Accent6 98" xfId="1131"/>
    <cellStyle name="Accent6 99" xfId="1132"/>
    <cellStyle name="Bad 10" xfId="1660"/>
    <cellStyle name="Bad 11" xfId="1661"/>
    <cellStyle name="Bad 12" xfId="1663"/>
    <cellStyle name="Bad 13" xfId="1666"/>
    <cellStyle name="Bad 14" xfId="1669"/>
    <cellStyle name="Bad 15" xfId="1670"/>
    <cellStyle name="Bad 16" xfId="82"/>
    <cellStyle name="Bad 2" xfId="83"/>
    <cellStyle name="Bad 2 10" xfId="1673"/>
    <cellStyle name="Bad 2 11" xfId="1678"/>
    <cellStyle name="Bad 2 12" xfId="1672"/>
    <cellStyle name="Bad 2 2" xfId="1133"/>
    <cellStyle name="Bad 2 2 2" xfId="1679"/>
    <cellStyle name="Bad 2 3" xfId="1680"/>
    <cellStyle name="Bad 2 4" xfId="1684"/>
    <cellStyle name="Bad 2 5" xfId="1685"/>
    <cellStyle name="Bad 2 6" xfId="1689"/>
    <cellStyle name="Bad 2 7" xfId="1690"/>
    <cellStyle name="Bad 2 8" xfId="1714"/>
    <cellStyle name="Bad 2 9" xfId="1716"/>
    <cellStyle name="Bad 3" xfId="84"/>
    <cellStyle name="Bad 3 10" xfId="1749"/>
    <cellStyle name="Bad 3 11" xfId="1753"/>
    <cellStyle name="Bad 3 12" xfId="1748"/>
    <cellStyle name="Bad 3 2" xfId="1754"/>
    <cellStyle name="Bad 3 3" xfId="1756"/>
    <cellStyle name="Bad 3 4" xfId="1759"/>
    <cellStyle name="Bad 3 5" xfId="1767"/>
    <cellStyle name="Bad 3 6" xfId="1774"/>
    <cellStyle name="Bad 3 7" xfId="1775"/>
    <cellStyle name="Bad 3 8" xfId="1776"/>
    <cellStyle name="Bad 3 9" xfId="2934"/>
    <cellStyle name="Bad 4" xfId="1135"/>
    <cellStyle name="Bad 4 10" xfId="2936"/>
    <cellStyle name="Bad 4 11" xfId="2937"/>
    <cellStyle name="Bad 4 12" xfId="2935"/>
    <cellStyle name="Bad 4 2" xfId="2938"/>
    <cellStyle name="Bad 4 3" xfId="2939"/>
    <cellStyle name="Bad 4 4" xfId="2940"/>
    <cellStyle name="Bad 4 5" xfId="2941"/>
    <cellStyle name="Bad 4 6" xfId="2942"/>
    <cellStyle name="Bad 4 7" xfId="2943"/>
    <cellStyle name="Bad 4 8" xfId="2944"/>
    <cellStyle name="Bad 4 9" xfId="2945"/>
    <cellStyle name="Bad 5" xfId="2946"/>
    <cellStyle name="Bad 5 10" xfId="2947"/>
    <cellStyle name="Bad 5 11" xfId="2948"/>
    <cellStyle name="Bad 5 2" xfId="2949"/>
    <cellStyle name="Bad 5 3" xfId="2950"/>
    <cellStyle name="Bad 5 4" xfId="2951"/>
    <cellStyle name="Bad 5 5" xfId="2952"/>
    <cellStyle name="Bad 5 6" xfId="2953"/>
    <cellStyle name="Bad 5 7" xfId="2954"/>
    <cellStyle name="Bad 5 8" xfId="2955"/>
    <cellStyle name="Bad 5 9" xfId="2956"/>
    <cellStyle name="Bad 6" xfId="2957"/>
    <cellStyle name="Bad 7" xfId="2958"/>
    <cellStyle name="Bad 8" xfId="2959"/>
    <cellStyle name="Bad 9" xfId="2960"/>
    <cellStyle name="Calculation 10" xfId="2961"/>
    <cellStyle name="Calculation 11" xfId="2962"/>
    <cellStyle name="Calculation 12" xfId="2963"/>
    <cellStyle name="Calculation 13" xfId="2964"/>
    <cellStyle name="Calculation 14" xfId="2965"/>
    <cellStyle name="Calculation 15" xfId="2966"/>
    <cellStyle name="Calculation 16" xfId="85"/>
    <cellStyle name="Calculation 2" xfId="86"/>
    <cellStyle name="Calculation 2 10" xfId="2968"/>
    <cellStyle name="Calculation 2 11" xfId="2969"/>
    <cellStyle name="Calculation 2 12" xfId="2967"/>
    <cellStyle name="Calculation 2 2" xfId="1136"/>
    <cellStyle name="Calculation 2 2 2" xfId="2970"/>
    <cellStyle name="Calculation 2 3" xfId="2971"/>
    <cellStyle name="Calculation 2 4" xfId="2972"/>
    <cellStyle name="Calculation 2 5" xfId="2973"/>
    <cellStyle name="Calculation 2 6" xfId="2974"/>
    <cellStyle name="Calculation 2 7" xfId="2975"/>
    <cellStyle name="Calculation 2 8" xfId="2976"/>
    <cellStyle name="Calculation 2 9" xfId="2977"/>
    <cellStyle name="Calculation 3" xfId="87"/>
    <cellStyle name="Calculation 3 10" xfId="2979"/>
    <cellStyle name="Calculation 3 11" xfId="2980"/>
    <cellStyle name="Calculation 3 12" xfId="2978"/>
    <cellStyle name="Calculation 3 2" xfId="2981"/>
    <cellStyle name="Calculation 3 3" xfId="2982"/>
    <cellStyle name="Calculation 3 4" xfId="2983"/>
    <cellStyle name="Calculation 3 5" xfId="2984"/>
    <cellStyle name="Calculation 3 6" xfId="2985"/>
    <cellStyle name="Calculation 3 7" xfId="2986"/>
    <cellStyle name="Calculation 3 8" xfId="2987"/>
    <cellStyle name="Calculation 3 9" xfId="2988"/>
    <cellStyle name="Calculation 4" xfId="1138"/>
    <cellStyle name="Calculation 4 10" xfId="2990"/>
    <cellStyle name="Calculation 4 11" xfId="2991"/>
    <cellStyle name="Calculation 4 12" xfId="2989"/>
    <cellStyle name="Calculation 4 2" xfId="2992"/>
    <cellStyle name="Calculation 4 3" xfId="2993"/>
    <cellStyle name="Calculation 4 4" xfId="2994"/>
    <cellStyle name="Calculation 4 5" xfId="2995"/>
    <cellStyle name="Calculation 4 6" xfId="2996"/>
    <cellStyle name="Calculation 4 7" xfId="2997"/>
    <cellStyle name="Calculation 4 8" xfId="2998"/>
    <cellStyle name="Calculation 4 9" xfId="2999"/>
    <cellStyle name="Calculation 5" xfId="3000"/>
    <cellStyle name="Calculation 5 10" xfId="3001"/>
    <cellStyle name="Calculation 5 11" xfId="3002"/>
    <cellStyle name="Calculation 5 2" xfId="3003"/>
    <cellStyle name="Calculation 5 3" xfId="3004"/>
    <cellStyle name="Calculation 5 4" xfId="3005"/>
    <cellStyle name="Calculation 5 5" xfId="3006"/>
    <cellStyle name="Calculation 5 6" xfId="3007"/>
    <cellStyle name="Calculation 5 7" xfId="3008"/>
    <cellStyle name="Calculation 5 8" xfId="3009"/>
    <cellStyle name="Calculation 5 9" xfId="3010"/>
    <cellStyle name="Calculation 6" xfId="3011"/>
    <cellStyle name="Calculation 7" xfId="3012"/>
    <cellStyle name="Calculation 8" xfId="3013"/>
    <cellStyle name="Calculation 9" xfId="3014"/>
    <cellStyle name="Check Cell 10" xfId="3015"/>
    <cellStyle name="Check Cell 11" xfId="3016"/>
    <cellStyle name="Check Cell 12" xfId="3017"/>
    <cellStyle name="Check Cell 13" xfId="3018"/>
    <cellStyle name="Check Cell 14" xfId="3019"/>
    <cellStyle name="Check Cell 15" xfId="3020"/>
    <cellStyle name="Check Cell 16" xfId="88"/>
    <cellStyle name="Check Cell 2" xfId="89"/>
    <cellStyle name="Check Cell 2 10" xfId="3022"/>
    <cellStyle name="Check Cell 2 11" xfId="3023"/>
    <cellStyle name="Check Cell 2 12" xfId="3021"/>
    <cellStyle name="Check Cell 2 2" xfId="1139"/>
    <cellStyle name="Check Cell 2 2 2" xfId="3024"/>
    <cellStyle name="Check Cell 2 3" xfId="3025"/>
    <cellStyle name="Check Cell 2 4" xfId="3026"/>
    <cellStyle name="Check Cell 2 5" xfId="3027"/>
    <cellStyle name="Check Cell 2 6" xfId="3028"/>
    <cellStyle name="Check Cell 2 7" xfId="3029"/>
    <cellStyle name="Check Cell 2 8" xfId="3030"/>
    <cellStyle name="Check Cell 2 9" xfId="3031"/>
    <cellStyle name="Check Cell 3" xfId="90"/>
    <cellStyle name="Check Cell 3 10" xfId="3033"/>
    <cellStyle name="Check Cell 3 11" xfId="3034"/>
    <cellStyle name="Check Cell 3 12" xfId="3032"/>
    <cellStyle name="Check Cell 3 2" xfId="3035"/>
    <cellStyle name="Check Cell 3 3" xfId="3036"/>
    <cellStyle name="Check Cell 3 4" xfId="3037"/>
    <cellStyle name="Check Cell 3 5" xfId="3038"/>
    <cellStyle name="Check Cell 3 6" xfId="3039"/>
    <cellStyle name="Check Cell 3 7" xfId="3040"/>
    <cellStyle name="Check Cell 3 8" xfId="3041"/>
    <cellStyle name="Check Cell 3 9" xfId="3042"/>
    <cellStyle name="Check Cell 4" xfId="1141"/>
    <cellStyle name="Check Cell 4 10" xfId="3044"/>
    <cellStyle name="Check Cell 4 11" xfId="3045"/>
    <cellStyle name="Check Cell 4 12" xfId="3043"/>
    <cellStyle name="Check Cell 4 2" xfId="3046"/>
    <cellStyle name="Check Cell 4 3" xfId="3047"/>
    <cellStyle name="Check Cell 4 4" xfId="3048"/>
    <cellStyle name="Check Cell 4 5" xfId="3049"/>
    <cellStyle name="Check Cell 4 6" xfId="3050"/>
    <cellStyle name="Check Cell 4 7" xfId="3051"/>
    <cellStyle name="Check Cell 4 8" xfId="3052"/>
    <cellStyle name="Check Cell 4 9" xfId="3053"/>
    <cellStyle name="Check Cell 5" xfId="3054"/>
    <cellStyle name="Check Cell 5 10" xfId="3055"/>
    <cellStyle name="Check Cell 5 11" xfId="3056"/>
    <cellStyle name="Check Cell 5 2" xfId="3057"/>
    <cellStyle name="Check Cell 5 3" xfId="3058"/>
    <cellStyle name="Check Cell 5 4" xfId="3059"/>
    <cellStyle name="Check Cell 5 5" xfId="3060"/>
    <cellStyle name="Check Cell 5 6" xfId="3061"/>
    <cellStyle name="Check Cell 5 7" xfId="3062"/>
    <cellStyle name="Check Cell 5 8" xfId="3063"/>
    <cellStyle name="Check Cell 5 9" xfId="3064"/>
    <cellStyle name="Check Cell 6" xfId="3065"/>
    <cellStyle name="Check Cell 7" xfId="3066"/>
    <cellStyle name="Check Cell 8" xfId="3067"/>
    <cellStyle name="Check Cell 9" xfId="3068"/>
    <cellStyle name="Comma" xfId="1" builtinId="3"/>
    <cellStyle name="Comma  - Style1" xfId="262"/>
    <cellStyle name="Comma [0] 2" xfId="3069"/>
    <cellStyle name="Comma [0] 2 2" xfId="3070"/>
    <cellStyle name="Comma 10" xfId="263"/>
    <cellStyle name="Comma 11" xfId="264"/>
    <cellStyle name="Comma 11 2" xfId="1145"/>
    <cellStyle name="Comma 11 3" xfId="1144"/>
    <cellStyle name="Comma 12" xfId="265"/>
    <cellStyle name="Comma 12 2" xfId="266"/>
    <cellStyle name="Comma 12 2 2" xfId="1147"/>
    <cellStyle name="Comma 12 3" xfId="1146"/>
    <cellStyle name="Comma 13" xfId="267"/>
    <cellStyle name="Comma 14" xfId="268"/>
    <cellStyle name="Comma 15" xfId="269"/>
    <cellStyle name="Comma 16" xfId="270"/>
    <cellStyle name="Comma 16 2" xfId="1151"/>
    <cellStyle name="Comma 17" xfId="271"/>
    <cellStyle name="Comma 17 2" xfId="1152"/>
    <cellStyle name="Comma 18" xfId="272"/>
    <cellStyle name="Comma 18 2" xfId="1153"/>
    <cellStyle name="Comma 19" xfId="273"/>
    <cellStyle name="Comma 19 2" xfId="1154"/>
    <cellStyle name="Comma 191 2" xfId="4108"/>
    <cellStyle name="Comma 2" xfId="4"/>
    <cellStyle name="Comma 2 10" xfId="4073"/>
    <cellStyle name="Comma 2 11" xfId="92"/>
    <cellStyle name="Comma 2 2" xfId="93"/>
    <cellStyle name="Comma 2 2 2" xfId="218"/>
    <cellStyle name="Comma 2 2 3" xfId="1156"/>
    <cellStyle name="Comma 2 3" xfId="94"/>
    <cellStyle name="Comma 2 3 2" xfId="274"/>
    <cellStyle name="Comma 2 3 3" xfId="1157"/>
    <cellStyle name="Comma 2 3 4" xfId="3072"/>
    <cellStyle name="Comma 2 4" xfId="165"/>
    <cellStyle name="Comma 2 4 2" xfId="1158"/>
    <cellStyle name="Comma 2 5" xfId="217"/>
    <cellStyle name="Comma 2 6" xfId="235"/>
    <cellStyle name="Comma 2 7" xfId="261"/>
    <cellStyle name="Comma 2 8" xfId="1155"/>
    <cellStyle name="Comma 2 9" xfId="3071"/>
    <cellStyle name="Comma 20" xfId="275"/>
    <cellStyle name="Comma 20 2" xfId="1159"/>
    <cellStyle name="Comma 21" xfId="276"/>
    <cellStyle name="Comma 21 2" xfId="1160"/>
    <cellStyle name="Comma 22" xfId="277"/>
    <cellStyle name="Comma 22 2" xfId="1161"/>
    <cellStyle name="Comma 23" xfId="278"/>
    <cellStyle name="Comma 23 2" xfId="1162"/>
    <cellStyle name="Comma 24" xfId="279"/>
    <cellStyle name="Comma 24 2" xfId="1163"/>
    <cellStyle name="Comma 25" xfId="280"/>
    <cellStyle name="Comma 25 2" xfId="1164"/>
    <cellStyle name="Comma 26" xfId="281"/>
    <cellStyle name="Comma 26 2" xfId="1165"/>
    <cellStyle name="Comma 27" xfId="282"/>
    <cellStyle name="Comma 27 2" xfId="1166"/>
    <cellStyle name="Comma 28" xfId="283"/>
    <cellStyle name="Comma 29" xfId="284"/>
    <cellStyle name="Comma 29 2" xfId="1168"/>
    <cellStyle name="Comma 3" xfId="6"/>
    <cellStyle name="Comma 3 2" xfId="224"/>
    <cellStyle name="Comma 3 2 2" xfId="286"/>
    <cellStyle name="Comma 3 2 2 2" xfId="3074"/>
    <cellStyle name="Comma 3 2 3" xfId="1170"/>
    <cellStyle name="Comma 3 2 4" xfId="3073"/>
    <cellStyle name="Comma 3 3" xfId="225"/>
    <cellStyle name="Comma 3 3 2" xfId="3075"/>
    <cellStyle name="Comma 3 4" xfId="285"/>
    <cellStyle name="Comma 3 5" xfId="1169"/>
    <cellStyle name="Comma 3 6" xfId="213"/>
    <cellStyle name="Comma 30" xfId="287"/>
    <cellStyle name="Comma 30 2" xfId="1171"/>
    <cellStyle name="Comma 31" xfId="288"/>
    <cellStyle name="Comma 31 2" xfId="1172"/>
    <cellStyle name="Comma 32" xfId="289"/>
    <cellStyle name="Comma 32 2" xfId="1173"/>
    <cellStyle name="Comma 33" xfId="290"/>
    <cellStyle name="Comma 33 2" xfId="1174"/>
    <cellStyle name="Comma 34" xfId="291"/>
    <cellStyle name="Comma 34 2" xfId="1175"/>
    <cellStyle name="Comma 35" xfId="292"/>
    <cellStyle name="Comma 35 2" xfId="1176"/>
    <cellStyle name="Comma 36" xfId="293"/>
    <cellStyle name="Comma 36 2" xfId="1177"/>
    <cellStyle name="Comma 37" xfId="294"/>
    <cellStyle name="Comma 37 2" xfId="1178"/>
    <cellStyle name="Comma 38" xfId="295"/>
    <cellStyle name="Comma 38 2" xfId="1179"/>
    <cellStyle name="Comma 39" xfId="296"/>
    <cellStyle name="Comma 39 2" xfId="1180"/>
    <cellStyle name="Comma 4" xfId="231"/>
    <cellStyle name="Comma 4 2" xfId="297"/>
    <cellStyle name="Comma 4 2 2" xfId="3076"/>
    <cellStyle name="Comma 4 3" xfId="1181"/>
    <cellStyle name="Comma 4 3 2" xfId="3077"/>
    <cellStyle name="Comma 40" xfId="298"/>
    <cellStyle name="Comma 40 2" xfId="1182"/>
    <cellStyle name="Comma 41" xfId="299"/>
    <cellStyle name="Comma 41 2" xfId="1183"/>
    <cellStyle name="Comma 42" xfId="300"/>
    <cellStyle name="Comma 42 2" xfId="1184"/>
    <cellStyle name="Comma 43" xfId="301"/>
    <cellStyle name="Comma 43 2" xfId="1185"/>
    <cellStyle name="Comma 44" xfId="302"/>
    <cellStyle name="Comma 44 2" xfId="1186"/>
    <cellStyle name="Comma 45" xfId="303"/>
    <cellStyle name="Comma 45 2" xfId="1187"/>
    <cellStyle name="Comma 46" xfId="304"/>
    <cellStyle name="Comma 46 2" xfId="1188"/>
    <cellStyle name="Comma 47" xfId="305"/>
    <cellStyle name="Comma 47 2" xfId="1189"/>
    <cellStyle name="Comma 48" xfId="306"/>
    <cellStyle name="Comma 48 2" xfId="1190"/>
    <cellStyle name="Comma 49" xfId="1191"/>
    <cellStyle name="Comma 5" xfId="307"/>
    <cellStyle name="Comma 5 2" xfId="308"/>
    <cellStyle name="Comma 5 2 2" xfId="1193"/>
    <cellStyle name="Comma 5 2 3" xfId="3079"/>
    <cellStyle name="Comma 5 3" xfId="309"/>
    <cellStyle name="Comma 5 3 2" xfId="1194"/>
    <cellStyle name="Comma 5 4" xfId="1195"/>
    <cellStyle name="Comma 5 5" xfId="1192"/>
    <cellStyle name="Comma 5 6" xfId="3078"/>
    <cellStyle name="Comma 50" xfId="1196"/>
    <cellStyle name="Comma 51" xfId="1197"/>
    <cellStyle name="Comma 52" xfId="1198"/>
    <cellStyle name="Comma 53" xfId="1199"/>
    <cellStyle name="Comma 54" xfId="1200"/>
    <cellStyle name="Comma 55" xfId="1201"/>
    <cellStyle name="Comma 56" xfId="1202"/>
    <cellStyle name="Comma 57" xfId="1203"/>
    <cellStyle name="Comma 58" xfId="1204"/>
    <cellStyle name="Comma 59" xfId="1205"/>
    <cellStyle name="Comma 6" xfId="310"/>
    <cellStyle name="Comma 6 2" xfId="3080"/>
    <cellStyle name="Comma 60" xfId="1207"/>
    <cellStyle name="Comma 61" xfId="1208"/>
    <cellStyle name="Comma 62" xfId="1209"/>
    <cellStyle name="Comma 63" xfId="1210"/>
    <cellStyle name="Comma 64" xfId="1211"/>
    <cellStyle name="Comma 65" xfId="1212"/>
    <cellStyle name="Comma 66" xfId="1213"/>
    <cellStyle name="Comma 67" xfId="1214"/>
    <cellStyle name="Comma 67 2" xfId="1215"/>
    <cellStyle name="Comma 68" xfId="4075"/>
    <cellStyle name="Comma 69" xfId="4087"/>
    <cellStyle name="Comma 7" xfId="226"/>
    <cellStyle name="Comma 7 2" xfId="311"/>
    <cellStyle name="Comma 7 2 2" xfId="3081"/>
    <cellStyle name="Comma 7 3" xfId="1216"/>
    <cellStyle name="Comma 7 4" xfId="4077"/>
    <cellStyle name="Comma 70" xfId="4093"/>
    <cellStyle name="Comma 71" xfId="4100"/>
    <cellStyle name="Comma 72" xfId="4104"/>
    <cellStyle name="Comma 73" xfId="91"/>
    <cellStyle name="Comma 74" xfId="4110"/>
    <cellStyle name="Comma 75" xfId="4109"/>
    <cellStyle name="Comma 8" xfId="237"/>
    <cellStyle name="Comma 8 2" xfId="312"/>
    <cellStyle name="Comma 8 2 2" xfId="3083"/>
    <cellStyle name="Comma 8 3" xfId="1217"/>
    <cellStyle name="Comma 8 4" xfId="3082"/>
    <cellStyle name="Comma 8 5" xfId="4078"/>
    <cellStyle name="Comma 8 6" xfId="4089"/>
    <cellStyle name="Comma 8 7" xfId="4095"/>
    <cellStyle name="Comma 8 8" xfId="4102"/>
    <cellStyle name="Comma 9" xfId="227"/>
    <cellStyle name="Comma 9 2" xfId="313"/>
    <cellStyle name="Comma 9 3" xfId="1218"/>
    <cellStyle name="comma zerodec" xfId="95"/>
    <cellStyle name="comma zerodec 2" xfId="166"/>
    <cellStyle name="comma zerodec 2 2" xfId="3084"/>
    <cellStyle name="comma zerodec 3" xfId="3085"/>
    <cellStyle name="comma zerodec 4" xfId="3086"/>
    <cellStyle name="Curren - Style3" xfId="314"/>
    <cellStyle name="Curren - Style4" xfId="315"/>
    <cellStyle name="Currency 2" xfId="1222"/>
    <cellStyle name="Currency1" xfId="96"/>
    <cellStyle name="Currency1 2" xfId="167"/>
    <cellStyle name="Days" xfId="3087"/>
    <cellStyle name="Dollar (zero dec)" xfId="97"/>
    <cellStyle name="Dollar (zero dec) 2" xfId="168"/>
    <cellStyle name="Emphasis 1" xfId="1225"/>
    <cellStyle name="Emphasis 2" xfId="1226"/>
    <cellStyle name="Emphasis 3" xfId="1227"/>
    <cellStyle name="Explanatory Text 10" xfId="3088"/>
    <cellStyle name="Explanatory Text 11" xfId="3089"/>
    <cellStyle name="Explanatory Text 12" xfId="3090"/>
    <cellStyle name="Explanatory Text 13" xfId="3091"/>
    <cellStyle name="Explanatory Text 14" xfId="3092"/>
    <cellStyle name="Explanatory Text 15" xfId="3093"/>
    <cellStyle name="Explanatory Text 16" xfId="98"/>
    <cellStyle name="Explanatory Text 2" xfId="99"/>
    <cellStyle name="Explanatory Text 2 10" xfId="3095"/>
    <cellStyle name="Explanatory Text 2 11" xfId="3096"/>
    <cellStyle name="Explanatory Text 2 12" xfId="3094"/>
    <cellStyle name="Explanatory Text 2 2" xfId="1228"/>
    <cellStyle name="Explanatory Text 2 2 2" xfId="3097"/>
    <cellStyle name="Explanatory Text 2 3" xfId="3098"/>
    <cellStyle name="Explanatory Text 2 4" xfId="3099"/>
    <cellStyle name="Explanatory Text 2 5" xfId="3100"/>
    <cellStyle name="Explanatory Text 2 6" xfId="3101"/>
    <cellStyle name="Explanatory Text 2 7" xfId="3102"/>
    <cellStyle name="Explanatory Text 2 8" xfId="3103"/>
    <cellStyle name="Explanatory Text 2 9" xfId="3104"/>
    <cellStyle name="Explanatory Text 3" xfId="100"/>
    <cellStyle name="Explanatory Text 3 10" xfId="3106"/>
    <cellStyle name="Explanatory Text 3 11" xfId="3107"/>
    <cellStyle name="Explanatory Text 3 12" xfId="3105"/>
    <cellStyle name="Explanatory Text 3 2" xfId="3108"/>
    <cellStyle name="Explanatory Text 3 3" xfId="3109"/>
    <cellStyle name="Explanatory Text 3 4" xfId="3110"/>
    <cellStyle name="Explanatory Text 3 5" xfId="3111"/>
    <cellStyle name="Explanatory Text 3 6" xfId="3112"/>
    <cellStyle name="Explanatory Text 3 7" xfId="3113"/>
    <cellStyle name="Explanatory Text 3 8" xfId="3114"/>
    <cellStyle name="Explanatory Text 3 9" xfId="3115"/>
    <cellStyle name="Explanatory Text 4" xfId="3116"/>
    <cellStyle name="Explanatory Text 4 10" xfId="3117"/>
    <cellStyle name="Explanatory Text 4 11" xfId="3118"/>
    <cellStyle name="Explanatory Text 4 2" xfId="3119"/>
    <cellStyle name="Explanatory Text 4 3" xfId="3120"/>
    <cellStyle name="Explanatory Text 4 4" xfId="3121"/>
    <cellStyle name="Explanatory Text 4 5" xfId="3122"/>
    <cellStyle name="Explanatory Text 4 6" xfId="3123"/>
    <cellStyle name="Explanatory Text 4 7" xfId="3124"/>
    <cellStyle name="Explanatory Text 4 8" xfId="3125"/>
    <cellStyle name="Explanatory Text 4 9" xfId="3126"/>
    <cellStyle name="Explanatory Text 5" xfId="3127"/>
    <cellStyle name="Explanatory Text 5 10" xfId="3128"/>
    <cellStyle name="Explanatory Text 5 11" xfId="3129"/>
    <cellStyle name="Explanatory Text 5 2" xfId="3130"/>
    <cellStyle name="Explanatory Text 5 3" xfId="3131"/>
    <cellStyle name="Explanatory Text 5 4" xfId="3132"/>
    <cellStyle name="Explanatory Text 5 5" xfId="3133"/>
    <cellStyle name="Explanatory Text 5 6" xfId="3134"/>
    <cellStyle name="Explanatory Text 5 7" xfId="3135"/>
    <cellStyle name="Explanatory Text 5 8" xfId="3136"/>
    <cellStyle name="Explanatory Text 5 9" xfId="3137"/>
    <cellStyle name="Explanatory Text 6" xfId="3138"/>
    <cellStyle name="Explanatory Text 7" xfId="3139"/>
    <cellStyle name="Explanatory Text 8" xfId="3140"/>
    <cellStyle name="Explanatory Text 9" xfId="3141"/>
    <cellStyle name="Good 10" xfId="3142"/>
    <cellStyle name="Good 11" xfId="3143"/>
    <cellStyle name="Good 12" xfId="3144"/>
    <cellStyle name="Good 13" xfId="3145"/>
    <cellStyle name="Good 14" xfId="3146"/>
    <cellStyle name="Good 15" xfId="3147"/>
    <cellStyle name="Good 16" xfId="101"/>
    <cellStyle name="Good 2" xfId="102"/>
    <cellStyle name="Good 2 10" xfId="3149"/>
    <cellStyle name="Good 2 11" xfId="3150"/>
    <cellStyle name="Good 2 12" xfId="3148"/>
    <cellStyle name="Good 2 2" xfId="1230"/>
    <cellStyle name="Good 2 2 2" xfId="3151"/>
    <cellStyle name="Good 2 3" xfId="3152"/>
    <cellStyle name="Good 2 4" xfId="3153"/>
    <cellStyle name="Good 2 5" xfId="3154"/>
    <cellStyle name="Good 2 6" xfId="3155"/>
    <cellStyle name="Good 2 7" xfId="3156"/>
    <cellStyle name="Good 2 8" xfId="3157"/>
    <cellStyle name="Good 2 9" xfId="3158"/>
    <cellStyle name="Good 3" xfId="103"/>
    <cellStyle name="Good 3 10" xfId="3160"/>
    <cellStyle name="Good 3 11" xfId="3161"/>
    <cellStyle name="Good 3 12" xfId="3159"/>
    <cellStyle name="Good 3 2" xfId="3162"/>
    <cellStyle name="Good 3 3" xfId="3163"/>
    <cellStyle name="Good 3 4" xfId="3164"/>
    <cellStyle name="Good 3 5" xfId="3165"/>
    <cellStyle name="Good 3 6" xfId="3166"/>
    <cellStyle name="Good 3 7" xfId="3167"/>
    <cellStyle name="Good 3 8" xfId="3168"/>
    <cellStyle name="Good 3 9" xfId="3169"/>
    <cellStyle name="Good 4" xfId="1232"/>
    <cellStyle name="Good 4 10" xfId="3171"/>
    <cellStyle name="Good 4 11" xfId="3172"/>
    <cellStyle name="Good 4 12" xfId="3170"/>
    <cellStyle name="Good 4 2" xfId="3173"/>
    <cellStyle name="Good 4 3" xfId="3174"/>
    <cellStyle name="Good 4 4" xfId="3175"/>
    <cellStyle name="Good 4 5" xfId="3176"/>
    <cellStyle name="Good 4 6" xfId="3177"/>
    <cellStyle name="Good 4 7" xfId="3178"/>
    <cellStyle name="Good 4 8" xfId="3179"/>
    <cellStyle name="Good 4 9" xfId="3180"/>
    <cellStyle name="Good 5" xfId="3181"/>
    <cellStyle name="Good 5 10" xfId="3182"/>
    <cellStyle name="Good 5 11" xfId="3183"/>
    <cellStyle name="Good 5 2" xfId="3184"/>
    <cellStyle name="Good 5 3" xfId="3185"/>
    <cellStyle name="Good 5 4" xfId="3186"/>
    <cellStyle name="Good 5 5" xfId="3187"/>
    <cellStyle name="Good 5 6" xfId="3188"/>
    <cellStyle name="Good 5 7" xfId="3189"/>
    <cellStyle name="Good 5 8" xfId="3190"/>
    <cellStyle name="Good 5 9" xfId="3191"/>
    <cellStyle name="Good 6" xfId="3192"/>
    <cellStyle name="Good 7" xfId="3193"/>
    <cellStyle name="Good 8" xfId="3194"/>
    <cellStyle name="Good 9" xfId="3195"/>
    <cellStyle name="Grey" xfId="316"/>
    <cellStyle name="Head1" xfId="3196"/>
    <cellStyle name="Head2" xfId="3197"/>
    <cellStyle name="Header1" xfId="104"/>
    <cellStyle name="Header2" xfId="105"/>
    <cellStyle name="Heading" xfId="3198"/>
    <cellStyle name="Heading 1 10" xfId="3199"/>
    <cellStyle name="Heading 1 11" xfId="3200"/>
    <cellStyle name="Heading 1 12" xfId="3201"/>
    <cellStyle name="Heading 1 13" xfId="3202"/>
    <cellStyle name="Heading 1 14" xfId="3203"/>
    <cellStyle name="Heading 1 15" xfId="3204"/>
    <cellStyle name="Heading 1 16" xfId="106"/>
    <cellStyle name="Heading 1 2" xfId="107"/>
    <cellStyle name="Heading 1 2 10" xfId="3206"/>
    <cellStyle name="Heading 1 2 11" xfId="3207"/>
    <cellStyle name="Heading 1 2 12" xfId="3205"/>
    <cellStyle name="Heading 1 2 2" xfId="1236"/>
    <cellStyle name="Heading 1 2 2 2" xfId="3208"/>
    <cellStyle name="Heading 1 2 3" xfId="3209"/>
    <cellStyle name="Heading 1 2 4" xfId="3210"/>
    <cellStyle name="Heading 1 2 5" xfId="3211"/>
    <cellStyle name="Heading 1 2 6" xfId="3212"/>
    <cellStyle name="Heading 1 2 7" xfId="3213"/>
    <cellStyle name="Heading 1 2 8" xfId="3214"/>
    <cellStyle name="Heading 1 2 9" xfId="3215"/>
    <cellStyle name="Heading 1 3" xfId="108"/>
    <cellStyle name="Heading 1 3 10" xfId="3217"/>
    <cellStyle name="Heading 1 3 11" xfId="3218"/>
    <cellStyle name="Heading 1 3 12" xfId="3216"/>
    <cellStyle name="Heading 1 3 2" xfId="3219"/>
    <cellStyle name="Heading 1 3 3" xfId="3220"/>
    <cellStyle name="Heading 1 3 4" xfId="3221"/>
    <cellStyle name="Heading 1 3 5" xfId="3222"/>
    <cellStyle name="Heading 1 3 6" xfId="3223"/>
    <cellStyle name="Heading 1 3 7" xfId="3224"/>
    <cellStyle name="Heading 1 3 8" xfId="3225"/>
    <cellStyle name="Heading 1 3 9" xfId="3226"/>
    <cellStyle name="Heading 1 4" xfId="1238"/>
    <cellStyle name="Heading 1 4 10" xfId="3228"/>
    <cellStyle name="Heading 1 4 11" xfId="3229"/>
    <cellStyle name="Heading 1 4 12" xfId="3227"/>
    <cellStyle name="Heading 1 4 2" xfId="3230"/>
    <cellStyle name="Heading 1 4 3" xfId="3231"/>
    <cellStyle name="Heading 1 4 4" xfId="3232"/>
    <cellStyle name="Heading 1 4 5" xfId="3233"/>
    <cellStyle name="Heading 1 4 6" xfId="3234"/>
    <cellStyle name="Heading 1 4 7" xfId="3235"/>
    <cellStyle name="Heading 1 4 8" xfId="3236"/>
    <cellStyle name="Heading 1 4 9" xfId="3237"/>
    <cellStyle name="Heading 1 5" xfId="3238"/>
    <cellStyle name="Heading 1 5 10" xfId="3239"/>
    <cellStyle name="Heading 1 5 11" xfId="3240"/>
    <cellStyle name="Heading 1 5 2" xfId="3241"/>
    <cellStyle name="Heading 1 5 3" xfId="3242"/>
    <cellStyle name="Heading 1 5 4" xfId="3243"/>
    <cellStyle name="Heading 1 5 5" xfId="3244"/>
    <cellStyle name="Heading 1 5 6" xfId="3245"/>
    <cellStyle name="Heading 1 5 7" xfId="3246"/>
    <cellStyle name="Heading 1 5 8" xfId="3247"/>
    <cellStyle name="Heading 1 5 9" xfId="3248"/>
    <cellStyle name="Heading 1 6" xfId="3249"/>
    <cellStyle name="Heading 1 7" xfId="3250"/>
    <cellStyle name="Heading 1 8" xfId="3251"/>
    <cellStyle name="Heading 1 9" xfId="3252"/>
    <cellStyle name="Heading 2 10" xfId="3253"/>
    <cellStyle name="Heading 2 11" xfId="3254"/>
    <cellStyle name="Heading 2 12" xfId="3255"/>
    <cellStyle name="Heading 2 13" xfId="3256"/>
    <cellStyle name="Heading 2 14" xfId="3257"/>
    <cellStyle name="Heading 2 15" xfId="3258"/>
    <cellStyle name="Heading 2 16" xfId="109"/>
    <cellStyle name="Heading 2 2" xfId="110"/>
    <cellStyle name="Heading 2 2 10" xfId="3260"/>
    <cellStyle name="Heading 2 2 11" xfId="3261"/>
    <cellStyle name="Heading 2 2 12" xfId="3259"/>
    <cellStyle name="Heading 2 2 2" xfId="1239"/>
    <cellStyle name="Heading 2 2 2 2" xfId="3262"/>
    <cellStyle name="Heading 2 2 3" xfId="3263"/>
    <cellStyle name="Heading 2 2 4" xfId="3264"/>
    <cellStyle name="Heading 2 2 5" xfId="3265"/>
    <cellStyle name="Heading 2 2 6" xfId="3266"/>
    <cellStyle name="Heading 2 2 7" xfId="3267"/>
    <cellStyle name="Heading 2 2 8" xfId="3268"/>
    <cellStyle name="Heading 2 2 9" xfId="3269"/>
    <cellStyle name="Heading 2 3" xfId="111"/>
    <cellStyle name="Heading 2 3 10" xfId="3271"/>
    <cellStyle name="Heading 2 3 11" xfId="3272"/>
    <cellStyle name="Heading 2 3 12" xfId="3270"/>
    <cellStyle name="Heading 2 3 2" xfId="3273"/>
    <cellStyle name="Heading 2 3 3" xfId="3274"/>
    <cellStyle name="Heading 2 3 4" xfId="3275"/>
    <cellStyle name="Heading 2 3 5" xfId="3276"/>
    <cellStyle name="Heading 2 3 6" xfId="3277"/>
    <cellStyle name="Heading 2 3 7" xfId="3278"/>
    <cellStyle name="Heading 2 3 8" xfId="3279"/>
    <cellStyle name="Heading 2 3 9" xfId="3280"/>
    <cellStyle name="Heading 2 4" xfId="1241"/>
    <cellStyle name="Heading 2 4 10" xfId="3282"/>
    <cellStyle name="Heading 2 4 11" xfId="3283"/>
    <cellStyle name="Heading 2 4 12" xfId="3281"/>
    <cellStyle name="Heading 2 4 2" xfId="3284"/>
    <cellStyle name="Heading 2 4 3" xfId="3285"/>
    <cellStyle name="Heading 2 4 4" xfId="3286"/>
    <cellStyle name="Heading 2 4 5" xfId="3287"/>
    <cellStyle name="Heading 2 4 6" xfId="3288"/>
    <cellStyle name="Heading 2 4 7" xfId="3289"/>
    <cellStyle name="Heading 2 4 8" xfId="3290"/>
    <cellStyle name="Heading 2 4 9" xfId="3291"/>
    <cellStyle name="Heading 2 5" xfId="3292"/>
    <cellStyle name="Heading 2 5 10" xfId="3293"/>
    <cellStyle name="Heading 2 5 11" xfId="3294"/>
    <cellStyle name="Heading 2 5 2" xfId="3295"/>
    <cellStyle name="Heading 2 5 3" xfId="3296"/>
    <cellStyle name="Heading 2 5 4" xfId="3297"/>
    <cellStyle name="Heading 2 5 5" xfId="3298"/>
    <cellStyle name="Heading 2 5 6" xfId="3299"/>
    <cellStyle name="Heading 2 5 7" xfId="3300"/>
    <cellStyle name="Heading 2 5 8" xfId="3301"/>
    <cellStyle name="Heading 2 5 9" xfId="3302"/>
    <cellStyle name="Heading 2 6" xfId="3303"/>
    <cellStyle name="Heading 2 7" xfId="3304"/>
    <cellStyle name="Heading 2 8" xfId="3305"/>
    <cellStyle name="Heading 2 9" xfId="3306"/>
    <cellStyle name="Heading 3 10" xfId="3307"/>
    <cellStyle name="Heading 3 11" xfId="3308"/>
    <cellStyle name="Heading 3 12" xfId="3309"/>
    <cellStyle name="Heading 3 13" xfId="3310"/>
    <cellStyle name="Heading 3 14" xfId="3311"/>
    <cellStyle name="Heading 3 15" xfId="3312"/>
    <cellStyle name="Heading 3 16" xfId="112"/>
    <cellStyle name="Heading 3 2" xfId="113"/>
    <cellStyle name="Heading 3 2 10" xfId="3314"/>
    <cellStyle name="Heading 3 2 11" xfId="3315"/>
    <cellStyle name="Heading 3 2 12" xfId="3313"/>
    <cellStyle name="Heading 3 2 2" xfId="1242"/>
    <cellStyle name="Heading 3 2 2 2" xfId="3316"/>
    <cellStyle name="Heading 3 2 3" xfId="3317"/>
    <cellStyle name="Heading 3 2 4" xfId="3318"/>
    <cellStyle name="Heading 3 2 5" xfId="3319"/>
    <cellStyle name="Heading 3 2 6" xfId="3320"/>
    <cellStyle name="Heading 3 2 7" xfId="3321"/>
    <cellStyle name="Heading 3 2 8" xfId="3322"/>
    <cellStyle name="Heading 3 2 9" xfId="3323"/>
    <cellStyle name="Heading 3 3" xfId="114"/>
    <cellStyle name="Heading 3 3 10" xfId="3325"/>
    <cellStyle name="Heading 3 3 11" xfId="3326"/>
    <cellStyle name="Heading 3 3 12" xfId="3324"/>
    <cellStyle name="Heading 3 3 2" xfId="3327"/>
    <cellStyle name="Heading 3 3 3" xfId="3328"/>
    <cellStyle name="Heading 3 3 4" xfId="3329"/>
    <cellStyle name="Heading 3 3 5" xfId="3330"/>
    <cellStyle name="Heading 3 3 6" xfId="3331"/>
    <cellStyle name="Heading 3 3 7" xfId="3332"/>
    <cellStyle name="Heading 3 3 8" xfId="3333"/>
    <cellStyle name="Heading 3 3 9" xfId="3334"/>
    <cellStyle name="Heading 3 4" xfId="1244"/>
    <cellStyle name="Heading 3 4 10" xfId="3336"/>
    <cellStyle name="Heading 3 4 11" xfId="3337"/>
    <cellStyle name="Heading 3 4 12" xfId="3335"/>
    <cellStyle name="Heading 3 4 2" xfId="3338"/>
    <cellStyle name="Heading 3 4 3" xfId="3339"/>
    <cellStyle name="Heading 3 4 4" xfId="3340"/>
    <cellStyle name="Heading 3 4 5" xfId="3341"/>
    <cellStyle name="Heading 3 4 6" xfId="3342"/>
    <cellStyle name="Heading 3 4 7" xfId="3343"/>
    <cellStyle name="Heading 3 4 8" xfId="3344"/>
    <cellStyle name="Heading 3 4 9" xfId="3345"/>
    <cellStyle name="Heading 3 5" xfId="3346"/>
    <cellStyle name="Heading 3 5 10" xfId="3347"/>
    <cellStyle name="Heading 3 5 11" xfId="3348"/>
    <cellStyle name="Heading 3 5 2" xfId="3349"/>
    <cellStyle name="Heading 3 5 3" xfId="3350"/>
    <cellStyle name="Heading 3 5 4" xfId="3351"/>
    <cellStyle name="Heading 3 5 5" xfId="3352"/>
    <cellStyle name="Heading 3 5 6" xfId="3353"/>
    <cellStyle name="Heading 3 5 7" xfId="3354"/>
    <cellStyle name="Heading 3 5 8" xfId="3355"/>
    <cellStyle name="Heading 3 5 9" xfId="3356"/>
    <cellStyle name="Heading 3 6" xfId="3357"/>
    <cellStyle name="Heading 3 7" xfId="3358"/>
    <cellStyle name="Heading 3 8" xfId="3359"/>
    <cellStyle name="Heading 3 9" xfId="3360"/>
    <cellStyle name="Heading 4 10" xfId="3361"/>
    <cellStyle name="Heading 4 11" xfId="3362"/>
    <cellStyle name="Heading 4 12" xfId="3363"/>
    <cellStyle name="Heading 4 13" xfId="3364"/>
    <cellStyle name="Heading 4 14" xfId="3365"/>
    <cellStyle name="Heading 4 15" xfId="3366"/>
    <cellStyle name="Heading 4 16" xfId="115"/>
    <cellStyle name="Heading 4 2" xfId="116"/>
    <cellStyle name="Heading 4 2 10" xfId="3368"/>
    <cellStyle name="Heading 4 2 11" xfId="3369"/>
    <cellStyle name="Heading 4 2 12" xfId="3367"/>
    <cellStyle name="Heading 4 2 2" xfId="1245"/>
    <cellStyle name="Heading 4 2 2 2" xfId="3370"/>
    <cellStyle name="Heading 4 2 3" xfId="3371"/>
    <cellStyle name="Heading 4 2 4" xfId="3372"/>
    <cellStyle name="Heading 4 2 5" xfId="3373"/>
    <cellStyle name="Heading 4 2 6" xfId="3374"/>
    <cellStyle name="Heading 4 2 7" xfId="3375"/>
    <cellStyle name="Heading 4 2 8" xfId="3376"/>
    <cellStyle name="Heading 4 2 9" xfId="3377"/>
    <cellStyle name="Heading 4 3" xfId="117"/>
    <cellStyle name="Heading 4 3 10" xfId="3379"/>
    <cellStyle name="Heading 4 3 11" xfId="3380"/>
    <cellStyle name="Heading 4 3 12" xfId="3378"/>
    <cellStyle name="Heading 4 3 2" xfId="3381"/>
    <cellStyle name="Heading 4 3 3" xfId="3382"/>
    <cellStyle name="Heading 4 3 4" xfId="3383"/>
    <cellStyle name="Heading 4 3 5" xfId="3384"/>
    <cellStyle name="Heading 4 3 6" xfId="3385"/>
    <cellStyle name="Heading 4 3 7" xfId="3386"/>
    <cellStyle name="Heading 4 3 8" xfId="3387"/>
    <cellStyle name="Heading 4 3 9" xfId="3388"/>
    <cellStyle name="Heading 4 4" xfId="1247"/>
    <cellStyle name="Heading 4 4 10" xfId="3390"/>
    <cellStyle name="Heading 4 4 11" xfId="3391"/>
    <cellStyle name="Heading 4 4 12" xfId="3389"/>
    <cellStyle name="Heading 4 4 2" xfId="3392"/>
    <cellStyle name="Heading 4 4 3" xfId="3393"/>
    <cellStyle name="Heading 4 4 4" xfId="3394"/>
    <cellStyle name="Heading 4 4 5" xfId="3395"/>
    <cellStyle name="Heading 4 4 6" xfId="3396"/>
    <cellStyle name="Heading 4 4 7" xfId="3397"/>
    <cellStyle name="Heading 4 4 8" xfId="3398"/>
    <cellStyle name="Heading 4 4 9" xfId="3399"/>
    <cellStyle name="Heading 4 5" xfId="3400"/>
    <cellStyle name="Heading 4 5 10" xfId="3401"/>
    <cellStyle name="Heading 4 5 11" xfId="3402"/>
    <cellStyle name="Heading 4 5 2" xfId="3403"/>
    <cellStyle name="Heading 4 5 3" xfId="3404"/>
    <cellStyle name="Heading 4 5 4" xfId="3405"/>
    <cellStyle name="Heading 4 5 5" xfId="3406"/>
    <cellStyle name="Heading 4 5 6" xfId="3407"/>
    <cellStyle name="Heading 4 5 7" xfId="3408"/>
    <cellStyle name="Heading 4 5 8" xfId="3409"/>
    <cellStyle name="Heading 4 5 9" xfId="3410"/>
    <cellStyle name="Heading 4 6" xfId="3411"/>
    <cellStyle name="Heading 4 7" xfId="3412"/>
    <cellStyle name="Heading 4 8" xfId="3413"/>
    <cellStyle name="Heading 4 9" xfId="3414"/>
    <cellStyle name="Hyperlink 10" xfId="317"/>
    <cellStyle name="Hyperlink 11" xfId="318"/>
    <cellStyle name="Hyperlink 12" xfId="319"/>
    <cellStyle name="Hyperlink 13" xfId="320"/>
    <cellStyle name="Hyperlink 14" xfId="321"/>
    <cellStyle name="Hyperlink 15" xfId="322"/>
    <cellStyle name="Hyperlink 15 2" xfId="1253"/>
    <cellStyle name="Hyperlink 16" xfId="1254"/>
    <cellStyle name="Hyperlink 17" xfId="1255"/>
    <cellStyle name="Hyperlink 2" xfId="323"/>
    <cellStyle name="Hyperlink 2 2" xfId="3415"/>
    <cellStyle name="Hyperlink 3" xfId="324"/>
    <cellStyle name="Hyperlink 4" xfId="325"/>
    <cellStyle name="Hyperlink 5" xfId="326"/>
    <cellStyle name="Hyperlink 6" xfId="327"/>
    <cellStyle name="Hyperlink 7" xfId="328"/>
    <cellStyle name="Hyperlink 8" xfId="329"/>
    <cellStyle name="Hyperlink 9" xfId="330"/>
    <cellStyle name="Input [yellow]" xfId="331"/>
    <cellStyle name="Input 10" xfId="1265"/>
    <cellStyle name="Input 10 2" xfId="3416"/>
    <cellStyle name="Input 100" xfId="1266"/>
    <cellStyle name="Input 101" xfId="1267"/>
    <cellStyle name="Input 102" xfId="1268"/>
    <cellStyle name="Input 103" xfId="1269"/>
    <cellStyle name="Input 104" xfId="1270"/>
    <cellStyle name="Input 105" xfId="1271"/>
    <cellStyle name="Input 106" xfId="1272"/>
    <cellStyle name="Input 107" xfId="1273"/>
    <cellStyle name="Input 108" xfId="118"/>
    <cellStyle name="Input 11" xfId="1274"/>
    <cellStyle name="Input 11 2" xfId="3417"/>
    <cellStyle name="Input 12" xfId="1275"/>
    <cellStyle name="Input 12 2" xfId="3418"/>
    <cellStyle name="Input 13" xfId="1276"/>
    <cellStyle name="Input 13 2" xfId="3419"/>
    <cellStyle name="Input 14" xfId="1277"/>
    <cellStyle name="Input 14 2" xfId="3420"/>
    <cellStyle name="Input 15" xfId="1278"/>
    <cellStyle name="Input 15 2" xfId="3421"/>
    <cellStyle name="Input 16" xfId="1279"/>
    <cellStyle name="Input 17" xfId="1280"/>
    <cellStyle name="Input 18" xfId="1281"/>
    <cellStyle name="Input 19" xfId="1282"/>
    <cellStyle name="Input 2" xfId="119"/>
    <cellStyle name="Input 2 10" xfId="3423"/>
    <cellStyle name="Input 2 11" xfId="3424"/>
    <cellStyle name="Input 2 12" xfId="3422"/>
    <cellStyle name="Input 2 2" xfId="1283"/>
    <cellStyle name="Input 2 2 2" xfId="3425"/>
    <cellStyle name="Input 2 3" xfId="3426"/>
    <cellStyle name="Input 2 4" xfId="3427"/>
    <cellStyle name="Input 2 5" xfId="3428"/>
    <cellStyle name="Input 2 6" xfId="3429"/>
    <cellStyle name="Input 2 7" xfId="3430"/>
    <cellStyle name="Input 2 8" xfId="3431"/>
    <cellStyle name="Input 2 9" xfId="3432"/>
    <cellStyle name="Input 20" xfId="1284"/>
    <cellStyle name="Input 21" xfId="1285"/>
    <cellStyle name="Input 22" xfId="1286"/>
    <cellStyle name="Input 23" xfId="1287"/>
    <cellStyle name="Input 24" xfId="1288"/>
    <cellStyle name="Input 25" xfId="1289"/>
    <cellStyle name="Input 26" xfId="1290"/>
    <cellStyle name="Input 27" xfId="1291"/>
    <cellStyle name="Input 28" xfId="1292"/>
    <cellStyle name="Input 29" xfId="1293"/>
    <cellStyle name="Input 3" xfId="120"/>
    <cellStyle name="Input 3 10" xfId="3434"/>
    <cellStyle name="Input 3 11" xfId="3435"/>
    <cellStyle name="Input 3 12" xfId="3433"/>
    <cellStyle name="Input 3 2" xfId="1294"/>
    <cellStyle name="Input 3 2 2" xfId="3436"/>
    <cellStyle name="Input 3 3" xfId="3437"/>
    <cellStyle name="Input 3 4" xfId="3438"/>
    <cellStyle name="Input 3 5" xfId="3439"/>
    <cellStyle name="Input 3 6" xfId="3440"/>
    <cellStyle name="Input 3 7" xfId="3441"/>
    <cellStyle name="Input 3 8" xfId="3442"/>
    <cellStyle name="Input 3 9" xfId="3443"/>
    <cellStyle name="Input 30" xfId="1295"/>
    <cellStyle name="Input 31" xfId="1296"/>
    <cellStyle name="Input 32" xfId="1297"/>
    <cellStyle name="Input 33" xfId="1298"/>
    <cellStyle name="Input 34" xfId="1299"/>
    <cellStyle name="Input 35" xfId="1300"/>
    <cellStyle name="Input 36" xfId="1301"/>
    <cellStyle name="Input 37" xfId="1302"/>
    <cellStyle name="Input 38" xfId="1303"/>
    <cellStyle name="Input 39" xfId="1304"/>
    <cellStyle name="Input 4" xfId="1305"/>
    <cellStyle name="Input 4 10" xfId="3445"/>
    <cellStyle name="Input 4 11" xfId="3446"/>
    <cellStyle name="Input 4 12" xfId="3444"/>
    <cellStyle name="Input 4 2" xfId="3447"/>
    <cellStyle name="Input 4 3" xfId="3448"/>
    <cellStyle name="Input 4 4" xfId="3449"/>
    <cellStyle name="Input 4 5" xfId="3450"/>
    <cellStyle name="Input 4 6" xfId="3451"/>
    <cellStyle name="Input 4 7" xfId="3452"/>
    <cellStyle name="Input 4 8" xfId="3453"/>
    <cellStyle name="Input 4 9" xfId="3454"/>
    <cellStyle name="Input 40" xfId="1306"/>
    <cellStyle name="Input 41" xfId="1307"/>
    <cellStyle name="Input 42" xfId="1308"/>
    <cellStyle name="Input 43" xfId="1309"/>
    <cellStyle name="Input 44" xfId="1310"/>
    <cellStyle name="Input 45" xfId="1311"/>
    <cellStyle name="Input 46" xfId="1312"/>
    <cellStyle name="Input 47" xfId="1313"/>
    <cellStyle name="Input 48" xfId="1314"/>
    <cellStyle name="Input 49" xfId="1315"/>
    <cellStyle name="Input 5" xfId="1316"/>
    <cellStyle name="Input 5 10" xfId="3456"/>
    <cellStyle name="Input 5 11" xfId="3457"/>
    <cellStyle name="Input 5 12" xfId="3455"/>
    <cellStyle name="Input 5 2" xfId="3458"/>
    <cellStyle name="Input 5 3" xfId="3459"/>
    <cellStyle name="Input 5 4" xfId="3460"/>
    <cellStyle name="Input 5 5" xfId="3461"/>
    <cellStyle name="Input 5 6" xfId="3462"/>
    <cellStyle name="Input 5 7" xfId="3463"/>
    <cellStyle name="Input 5 8" xfId="3464"/>
    <cellStyle name="Input 5 9" xfId="3465"/>
    <cellStyle name="Input 50" xfId="1317"/>
    <cellStyle name="Input 51" xfId="1318"/>
    <cellStyle name="Input 52" xfId="1319"/>
    <cellStyle name="Input 53" xfId="1320"/>
    <cellStyle name="Input 54" xfId="1321"/>
    <cellStyle name="Input 55" xfId="1322"/>
    <cellStyle name="Input 56" xfId="1323"/>
    <cellStyle name="Input 57" xfId="1324"/>
    <cellStyle name="Input 58" xfId="1325"/>
    <cellStyle name="Input 59" xfId="1326"/>
    <cellStyle name="Input 6" xfId="1327"/>
    <cellStyle name="Input 6 2" xfId="3466"/>
    <cellStyle name="Input 60" xfId="1328"/>
    <cellStyle name="Input 61" xfId="1329"/>
    <cellStyle name="Input 62" xfId="1330"/>
    <cellStyle name="Input 63" xfId="1331"/>
    <cellStyle name="Input 64" xfId="1332"/>
    <cellStyle name="Input 65" xfId="1333"/>
    <cellStyle name="Input 66" xfId="1334"/>
    <cellStyle name="Input 67" xfId="1335"/>
    <cellStyle name="Input 68" xfId="1336"/>
    <cellStyle name="Input 69" xfId="1337"/>
    <cellStyle name="Input 7" xfId="1338"/>
    <cellStyle name="Input 7 2" xfId="3467"/>
    <cellStyle name="Input 70" xfId="1339"/>
    <cellStyle name="Input 71" xfId="1340"/>
    <cellStyle name="Input 72" xfId="1341"/>
    <cellStyle name="Input 73" xfId="1342"/>
    <cellStyle name="Input 74" xfId="1343"/>
    <cellStyle name="Input 75" xfId="1344"/>
    <cellStyle name="Input 76" xfId="1345"/>
    <cellStyle name="Input 77" xfId="1346"/>
    <cellStyle name="Input 78" xfId="1347"/>
    <cellStyle name="Input 79" xfId="1348"/>
    <cellStyle name="Input 8" xfId="1349"/>
    <cellStyle name="Input 8 2" xfId="3468"/>
    <cellStyle name="Input 80" xfId="1350"/>
    <cellStyle name="Input 81" xfId="1351"/>
    <cellStyle name="Input 82" xfId="1352"/>
    <cellStyle name="Input 83" xfId="1353"/>
    <cellStyle name="Input 84" xfId="1354"/>
    <cellStyle name="Input 85" xfId="1355"/>
    <cellStyle name="Input 86" xfId="1356"/>
    <cellStyle name="Input 87" xfId="1357"/>
    <cellStyle name="Input 88" xfId="1358"/>
    <cellStyle name="Input 89" xfId="1359"/>
    <cellStyle name="Input 9" xfId="1360"/>
    <cellStyle name="Input 9 2" xfId="3469"/>
    <cellStyle name="Input 90" xfId="1361"/>
    <cellStyle name="Input 91" xfId="1362"/>
    <cellStyle name="Input 92" xfId="1363"/>
    <cellStyle name="Input 93" xfId="1364"/>
    <cellStyle name="Input 94" xfId="1365"/>
    <cellStyle name="Input 95" xfId="1366"/>
    <cellStyle name="Input 96" xfId="1367"/>
    <cellStyle name="Input 97" xfId="1368"/>
    <cellStyle name="Input 98" xfId="1369"/>
    <cellStyle name="Input 99" xfId="1370"/>
    <cellStyle name="Komma [0]_Blad1" xfId="232"/>
    <cellStyle name="Komma_Blad1" xfId="228"/>
    <cellStyle name="Linked Cell 10" xfId="3470"/>
    <cellStyle name="Linked Cell 11" xfId="3471"/>
    <cellStyle name="Linked Cell 12" xfId="3472"/>
    <cellStyle name="Linked Cell 13" xfId="3473"/>
    <cellStyle name="Linked Cell 14" xfId="3474"/>
    <cellStyle name="Linked Cell 15" xfId="3475"/>
    <cellStyle name="Linked Cell 16" xfId="121"/>
    <cellStyle name="Linked Cell 2" xfId="122"/>
    <cellStyle name="Linked Cell 2 10" xfId="3477"/>
    <cellStyle name="Linked Cell 2 11" xfId="3478"/>
    <cellStyle name="Linked Cell 2 12" xfId="3476"/>
    <cellStyle name="Linked Cell 2 2" xfId="1371"/>
    <cellStyle name="Linked Cell 2 2 2" xfId="3479"/>
    <cellStyle name="Linked Cell 2 3" xfId="3480"/>
    <cellStyle name="Linked Cell 2 4" xfId="3481"/>
    <cellStyle name="Linked Cell 2 5" xfId="3482"/>
    <cellStyle name="Linked Cell 2 6" xfId="3483"/>
    <cellStyle name="Linked Cell 2 7" xfId="3484"/>
    <cellStyle name="Linked Cell 2 8" xfId="3485"/>
    <cellStyle name="Linked Cell 2 9" xfId="3486"/>
    <cellStyle name="Linked Cell 3" xfId="123"/>
    <cellStyle name="Linked Cell 3 10" xfId="3488"/>
    <cellStyle name="Linked Cell 3 11" xfId="3489"/>
    <cellStyle name="Linked Cell 3 12" xfId="3487"/>
    <cellStyle name="Linked Cell 3 2" xfId="3490"/>
    <cellStyle name="Linked Cell 3 3" xfId="3491"/>
    <cellStyle name="Linked Cell 3 4" xfId="3492"/>
    <cellStyle name="Linked Cell 3 5" xfId="3493"/>
    <cellStyle name="Linked Cell 3 6" xfId="3494"/>
    <cellStyle name="Linked Cell 3 7" xfId="3495"/>
    <cellStyle name="Linked Cell 3 8" xfId="3496"/>
    <cellStyle name="Linked Cell 3 9" xfId="3497"/>
    <cellStyle name="Linked Cell 4" xfId="1373"/>
    <cellStyle name="Linked Cell 4 10" xfId="3499"/>
    <cellStyle name="Linked Cell 4 11" xfId="3500"/>
    <cellStyle name="Linked Cell 4 12" xfId="3498"/>
    <cellStyle name="Linked Cell 4 2" xfId="3501"/>
    <cellStyle name="Linked Cell 4 3" xfId="3502"/>
    <cellStyle name="Linked Cell 4 4" xfId="3503"/>
    <cellStyle name="Linked Cell 4 5" xfId="3504"/>
    <cellStyle name="Linked Cell 4 6" xfId="3505"/>
    <cellStyle name="Linked Cell 4 7" xfId="3506"/>
    <cellStyle name="Linked Cell 4 8" xfId="3507"/>
    <cellStyle name="Linked Cell 4 9" xfId="3508"/>
    <cellStyle name="Linked Cell 5" xfId="3509"/>
    <cellStyle name="Linked Cell 5 10" xfId="3510"/>
    <cellStyle name="Linked Cell 5 11" xfId="3511"/>
    <cellStyle name="Linked Cell 5 2" xfId="3512"/>
    <cellStyle name="Linked Cell 5 3" xfId="3513"/>
    <cellStyle name="Linked Cell 5 4" xfId="3514"/>
    <cellStyle name="Linked Cell 5 5" xfId="3515"/>
    <cellStyle name="Linked Cell 5 6" xfId="3516"/>
    <cellStyle name="Linked Cell 5 7" xfId="3517"/>
    <cellStyle name="Linked Cell 5 8" xfId="3518"/>
    <cellStyle name="Linked Cell 5 9" xfId="3519"/>
    <cellStyle name="Linked Cell 6" xfId="3520"/>
    <cellStyle name="Linked Cell 7" xfId="3521"/>
    <cellStyle name="Linked Cell 8" xfId="3522"/>
    <cellStyle name="Linked Cell 9" xfId="3523"/>
    <cellStyle name="ɱ" xfId="3524"/>
    <cellStyle name="Milliers [0]_AR1194" xfId="332"/>
    <cellStyle name="Milliers_AR1194" xfId="333"/>
    <cellStyle name="Monétaire [0]_AR1194" xfId="334"/>
    <cellStyle name="Monétaire_AR1194" xfId="335"/>
    <cellStyle name="month" xfId="3525"/>
    <cellStyle name="Neutral 10" xfId="3526"/>
    <cellStyle name="Neutral 11" xfId="3527"/>
    <cellStyle name="Neutral 12" xfId="3528"/>
    <cellStyle name="Neutral 13" xfId="3529"/>
    <cellStyle name="Neutral 14" xfId="3530"/>
    <cellStyle name="Neutral 15" xfId="3531"/>
    <cellStyle name="Neutral 16" xfId="124"/>
    <cellStyle name="Neutral 2" xfId="125"/>
    <cellStyle name="Neutral 2 10" xfId="3533"/>
    <cellStyle name="Neutral 2 11" xfId="3534"/>
    <cellStyle name="Neutral 2 12" xfId="3532"/>
    <cellStyle name="Neutral 2 2" xfId="1378"/>
    <cellStyle name="Neutral 2 2 2" xfId="3535"/>
    <cellStyle name="Neutral 2 3" xfId="3536"/>
    <cellStyle name="Neutral 2 4" xfId="3537"/>
    <cellStyle name="Neutral 2 5" xfId="3538"/>
    <cellStyle name="Neutral 2 6" xfId="3539"/>
    <cellStyle name="Neutral 2 7" xfId="3540"/>
    <cellStyle name="Neutral 2 8" xfId="3541"/>
    <cellStyle name="Neutral 2 9" xfId="3542"/>
    <cellStyle name="Neutral 3" xfId="126"/>
    <cellStyle name="Neutral 3 10" xfId="3544"/>
    <cellStyle name="Neutral 3 11" xfId="3545"/>
    <cellStyle name="Neutral 3 12" xfId="3543"/>
    <cellStyle name="Neutral 3 2" xfId="3546"/>
    <cellStyle name="Neutral 3 3" xfId="3547"/>
    <cellStyle name="Neutral 3 4" xfId="3548"/>
    <cellStyle name="Neutral 3 5" xfId="3549"/>
    <cellStyle name="Neutral 3 6" xfId="3550"/>
    <cellStyle name="Neutral 3 7" xfId="3551"/>
    <cellStyle name="Neutral 3 8" xfId="3552"/>
    <cellStyle name="Neutral 3 9" xfId="3553"/>
    <cellStyle name="Neutral 4" xfId="1380"/>
    <cellStyle name="Neutral 4 10" xfId="3555"/>
    <cellStyle name="Neutral 4 11" xfId="3556"/>
    <cellStyle name="Neutral 4 12" xfId="3554"/>
    <cellStyle name="Neutral 4 2" xfId="3557"/>
    <cellStyle name="Neutral 4 3" xfId="3558"/>
    <cellStyle name="Neutral 4 4" xfId="3559"/>
    <cellStyle name="Neutral 4 5" xfId="3560"/>
    <cellStyle name="Neutral 4 6" xfId="3561"/>
    <cellStyle name="Neutral 4 7" xfId="3562"/>
    <cellStyle name="Neutral 4 8" xfId="3563"/>
    <cellStyle name="Neutral 4 9" xfId="3564"/>
    <cellStyle name="Neutral 5" xfId="3565"/>
    <cellStyle name="Neutral 5 10" xfId="3566"/>
    <cellStyle name="Neutral 5 11" xfId="3567"/>
    <cellStyle name="Neutral 5 2" xfId="3568"/>
    <cellStyle name="Neutral 5 3" xfId="3569"/>
    <cellStyle name="Neutral 5 4" xfId="3570"/>
    <cellStyle name="Neutral 5 5" xfId="3571"/>
    <cellStyle name="Neutral 5 6" xfId="3572"/>
    <cellStyle name="Neutral 5 7" xfId="3573"/>
    <cellStyle name="Neutral 5 8" xfId="3574"/>
    <cellStyle name="Neutral 5 9" xfId="3575"/>
    <cellStyle name="Neutral 6" xfId="3576"/>
    <cellStyle name="Neutral 7" xfId="3577"/>
    <cellStyle name="Neutral 8" xfId="3578"/>
    <cellStyle name="Neutral 9" xfId="3579"/>
    <cellStyle name="no dec" xfId="336"/>
    <cellStyle name="Normal" xfId="0" builtinId="0"/>
    <cellStyle name="Normal - Style1" xfId="127"/>
    <cellStyle name="Normal - Style5" xfId="337"/>
    <cellStyle name="Normal 10" xfId="169"/>
    <cellStyle name="Normal 10 2" xfId="338"/>
    <cellStyle name="Normal 100" xfId="1385"/>
    <cellStyle name="Normal 101" xfId="1386"/>
    <cellStyle name="Normal 102" xfId="1387"/>
    <cellStyle name="Normal 103" xfId="1388"/>
    <cellStyle name="Normal 104" xfId="1389"/>
    <cellStyle name="Normal 105" xfId="1390"/>
    <cellStyle name="Normal 106" xfId="1391"/>
    <cellStyle name="Normal 107" xfId="1392"/>
    <cellStyle name="Normal 108" xfId="1393"/>
    <cellStyle name="Normal 109" xfId="1394"/>
    <cellStyle name="Normal 11" xfId="174"/>
    <cellStyle name="Normal 11 2" xfId="223"/>
    <cellStyle name="Normal 110" xfId="1396"/>
    <cellStyle name="Normal 111" xfId="1397"/>
    <cellStyle name="Normal 112" xfId="1398"/>
    <cellStyle name="Normal 113" xfId="1399"/>
    <cellStyle name="Normal 114" xfId="1400"/>
    <cellStyle name="Normal 115" xfId="1401"/>
    <cellStyle name="Normal 116" xfId="1402"/>
    <cellStyle name="Normal 117" xfId="1403"/>
    <cellStyle name="Normal 118" xfId="1404"/>
    <cellStyle name="Normal 119" xfId="1405"/>
    <cellStyle name="Normal 12" xfId="214"/>
    <cellStyle name="Normal 12 2" xfId="229"/>
    <cellStyle name="Normal 12 3" xfId="339"/>
    <cellStyle name="Normal 120" xfId="1407"/>
    <cellStyle name="Normal 120 2" xfId="1408"/>
    <cellStyle name="Normal 121" xfId="1409"/>
    <cellStyle name="Normal 122" xfId="1410"/>
    <cellStyle name="Normal 123" xfId="1411"/>
    <cellStyle name="Normal 124" xfId="1412"/>
    <cellStyle name="Normal 125" xfId="1413"/>
    <cellStyle name="Normal 126" xfId="1414"/>
    <cellStyle name="Normal 127" xfId="1415"/>
    <cellStyle name="Normal 128" xfId="1416"/>
    <cellStyle name="Normal 129" xfId="1417"/>
    <cellStyle name="Normal 13" xfId="215"/>
    <cellStyle name="Normal 13 2" xfId="230"/>
    <cellStyle name="Normal 13 2 2" xfId="3580"/>
    <cellStyle name="Normal 13 3" xfId="340"/>
    <cellStyle name="Normal 13 3 2" xfId="3581"/>
    <cellStyle name="Normal 130" xfId="1419"/>
    <cellStyle name="Normal 131" xfId="1420"/>
    <cellStyle name="Normal 132" xfId="1421"/>
    <cellStyle name="Normal 133" xfId="1422"/>
    <cellStyle name="Normal 134" xfId="1423"/>
    <cellStyle name="Normal 135" xfId="1424"/>
    <cellStyle name="Normal 136" xfId="1425"/>
    <cellStyle name="Normal 137" xfId="1426"/>
    <cellStyle name="Normal 138" xfId="1427"/>
    <cellStyle name="Normal 139" xfId="1428"/>
    <cellStyle name="Normal 14" xfId="216"/>
    <cellStyle name="Normal 14 2" xfId="234"/>
    <cellStyle name="Normal 14 2 2" xfId="3583"/>
    <cellStyle name="Normal 14 3" xfId="341"/>
    <cellStyle name="Normal 14 3 2" xfId="3584"/>
    <cellStyle name="Normal 14 4" xfId="3582"/>
    <cellStyle name="Normal 14 5" xfId="4079"/>
    <cellStyle name="Normal 14 6" xfId="4090"/>
    <cellStyle name="Normal 14 7" xfId="4096"/>
    <cellStyle name="Normal 14 8" xfId="4103"/>
    <cellStyle name="Normal 140" xfId="1430"/>
    <cellStyle name="Normal 141" xfId="1431"/>
    <cellStyle name="Normal 142" xfId="1432"/>
    <cellStyle name="Normal 143" xfId="1433"/>
    <cellStyle name="Normal 144" xfId="1434"/>
    <cellStyle name="Normal 145" xfId="1435"/>
    <cellStyle name="Normal 146" xfId="1436"/>
    <cellStyle name="Normal 147" xfId="1437"/>
    <cellStyle name="Normal 148" xfId="1438"/>
    <cellStyle name="Normal 149" xfId="1439"/>
    <cellStyle name="Normal 15" xfId="220"/>
    <cellStyle name="Normal 15 2" xfId="238"/>
    <cellStyle name="Normal 15 2 2" xfId="3585"/>
    <cellStyle name="Normal 150" xfId="1441"/>
    <cellStyle name="Normal 151" xfId="1442"/>
    <cellStyle name="Normal 152" xfId="1443"/>
    <cellStyle name="Normal 153" xfId="1444"/>
    <cellStyle name="Normal 154" xfId="1445"/>
    <cellStyle name="Normal 155" xfId="1446"/>
    <cellStyle name="Normal 156" xfId="1447"/>
    <cellStyle name="Normal 157" xfId="1448"/>
    <cellStyle name="Normal 158" xfId="1449"/>
    <cellStyle name="Normal 159" xfId="1450"/>
    <cellStyle name="Normal 16" xfId="221"/>
    <cellStyle name="Normal 16 2" xfId="239"/>
    <cellStyle name="Normal 16 2 2" xfId="3586"/>
    <cellStyle name="Normal 16 3" xfId="342"/>
    <cellStyle name="Normal 160" xfId="1452"/>
    <cellStyle name="Normal 161" xfId="1453"/>
    <cellStyle name="Normal 162" xfId="1454"/>
    <cellStyle name="Normal 163" xfId="1455"/>
    <cellStyle name="Normal 164" xfId="1456"/>
    <cellStyle name="Normal 165" xfId="1457"/>
    <cellStyle name="Normal 166" xfId="1458"/>
    <cellStyle name="Normal 167" xfId="1459"/>
    <cellStyle name="Normal 168" xfId="1460"/>
    <cellStyle name="Normal 169" xfId="1461"/>
    <cellStyle name="Normal 17" xfId="222"/>
    <cellStyle name="Normal 17 2" xfId="343"/>
    <cellStyle name="Normal 17 2 2" xfId="3588"/>
    <cellStyle name="Normal 17 3" xfId="3587"/>
    <cellStyle name="Normal 17 4" xfId="4076"/>
    <cellStyle name="Normal 17 5" xfId="4088"/>
    <cellStyle name="Normal 17 6" xfId="4094"/>
    <cellStyle name="Normal 17 7" xfId="4101"/>
    <cellStyle name="Normal 170" xfId="1463"/>
    <cellStyle name="Normal 171" xfId="1464"/>
    <cellStyle name="Normal 172" xfId="1465"/>
    <cellStyle name="Normal 173" xfId="1466"/>
    <cellStyle name="Normal 174" xfId="1467"/>
    <cellStyle name="Normal 175" xfId="1468"/>
    <cellStyle name="Normal 176" xfId="1469"/>
    <cellStyle name="Normal 177" xfId="1470"/>
    <cellStyle name="Normal 178" xfId="1471"/>
    <cellStyle name="Normal 179" xfId="1472"/>
    <cellStyle name="Normal 18" xfId="233"/>
    <cellStyle name="Normal 18 2" xfId="344"/>
    <cellStyle name="Normal 18 2 2" xfId="3590"/>
    <cellStyle name="Normal 18 3" xfId="3589"/>
    <cellStyle name="Normal 180" xfId="1474"/>
    <cellStyle name="Normal 181" xfId="1475"/>
    <cellStyle name="Normal 182" xfId="1476"/>
    <cellStyle name="Normal 183" xfId="1477"/>
    <cellStyle name="Normal 184" xfId="1478"/>
    <cellStyle name="Normal 185" xfId="1479"/>
    <cellStyle name="Normal 186" xfId="1480"/>
    <cellStyle name="Normal 187" xfId="1481"/>
    <cellStyle name="Normal 188" xfId="1482"/>
    <cellStyle name="Normal 189" xfId="1483"/>
    <cellStyle name="Normal 19" xfId="236"/>
    <cellStyle name="Normal 19 2" xfId="345"/>
    <cellStyle name="Normal 19 2 2" xfId="3592"/>
    <cellStyle name="Normal 19 3" xfId="3591"/>
    <cellStyle name="Normal 190" xfId="1485"/>
    <cellStyle name="Normal 191" xfId="1486"/>
    <cellStyle name="Normal 192" xfId="1487"/>
    <cellStyle name="Normal 193" xfId="1488"/>
    <cellStyle name="Normal 194" xfId="1489"/>
    <cellStyle name="Normal 195" xfId="1490"/>
    <cellStyle name="Normal 196" xfId="1491"/>
    <cellStyle name="Normal 197" xfId="1492"/>
    <cellStyle name="Normal 198" xfId="1493"/>
    <cellStyle name="Normal 199" xfId="1494"/>
    <cellStyle name="Normal 2" xfId="5"/>
    <cellStyle name="Normal 2 2" xfId="129"/>
    <cellStyle name="Normal 2 2 2" xfId="1497"/>
    <cellStyle name="Normal 2 2 2 2" xfId="3594"/>
    <cellStyle name="Normal 2 2 3" xfId="3593"/>
    <cellStyle name="Normal 2 3" xfId="130"/>
    <cellStyle name="Normal 2 3 2" xfId="1498"/>
    <cellStyle name="Normal 2 3 2 2" xfId="3595"/>
    <cellStyle name="Normal 2 4" xfId="162"/>
    <cellStyle name="Normal 2 4 2" xfId="1499"/>
    <cellStyle name="Normal 2 4 3" xfId="3596"/>
    <cellStyle name="Normal 2 5" xfId="240"/>
    <cellStyle name="Normal 2 5 2" xfId="1500"/>
    <cellStyle name="Normal 2 5 3" xfId="3597"/>
    <cellStyle name="Normal 2 6" xfId="1501"/>
    <cellStyle name="Normal 2 6 2" xfId="3598"/>
    <cellStyle name="Normal 2 7" xfId="1502"/>
    <cellStyle name="Normal 2 7 2" xfId="3599"/>
    <cellStyle name="Normal 2 8" xfId="3600"/>
    <cellStyle name="Normal 2 9" xfId="128"/>
    <cellStyle name="Normal 20" xfId="256"/>
    <cellStyle name="Normal 20 2" xfId="346"/>
    <cellStyle name="Normal 20 2 2" xfId="3602"/>
    <cellStyle name="Normal 20 3" xfId="3601"/>
    <cellStyle name="Normal 200" xfId="1504"/>
    <cellStyle name="Normal 201" xfId="1505"/>
    <cellStyle name="Normal 202" xfId="1506"/>
    <cellStyle name="Normal 203" xfId="1507"/>
    <cellStyle name="Normal 204" xfId="1508"/>
    <cellStyle name="Normal 205" xfId="1509"/>
    <cellStyle name="Normal 206" xfId="1510"/>
    <cellStyle name="Normal 207" xfId="1511"/>
    <cellStyle name="Normal 208" xfId="1512"/>
    <cellStyle name="Normal 209" xfId="1513"/>
    <cellStyle name="Normal 21" xfId="347"/>
    <cellStyle name="Normal 21 2" xfId="3603"/>
    <cellStyle name="Normal 210" xfId="1515"/>
    <cellStyle name="Normal 211" xfId="1516"/>
    <cellStyle name="Normal 212" xfId="1517"/>
    <cellStyle name="Normal 213" xfId="1518"/>
    <cellStyle name="Normal 214" xfId="1519"/>
    <cellStyle name="Normal 215" xfId="1520"/>
    <cellStyle name="Normal 216" xfId="1521"/>
    <cellStyle name="Normal 217" xfId="1522"/>
    <cellStyle name="Normal 218" xfId="1523"/>
    <cellStyle name="Normal 219" xfId="1524"/>
    <cellStyle name="Normal 22" xfId="348"/>
    <cellStyle name="Normal 22 2" xfId="3604"/>
    <cellStyle name="Normal 220" xfId="1526"/>
    <cellStyle name="Normal 221" xfId="1527"/>
    <cellStyle name="Normal 222" xfId="1528"/>
    <cellStyle name="Normal 223" xfId="1529"/>
    <cellStyle name="Normal 224" xfId="1530"/>
    <cellStyle name="Normal 225" xfId="1531"/>
    <cellStyle name="Normal 226" xfId="1532"/>
    <cellStyle name="Normal 227" xfId="1533"/>
    <cellStyle name="Normal 228" xfId="1534"/>
    <cellStyle name="Normal 229" xfId="1535"/>
    <cellStyle name="Normal 23" xfId="349"/>
    <cellStyle name="Normal 23 2" xfId="3605"/>
    <cellStyle name="Normal 230" xfId="1537"/>
    <cellStyle name="Normal 231" xfId="1538"/>
    <cellStyle name="Normal 232" xfId="1539"/>
    <cellStyle name="Normal 233" xfId="1540"/>
    <cellStyle name="Normal 234" xfId="1541"/>
    <cellStyle name="Normal 235" xfId="1542"/>
    <cellStyle name="Normal 236" xfId="1543"/>
    <cellStyle name="Normal 237" xfId="1544"/>
    <cellStyle name="Normal 238" xfId="1545"/>
    <cellStyle name="Normal 239" xfId="440"/>
    <cellStyle name="Normal 24" xfId="350"/>
    <cellStyle name="Normal 24 2" xfId="3606"/>
    <cellStyle name="Normal 240" xfId="1777"/>
    <cellStyle name="Normal 241" xfId="2933"/>
    <cellStyle name="Normal 242" xfId="4060"/>
    <cellStyle name="Normal 243" xfId="4072"/>
    <cellStyle name="Normal 244" xfId="4074"/>
    <cellStyle name="Normal 245" xfId="4086"/>
    <cellStyle name="Normal 246" xfId="4092"/>
    <cellStyle name="Normal 247" xfId="4099"/>
    <cellStyle name="Normal 248" xfId="4105"/>
    <cellStyle name="Normal 249" xfId="7"/>
    <cellStyle name="Normal 25" xfId="351"/>
    <cellStyle name="Normal 25 2" xfId="1547"/>
    <cellStyle name="Normal 25 3" xfId="3607"/>
    <cellStyle name="Normal 26" xfId="352"/>
    <cellStyle name="Normal 26 2" xfId="1548"/>
    <cellStyle name="Normal 26 3" xfId="3608"/>
    <cellStyle name="Normal 27" xfId="353"/>
    <cellStyle name="Normal 27 2" xfId="3609"/>
    <cellStyle name="Normal 28" xfId="354"/>
    <cellStyle name="Normal 28 2" xfId="3610"/>
    <cellStyle name="Normal 29" xfId="355"/>
    <cellStyle name="Normal 29 2" xfId="3611"/>
    <cellStyle name="Normal 3" xfId="131"/>
    <cellStyle name="Normal 3 10" xfId="3612"/>
    <cellStyle name="Normal 3 11" xfId="3613"/>
    <cellStyle name="Normal 3 2" xfId="132"/>
    <cellStyle name="Normal 3 2 2" xfId="242"/>
    <cellStyle name="Normal 3 2 2 2" xfId="357"/>
    <cellStyle name="Normal 3 2 2 3" xfId="3615"/>
    <cellStyle name="Normal 3 2 3" xfId="356"/>
    <cellStyle name="Normal 3 2 4" xfId="3614"/>
    <cellStyle name="Normal 3 3" xfId="163"/>
    <cellStyle name="Normal 3 3 2" xfId="3616"/>
    <cellStyle name="Normal 3 4" xfId="241"/>
    <cellStyle name="Normal 3 4 2" xfId="3617"/>
    <cellStyle name="Normal 3 5" xfId="1552"/>
    <cellStyle name="Normal 3 5 2" xfId="3618"/>
    <cellStyle name="Normal 3 6" xfId="3619"/>
    <cellStyle name="Normal 3 7" xfId="3620"/>
    <cellStyle name="Normal 3 8" xfId="3621"/>
    <cellStyle name="Normal 3 9" xfId="3622"/>
    <cellStyle name="Normal 30" xfId="358"/>
    <cellStyle name="Normal 30 2" xfId="3623"/>
    <cellStyle name="Normal 31" xfId="359"/>
    <cellStyle name="Normal 31 2" xfId="3625"/>
    <cellStyle name="Normal 31 2 2" xfId="4085"/>
    <cellStyle name="Normal 31 2 2 2 2" xfId="4098"/>
    <cellStyle name="Normal 31 2 2 2 2 2" xfId="4107"/>
    <cellStyle name="Normal 31 2 3" xfId="4091"/>
    <cellStyle name="Normal 31 2 4" xfId="4097"/>
    <cellStyle name="Normal 31 2 5" xfId="4106"/>
    <cellStyle name="Normal 31 3" xfId="3624"/>
    <cellStyle name="Normal 32" xfId="360"/>
    <cellStyle name="Normal 33" xfId="361"/>
    <cellStyle name="Normal 34" xfId="362"/>
    <cellStyle name="Normal 35" xfId="363"/>
    <cellStyle name="Normal 36" xfId="364"/>
    <cellStyle name="Normal 37" xfId="365"/>
    <cellStyle name="Normal 38" xfId="366"/>
    <cellStyle name="Normal 39" xfId="367"/>
    <cellStyle name="Normal 399" xfId="3"/>
    <cellStyle name="Normal 4" xfId="160"/>
    <cellStyle name="Normal 4 10" xfId="3627"/>
    <cellStyle name="Normal 4 11" xfId="3628"/>
    <cellStyle name="Normal 4 12" xfId="3629"/>
    <cellStyle name="Normal 4 13" xfId="3626"/>
    <cellStyle name="Normal 4 2" xfId="219"/>
    <cellStyle name="Normal 4 2 2" xfId="3631"/>
    <cellStyle name="Normal 4 2 3" xfId="3632"/>
    <cellStyle name="Normal 4 2 4" xfId="3630"/>
    <cellStyle name="Normal 4 3" xfId="368"/>
    <cellStyle name="Normal 4 3 2" xfId="3633"/>
    <cellStyle name="Normal 4 4" xfId="3634"/>
    <cellStyle name="Normal 4 5" xfId="3635"/>
    <cellStyle name="Normal 4 6" xfId="3636"/>
    <cellStyle name="Normal 4 7" xfId="3637"/>
    <cellStyle name="Normal 4 8" xfId="3638"/>
    <cellStyle name="Normal 4 9" xfId="3639"/>
    <cellStyle name="Normal 40" xfId="369"/>
    <cellStyle name="Normal 41" xfId="370"/>
    <cellStyle name="Normal 42" xfId="371"/>
    <cellStyle name="Normal 43" xfId="372"/>
    <cellStyle name="Normal 44" xfId="373"/>
    <cellStyle name="Normal 45" xfId="374"/>
    <cellStyle name="Normal 46" xfId="375"/>
    <cellStyle name="Normal 47" xfId="376"/>
    <cellStyle name="Normal 48" xfId="377"/>
    <cellStyle name="Normal 49" xfId="378"/>
    <cellStyle name="Normal 5" xfId="170"/>
    <cellStyle name="Normal 5 10" xfId="3640"/>
    <cellStyle name="Normal 5 11" xfId="3641"/>
    <cellStyle name="Normal 5 12" xfId="3642"/>
    <cellStyle name="Normal 5 2" xfId="244"/>
    <cellStyle name="Normal 5 2 2" xfId="380"/>
    <cellStyle name="Normal 5 3" xfId="243"/>
    <cellStyle name="Normal 5 3 2" xfId="3643"/>
    <cellStyle name="Normal 5 4" xfId="379"/>
    <cellStyle name="Normal 5 4 2" xfId="3644"/>
    <cellStyle name="Normal 5 5" xfId="1576"/>
    <cellStyle name="Normal 5 5 2" xfId="3645"/>
    <cellStyle name="Normal 5 6" xfId="3646"/>
    <cellStyle name="Normal 5 7" xfId="3647"/>
    <cellStyle name="Normal 5 8" xfId="3648"/>
    <cellStyle name="Normal 5 9" xfId="3649"/>
    <cellStyle name="Normal 5_Assumption of Load SCOD_data updated_22 Jun 2010_send out" xfId="3650"/>
    <cellStyle name="Normal 50" xfId="381"/>
    <cellStyle name="Normal 51" xfId="382"/>
    <cellStyle name="Normal 52" xfId="383"/>
    <cellStyle name="Normal 53" xfId="384"/>
    <cellStyle name="Normal 54" xfId="385"/>
    <cellStyle name="Normal 55" xfId="386"/>
    <cellStyle name="Normal 56" xfId="387"/>
    <cellStyle name="Normal 57" xfId="388"/>
    <cellStyle name="Normal 58" xfId="389"/>
    <cellStyle name="Normal 59" xfId="390"/>
    <cellStyle name="Normal 6" xfId="161"/>
    <cellStyle name="Normal 6 10" xfId="3651"/>
    <cellStyle name="Normal 6 11" xfId="3652"/>
    <cellStyle name="Normal 6 2" xfId="246"/>
    <cellStyle name="Normal 6 2 2" xfId="1590"/>
    <cellStyle name="Normal 6 2 2 2" xfId="3653"/>
    <cellStyle name="Normal 6 2 3" xfId="1589"/>
    <cellStyle name="Normal 6 3" xfId="245"/>
    <cellStyle name="Normal 6 3 2" xfId="3654"/>
    <cellStyle name="Normal 6 4" xfId="391"/>
    <cellStyle name="Normal 6 4 2" xfId="3655"/>
    <cellStyle name="Normal 6 5" xfId="3656"/>
    <cellStyle name="Normal 6 6" xfId="3657"/>
    <cellStyle name="Normal 6 7" xfId="3658"/>
    <cellStyle name="Normal 6 8" xfId="3659"/>
    <cellStyle name="Normal 6 9" xfId="3660"/>
    <cellStyle name="Normal 60" xfId="392"/>
    <cellStyle name="Normal 61" xfId="393"/>
    <cellStyle name="Normal 62" xfId="394"/>
    <cellStyle name="Normal 63" xfId="395"/>
    <cellStyle name="Normal 64" xfId="396"/>
    <cellStyle name="Normal 65" xfId="397"/>
    <cellStyle name="Normal 66" xfId="398"/>
    <cellStyle name="Normal 67" xfId="399"/>
    <cellStyle name="Normal 68" xfId="400"/>
    <cellStyle name="Normal 69" xfId="401"/>
    <cellStyle name="Normal 7" xfId="164"/>
    <cellStyle name="Normal 7 10" xfId="3661"/>
    <cellStyle name="Normal 7 11" xfId="3662"/>
    <cellStyle name="Normal 7 2" xfId="248"/>
    <cellStyle name="Normal 7 2 2" xfId="1602"/>
    <cellStyle name="Normal 7 2 2 2" xfId="3663"/>
    <cellStyle name="Normal 7 3" xfId="247"/>
    <cellStyle name="Normal 7 3 2" xfId="3664"/>
    <cellStyle name="Normal 7 4" xfId="402"/>
    <cellStyle name="Normal 7 4 2" xfId="3665"/>
    <cellStyle name="Normal 7 5" xfId="3666"/>
    <cellStyle name="Normal 7 6" xfId="3667"/>
    <cellStyle name="Normal 7 7" xfId="3668"/>
    <cellStyle name="Normal 7 8" xfId="3669"/>
    <cellStyle name="Normal 7 9" xfId="3670"/>
    <cellStyle name="Normal 70" xfId="403"/>
    <cellStyle name="Normal 71" xfId="404"/>
    <cellStyle name="Normal 72" xfId="405"/>
    <cellStyle name="Normal 73" xfId="406"/>
    <cellStyle name="Normal 74" xfId="407"/>
    <cellStyle name="Normal 75" xfId="408"/>
    <cellStyle name="Normal 76" xfId="409"/>
    <cellStyle name="Normal 77" xfId="410"/>
    <cellStyle name="Normal 78" xfId="411"/>
    <cellStyle name="Normal 79" xfId="412"/>
    <cellStyle name="Normal 8" xfId="172"/>
    <cellStyle name="Normal 8 10" xfId="1614"/>
    <cellStyle name="Normal 8 11" xfId="1615"/>
    <cellStyle name="Normal 8 12" xfId="1616"/>
    <cellStyle name="Normal 8 13" xfId="1617"/>
    <cellStyle name="Normal 8 14" xfId="1618"/>
    <cellStyle name="Normal 8 15" xfId="1619"/>
    <cellStyle name="Normal 8 16" xfId="1620"/>
    <cellStyle name="Normal 8 17" xfId="1621"/>
    <cellStyle name="Normal 8 18" xfId="1622"/>
    <cellStyle name="Normal 8 19" xfId="1623"/>
    <cellStyle name="Normal 8 2" xfId="249"/>
    <cellStyle name="Normal 8 2 2" xfId="414"/>
    <cellStyle name="Normal 8 2 2 2" xfId="1625"/>
    <cellStyle name="Normal 8 2 3" xfId="1624"/>
    <cellStyle name="Normal 8 20" xfId="1626"/>
    <cellStyle name="Normal 8 21" xfId="1627"/>
    <cellStyle name="Normal 8 22" xfId="1628"/>
    <cellStyle name="Normal 8 23" xfId="1629"/>
    <cellStyle name="Normal 8 3" xfId="413"/>
    <cellStyle name="Normal 8 3 2" xfId="1630"/>
    <cellStyle name="Normal 8 4" xfId="1631"/>
    <cellStyle name="Normal 8 5" xfId="1632"/>
    <cellStyle name="Normal 8 6" xfId="1633"/>
    <cellStyle name="Normal 8 7" xfId="1634"/>
    <cellStyle name="Normal 8 8" xfId="1635"/>
    <cellStyle name="Normal 8 9" xfId="1636"/>
    <cellStyle name="Normal 80" xfId="415"/>
    <cellStyle name="Normal 81" xfId="416"/>
    <cellStyle name="Normal 82" xfId="417"/>
    <cellStyle name="Normal 83" xfId="418"/>
    <cellStyle name="Normal 84" xfId="419"/>
    <cellStyle name="Normal 85" xfId="420"/>
    <cellStyle name="Normal 85 2" xfId="1642"/>
    <cellStyle name="Normal 86" xfId="421"/>
    <cellStyle name="Normal 87" xfId="422"/>
    <cellStyle name="Normal 88" xfId="423"/>
    <cellStyle name="Normal 88 2" xfId="424"/>
    <cellStyle name="Normal 89" xfId="260"/>
    <cellStyle name="Normal 89 2" xfId="1647"/>
    <cellStyle name="Normal 9" xfId="173"/>
    <cellStyle name="Normal 9 2" xfId="251"/>
    <cellStyle name="Normal 9 3" xfId="250"/>
    <cellStyle name="Normal 90" xfId="436"/>
    <cellStyle name="Normal 90 2" xfId="1649"/>
    <cellStyle name="Normal 91" xfId="437"/>
    <cellStyle name="Normal 91 2" xfId="1650"/>
    <cellStyle name="Normal 92" xfId="438"/>
    <cellStyle name="Normal 92 2" xfId="1651"/>
    <cellStyle name="Normal 93" xfId="439"/>
    <cellStyle name="Normal 93 2" xfId="1652"/>
    <cellStyle name="Normal 94" xfId="1653"/>
    <cellStyle name="Normal 95" xfId="1654"/>
    <cellStyle name="Normal 96" xfId="1655"/>
    <cellStyle name="Normal 96 2" xfId="1656"/>
    <cellStyle name="Normal 97" xfId="1657"/>
    <cellStyle name="Normal 98" xfId="1658"/>
    <cellStyle name="Normal 99" xfId="1659"/>
    <cellStyle name="Note 10" xfId="3671"/>
    <cellStyle name="Note 11" xfId="3672"/>
    <cellStyle name="Note 12" xfId="3673"/>
    <cellStyle name="Note 13" xfId="3674"/>
    <cellStyle name="Note 14" xfId="3675"/>
    <cellStyle name="Note 15" xfId="3676"/>
    <cellStyle name="Note 16" xfId="133"/>
    <cellStyle name="Note 2" xfId="134"/>
    <cellStyle name="Note 2 10" xfId="3678"/>
    <cellStyle name="Note 2 11" xfId="3679"/>
    <cellStyle name="Note 2 12" xfId="3677"/>
    <cellStyle name="Note 2 2" xfId="1662"/>
    <cellStyle name="Note 2 2 2" xfId="3680"/>
    <cellStyle name="Note 2 3" xfId="3681"/>
    <cellStyle name="Note 2 4" xfId="3682"/>
    <cellStyle name="Note 2 5" xfId="3683"/>
    <cellStyle name="Note 2 6" xfId="3684"/>
    <cellStyle name="Note 2 7" xfId="3685"/>
    <cellStyle name="Note 2 8" xfId="3686"/>
    <cellStyle name="Note 2 9" xfId="3687"/>
    <cellStyle name="Note 3" xfId="135"/>
    <cellStyle name="Note 3 10" xfId="3689"/>
    <cellStyle name="Note 3 11" xfId="3690"/>
    <cellStyle name="Note 3 12" xfId="3688"/>
    <cellStyle name="Note 3 2" xfId="3691"/>
    <cellStyle name="Note 3 3" xfId="3692"/>
    <cellStyle name="Note 3 4" xfId="3693"/>
    <cellStyle name="Note 3 5" xfId="3694"/>
    <cellStyle name="Note 3 6" xfId="3695"/>
    <cellStyle name="Note 3 7" xfId="3696"/>
    <cellStyle name="Note 3 8" xfId="3697"/>
    <cellStyle name="Note 3 9" xfId="3698"/>
    <cellStyle name="Note 4" xfId="1664"/>
    <cellStyle name="Note 4 10" xfId="3700"/>
    <cellStyle name="Note 4 11" xfId="3701"/>
    <cellStyle name="Note 4 12" xfId="3699"/>
    <cellStyle name="Note 4 2" xfId="3702"/>
    <cellStyle name="Note 4 3" xfId="3703"/>
    <cellStyle name="Note 4 4" xfId="3704"/>
    <cellStyle name="Note 4 5" xfId="3705"/>
    <cellStyle name="Note 4 6" xfId="3706"/>
    <cellStyle name="Note 4 7" xfId="3707"/>
    <cellStyle name="Note 4 8" xfId="3708"/>
    <cellStyle name="Note 4 9" xfId="3709"/>
    <cellStyle name="Note 5" xfId="3710"/>
    <cellStyle name="Note 5 10" xfId="3711"/>
    <cellStyle name="Note 5 11" xfId="3712"/>
    <cellStyle name="Note 5 2" xfId="3713"/>
    <cellStyle name="Note 5 3" xfId="3714"/>
    <cellStyle name="Note 5 4" xfId="3715"/>
    <cellStyle name="Note 5 5" xfId="3716"/>
    <cellStyle name="Note 5 6" xfId="3717"/>
    <cellStyle name="Note 5 7" xfId="3718"/>
    <cellStyle name="Note 5 8" xfId="3719"/>
    <cellStyle name="Note 5 9" xfId="3720"/>
    <cellStyle name="Note 6" xfId="3721"/>
    <cellStyle name="Note 7" xfId="3722"/>
    <cellStyle name="Note 8" xfId="3723"/>
    <cellStyle name="Note 9" xfId="3724"/>
    <cellStyle name="Output 10" xfId="3725"/>
    <cellStyle name="Output 11" xfId="3726"/>
    <cellStyle name="Output 12" xfId="3727"/>
    <cellStyle name="Output 13" xfId="3728"/>
    <cellStyle name="Output 14" xfId="3729"/>
    <cellStyle name="Output 15" xfId="3730"/>
    <cellStyle name="Output 16" xfId="136"/>
    <cellStyle name="Output 2" xfId="137"/>
    <cellStyle name="Output 2 10" xfId="3732"/>
    <cellStyle name="Output 2 11" xfId="3733"/>
    <cellStyle name="Output 2 12" xfId="3731"/>
    <cellStyle name="Output 2 2" xfId="1665"/>
    <cellStyle name="Output 2 2 2" xfId="3734"/>
    <cellStyle name="Output 2 3" xfId="3735"/>
    <cellStyle name="Output 2 4" xfId="3736"/>
    <cellStyle name="Output 2 5" xfId="3737"/>
    <cellStyle name="Output 2 6" xfId="3738"/>
    <cellStyle name="Output 2 7" xfId="3739"/>
    <cellStyle name="Output 2 8" xfId="3740"/>
    <cellStyle name="Output 2 9" xfId="3741"/>
    <cellStyle name="Output 3" xfId="138"/>
    <cellStyle name="Output 3 10" xfId="3743"/>
    <cellStyle name="Output 3 11" xfId="3744"/>
    <cellStyle name="Output 3 12" xfId="3742"/>
    <cellStyle name="Output 3 2" xfId="3745"/>
    <cellStyle name="Output 3 3" xfId="3746"/>
    <cellStyle name="Output 3 4" xfId="3747"/>
    <cellStyle name="Output 3 5" xfId="3748"/>
    <cellStyle name="Output 3 6" xfId="3749"/>
    <cellStyle name="Output 3 7" xfId="3750"/>
    <cellStyle name="Output 3 8" xfId="3751"/>
    <cellStyle name="Output 3 9" xfId="3752"/>
    <cellStyle name="Output 4" xfId="1667"/>
    <cellStyle name="Output 4 10" xfId="3754"/>
    <cellStyle name="Output 4 11" xfId="3755"/>
    <cellStyle name="Output 4 12" xfId="3753"/>
    <cellStyle name="Output 4 2" xfId="3756"/>
    <cellStyle name="Output 4 3" xfId="3757"/>
    <cellStyle name="Output 4 4" xfId="3758"/>
    <cellStyle name="Output 4 5" xfId="3759"/>
    <cellStyle name="Output 4 6" xfId="3760"/>
    <cellStyle name="Output 4 7" xfId="3761"/>
    <cellStyle name="Output 4 8" xfId="3762"/>
    <cellStyle name="Output 4 9" xfId="3763"/>
    <cellStyle name="Output 5" xfId="3764"/>
    <cellStyle name="Output 5 10" xfId="3765"/>
    <cellStyle name="Output 5 11" xfId="3766"/>
    <cellStyle name="Output 5 2" xfId="3767"/>
    <cellStyle name="Output 5 3" xfId="3768"/>
    <cellStyle name="Output 5 4" xfId="3769"/>
    <cellStyle name="Output 5 5" xfId="3770"/>
    <cellStyle name="Output 5 6" xfId="3771"/>
    <cellStyle name="Output 5 7" xfId="3772"/>
    <cellStyle name="Output 5 8" xfId="3773"/>
    <cellStyle name="Output 5 9" xfId="3774"/>
    <cellStyle name="Output 6" xfId="3775"/>
    <cellStyle name="Output 7" xfId="3776"/>
    <cellStyle name="Output 8" xfId="3777"/>
    <cellStyle name="Output 9" xfId="3778"/>
    <cellStyle name="PATHEnvVariable֌_x0008_e4" xfId="3779"/>
    <cellStyle name="Percent" xfId="2" builtinId="5"/>
    <cellStyle name="Percent [2]" xfId="425"/>
    <cellStyle name="Percent 2" xfId="171"/>
    <cellStyle name="Percent 2 2" xfId="252"/>
    <cellStyle name="Percent 2 2 2" xfId="1671"/>
    <cellStyle name="Percent 2 2 3" xfId="3780"/>
    <cellStyle name="Percent 2 3" xfId="426"/>
    <cellStyle name="Percent 3" xfId="253"/>
    <cellStyle name="Percent 3 2" xfId="428"/>
    <cellStyle name="Percent 3 3" xfId="427"/>
    <cellStyle name="Percent 3 3 2" xfId="1674"/>
    <cellStyle name="Percent 3 4" xfId="3781"/>
    <cellStyle name="Percent 4" xfId="254"/>
    <cellStyle name="Percent 4 2" xfId="429"/>
    <cellStyle name="Percent 4 3" xfId="1675"/>
    <cellStyle name="Percent 4 4" xfId="3782"/>
    <cellStyle name="Percent 5" xfId="255"/>
    <cellStyle name="Percent 5 2" xfId="1676"/>
    <cellStyle name="Percent 6" xfId="1677"/>
    <cellStyle name="Percent 6 2" xfId="3783"/>
    <cellStyle name="Percent 7" xfId="1668"/>
    <cellStyle name="Percent 8" xfId="2818"/>
    <cellStyle name="PERCENTAGE" xfId="430"/>
    <cellStyle name="ProjectPDP" xfId="3784"/>
    <cellStyle name="Quantity" xfId="431"/>
    <cellStyle name="report" xfId="3785"/>
    <cellStyle name="SAPBEXaggData" xfId="139"/>
    <cellStyle name="SAPBEXaggData 2" xfId="175"/>
    <cellStyle name="SAPBEXaggData 2 2" xfId="1681"/>
    <cellStyle name="SAPBEXaggDataEmph" xfId="176"/>
    <cellStyle name="SAPBEXaggDataEmph 2" xfId="1683"/>
    <cellStyle name="SAPBEXaggDataEmph 3" xfId="1682"/>
    <cellStyle name="SAPBEXaggItem" xfId="140"/>
    <cellStyle name="SAPBEXaggItem 2" xfId="177"/>
    <cellStyle name="SAPBEXaggItem 3" xfId="1686"/>
    <cellStyle name="SAPBEXaggItemX" xfId="178"/>
    <cellStyle name="SAPBEXaggItemX 2" xfId="1688"/>
    <cellStyle name="SAPBEXaggItemX 3" xfId="1687"/>
    <cellStyle name="SAPBEXchaText" xfId="141"/>
    <cellStyle name="SAPBEXchaText 2" xfId="179"/>
    <cellStyle name="SAPBEXchaText 3" xfId="1691"/>
    <cellStyle name="SAPBEXchaText 3 2" xfId="3786"/>
    <cellStyle name="SAPBEXchaText 4" xfId="3787"/>
    <cellStyle name="SAPBEXchaText 5" xfId="3788"/>
    <cellStyle name="SAPBEXchaText 6" xfId="3789"/>
    <cellStyle name="SAPBEXchaText 7" xfId="3790"/>
    <cellStyle name="SAPBEXchaText 8" xfId="3791"/>
    <cellStyle name="SAPBEXexcBad7" xfId="180"/>
    <cellStyle name="SAPBEXexcBad7 2" xfId="1693"/>
    <cellStyle name="SAPBEXexcBad7 3" xfId="1692"/>
    <cellStyle name="SAPBEXexcBad8" xfId="181"/>
    <cellStyle name="SAPBEXexcBad8 2" xfId="1695"/>
    <cellStyle name="SAPBEXexcBad8 3" xfId="1694"/>
    <cellStyle name="SAPBEXexcBad9" xfId="182"/>
    <cellStyle name="SAPBEXexcBad9 2" xfId="1697"/>
    <cellStyle name="SAPBEXexcBad9 3" xfId="1696"/>
    <cellStyle name="SAPBEXexcCritical4" xfId="183"/>
    <cellStyle name="SAPBEXexcCritical4 2" xfId="1699"/>
    <cellStyle name="SAPBEXexcCritical4 3" xfId="1698"/>
    <cellStyle name="SAPBEXexcCritical5" xfId="184"/>
    <cellStyle name="SAPBEXexcCritical5 2" xfId="1701"/>
    <cellStyle name="SAPBEXexcCritical5 3" xfId="1700"/>
    <cellStyle name="SAPBEXexcCritical6" xfId="185"/>
    <cellStyle name="SAPBEXexcCritical6 2" xfId="1703"/>
    <cellStyle name="SAPBEXexcCritical6 3" xfId="1702"/>
    <cellStyle name="SAPBEXexcGood1" xfId="186"/>
    <cellStyle name="SAPBEXexcGood1 2" xfId="1705"/>
    <cellStyle name="SAPBEXexcGood1 3" xfId="1704"/>
    <cellStyle name="SAPBEXexcGood2" xfId="187"/>
    <cellStyle name="SAPBEXexcGood2 2" xfId="1707"/>
    <cellStyle name="SAPBEXexcGood2 3" xfId="1706"/>
    <cellStyle name="SAPBEXexcGood3" xfId="188"/>
    <cellStyle name="SAPBEXexcGood3 2" xfId="1709"/>
    <cellStyle name="SAPBEXexcGood3 3" xfId="1708"/>
    <cellStyle name="SAPBEXfilterDrill" xfId="189"/>
    <cellStyle name="SAPBEXfilterDrill 2" xfId="1711"/>
    <cellStyle name="SAPBEXfilterDrill 3" xfId="1710"/>
    <cellStyle name="SAPBEXfilterItem" xfId="190"/>
    <cellStyle name="SAPBEXfilterItem 2" xfId="1713"/>
    <cellStyle name="SAPBEXfilterItem 3" xfId="1712"/>
    <cellStyle name="SAPBEXfilterText" xfId="191"/>
    <cellStyle name="SAPBEXfilterText 2" xfId="1715"/>
    <cellStyle name="SAPBEXfilterText 2 2" xfId="3792"/>
    <cellStyle name="SAPBEXfilterText 3" xfId="3793"/>
    <cellStyle name="SAPBEXfilterText 4" xfId="3794"/>
    <cellStyle name="SAPBEXformats" xfId="142"/>
    <cellStyle name="SAPBEXformats 2" xfId="192"/>
    <cellStyle name="SAPBEXformats 2 2" xfId="1717"/>
    <cellStyle name="SAPBEXformats 3" xfId="3795"/>
    <cellStyle name="SAPBEXformats 4" xfId="3796"/>
    <cellStyle name="SAPBEXformats 5" xfId="3797"/>
    <cellStyle name="SAPBEXformats 6" xfId="3798"/>
    <cellStyle name="SAPBEXformats 7" xfId="3799"/>
    <cellStyle name="SAPBEXformats 8" xfId="3800"/>
    <cellStyle name="SAPBEXheaderItem" xfId="193"/>
    <cellStyle name="SAPBEXheaderItem 2" xfId="1719"/>
    <cellStyle name="SAPBEXheaderItem 2 2" xfId="3801"/>
    <cellStyle name="SAPBEXheaderItem 3" xfId="1718"/>
    <cellStyle name="SAPBEXheaderItem 3 2" xfId="3802"/>
    <cellStyle name="SAPBEXheaderItem 4" xfId="3803"/>
    <cellStyle name="SAPBEXheaderItem 5" xfId="3804"/>
    <cellStyle name="SAPBEXheaderItem 6" xfId="3805"/>
    <cellStyle name="SAPBEXheaderItem 7" xfId="3806"/>
    <cellStyle name="SAPBEXheaderItem 8" xfId="3807"/>
    <cellStyle name="SAPBEXheaderText" xfId="194"/>
    <cellStyle name="SAPBEXheaderText 2" xfId="1721"/>
    <cellStyle name="SAPBEXheaderText 2 2" xfId="3808"/>
    <cellStyle name="SAPBEXheaderText 3" xfId="1720"/>
    <cellStyle name="SAPBEXheaderText 3 2" xfId="3809"/>
    <cellStyle name="SAPBEXheaderText 4" xfId="3810"/>
    <cellStyle name="SAPBEXheaderText 5" xfId="3811"/>
    <cellStyle name="SAPBEXheaderText 6" xfId="3812"/>
    <cellStyle name="SAPBEXheaderText 7" xfId="3813"/>
    <cellStyle name="SAPBEXheaderText 8" xfId="3814"/>
    <cellStyle name="SAPBEXHLevel0" xfId="195"/>
    <cellStyle name="SAPBEXHLevel0 2" xfId="1723"/>
    <cellStyle name="SAPBEXHLevel0 2 2" xfId="3815"/>
    <cellStyle name="SAPBEXHLevel0 3" xfId="1722"/>
    <cellStyle name="SAPBEXHLevel0 3 2" xfId="3816"/>
    <cellStyle name="SAPBEXHLevel0 4" xfId="3817"/>
    <cellStyle name="SAPBEXHLevel0 5" xfId="3818"/>
    <cellStyle name="SAPBEXHLevel0 6" xfId="3819"/>
    <cellStyle name="SAPBEXHLevel0 7" xfId="3820"/>
    <cellStyle name="SAPBEXHLevel0 8" xfId="3821"/>
    <cellStyle name="SAPBEXHLevel0X" xfId="196"/>
    <cellStyle name="SAPBEXHLevel0X 2" xfId="1725"/>
    <cellStyle name="SAPBEXHLevel0X 2 2" xfId="3822"/>
    <cellStyle name="SAPBEXHLevel0X 3" xfId="1724"/>
    <cellStyle name="SAPBEXHLevel0X 3 2" xfId="3823"/>
    <cellStyle name="SAPBEXHLevel0X 4" xfId="3824"/>
    <cellStyle name="SAPBEXHLevel0X 5" xfId="3825"/>
    <cellStyle name="SAPBEXHLevel0X 6" xfId="3826"/>
    <cellStyle name="SAPBEXHLevel0X 7" xfId="3827"/>
    <cellStyle name="SAPBEXHLevel0X 8" xfId="3828"/>
    <cellStyle name="SAPBEXHLevel1" xfId="197"/>
    <cellStyle name="SAPBEXHLevel1 2" xfId="1727"/>
    <cellStyle name="SAPBEXHLevel1 2 2" xfId="3829"/>
    <cellStyle name="SAPBEXHLevel1 3" xfId="1726"/>
    <cellStyle name="SAPBEXHLevel1 3 2" xfId="3830"/>
    <cellStyle name="SAPBEXHLevel1 4" xfId="3831"/>
    <cellStyle name="SAPBEXHLevel1 5" xfId="3832"/>
    <cellStyle name="SAPBEXHLevel1 6" xfId="3833"/>
    <cellStyle name="SAPBEXHLevel1 7" xfId="3834"/>
    <cellStyle name="SAPBEXHLevel1 8" xfId="3835"/>
    <cellStyle name="SAPBEXHLevel1X" xfId="198"/>
    <cellStyle name="SAPBEXHLevel1X 2" xfId="1729"/>
    <cellStyle name="SAPBEXHLevel1X 2 2" xfId="3836"/>
    <cellStyle name="SAPBEXHLevel1X 3" xfId="1728"/>
    <cellStyle name="SAPBEXHLevel1X 3 2" xfId="3837"/>
    <cellStyle name="SAPBEXHLevel1X 4" xfId="3838"/>
    <cellStyle name="SAPBEXHLevel1X 5" xfId="3839"/>
    <cellStyle name="SAPBEXHLevel1X 6" xfId="3840"/>
    <cellStyle name="SAPBEXHLevel1X 7" xfId="3841"/>
    <cellStyle name="SAPBEXHLevel1X 8" xfId="3842"/>
    <cellStyle name="SAPBEXHLevel2" xfId="199"/>
    <cellStyle name="SAPBEXHLevel2 2" xfId="1731"/>
    <cellStyle name="SAPBEXHLevel2 2 2" xfId="3843"/>
    <cellStyle name="SAPBEXHLevel2 3" xfId="1730"/>
    <cellStyle name="SAPBEXHLevel2 3 2" xfId="3844"/>
    <cellStyle name="SAPBEXHLevel2 4" xfId="3845"/>
    <cellStyle name="SAPBEXHLevel2 5" xfId="3846"/>
    <cellStyle name="SAPBEXHLevel2 6" xfId="3847"/>
    <cellStyle name="SAPBEXHLevel2 7" xfId="3848"/>
    <cellStyle name="SAPBEXHLevel2 8" xfId="3849"/>
    <cellStyle name="SAPBEXHLevel2X" xfId="200"/>
    <cellStyle name="SAPBEXHLevel2X 2" xfId="1733"/>
    <cellStyle name="SAPBEXHLevel2X 2 2" xfId="3850"/>
    <cellStyle name="SAPBEXHLevel2X 3" xfId="1732"/>
    <cellStyle name="SAPBEXHLevel2X 3 2" xfId="3851"/>
    <cellStyle name="SAPBEXHLevel2X 4" xfId="3852"/>
    <cellStyle name="SAPBEXHLevel2X 5" xfId="3853"/>
    <cellStyle name="SAPBEXHLevel2X 6" xfId="3854"/>
    <cellStyle name="SAPBEXHLevel2X 7" xfId="3855"/>
    <cellStyle name="SAPBEXHLevel2X 8" xfId="3856"/>
    <cellStyle name="SAPBEXHLevel3" xfId="201"/>
    <cellStyle name="SAPBEXHLevel3 2" xfId="1735"/>
    <cellStyle name="SAPBEXHLevel3 2 2" xfId="3857"/>
    <cellStyle name="SAPBEXHLevel3 3" xfId="1734"/>
    <cellStyle name="SAPBEXHLevel3 3 2" xfId="3858"/>
    <cellStyle name="SAPBEXHLevel3 4" xfId="3859"/>
    <cellStyle name="SAPBEXHLevel3 5" xfId="3860"/>
    <cellStyle name="SAPBEXHLevel3 6" xfId="3861"/>
    <cellStyle name="SAPBEXHLevel3 7" xfId="3862"/>
    <cellStyle name="SAPBEXHLevel3 8" xfId="3863"/>
    <cellStyle name="SAPBEXHLevel3X" xfId="202"/>
    <cellStyle name="SAPBEXHLevel3X 2" xfId="1737"/>
    <cellStyle name="SAPBEXHLevel3X 2 2" xfId="3864"/>
    <cellStyle name="SAPBEXHLevel3X 3" xfId="1736"/>
    <cellStyle name="SAPBEXHLevel3X 3 2" xfId="3865"/>
    <cellStyle name="SAPBEXHLevel3X 4" xfId="3866"/>
    <cellStyle name="SAPBEXHLevel3X 5" xfId="3867"/>
    <cellStyle name="SAPBEXHLevel3X 6" xfId="3868"/>
    <cellStyle name="SAPBEXHLevel3X 7" xfId="3869"/>
    <cellStyle name="SAPBEXHLevel3X 8" xfId="3870"/>
    <cellStyle name="SAPBEXinputData" xfId="1738"/>
    <cellStyle name="SAPBEXItemHeader" xfId="1739"/>
    <cellStyle name="SAPBEXresData" xfId="203"/>
    <cellStyle name="SAPBEXresData 2" xfId="1741"/>
    <cellStyle name="SAPBEXresData 3" xfId="1740"/>
    <cellStyle name="SAPBEXresDataEmph" xfId="204"/>
    <cellStyle name="SAPBEXresDataEmph 2" xfId="1743"/>
    <cellStyle name="SAPBEXresDataEmph 3" xfId="1742"/>
    <cellStyle name="SAPBEXresItem" xfId="205"/>
    <cellStyle name="SAPBEXresItem 2" xfId="1745"/>
    <cellStyle name="SAPBEXresItem 3" xfId="1744"/>
    <cellStyle name="SAPBEXresItemX" xfId="206"/>
    <cellStyle name="SAPBEXresItemX 2" xfId="1747"/>
    <cellStyle name="SAPBEXresItemX 3" xfId="1746"/>
    <cellStyle name="SAPBEXstdData" xfId="143"/>
    <cellStyle name="SAPBEXstdData 2" xfId="207"/>
    <cellStyle name="SAPBEXstdData 2 2" xfId="432"/>
    <cellStyle name="SAPBEXstdData 3" xfId="1750"/>
    <cellStyle name="SAPBEXstdDataEmph" xfId="208"/>
    <cellStyle name="SAPBEXstdDataEmph 2" xfId="1752"/>
    <cellStyle name="SAPBEXstdDataEmph 3" xfId="1751"/>
    <cellStyle name="SAPBEXstdItem" xfId="144"/>
    <cellStyle name="SAPBEXstdItem 2" xfId="209"/>
    <cellStyle name="SAPBEXstdItem 2 2" xfId="433"/>
    <cellStyle name="SAPBEXstdItem 3" xfId="1755"/>
    <cellStyle name="SAPBEXstdItem 3 2" xfId="3871"/>
    <cellStyle name="SAPBEXstdItem 4" xfId="3872"/>
    <cellStyle name="SAPBEXstdItem 5" xfId="3873"/>
    <cellStyle name="SAPBEXstdItem 6" xfId="3874"/>
    <cellStyle name="SAPBEXstdItem 7" xfId="3875"/>
    <cellStyle name="SAPBEXstdItem 8" xfId="3876"/>
    <cellStyle name="SAPBEXstdItemX" xfId="210"/>
    <cellStyle name="SAPBEXstdItemX 2" xfId="434"/>
    <cellStyle name="SAPBEXstdItemX 2 2" xfId="1757"/>
    <cellStyle name="SAPBEXstdItemX 3" xfId="1758"/>
    <cellStyle name="SAPBEXstdItemX 3 2" xfId="3877"/>
    <cellStyle name="SAPBEXstdItemX 4" xfId="3878"/>
    <cellStyle name="SAPBEXstdItemX 5" xfId="3879"/>
    <cellStyle name="SAPBEXstdItemX 6" xfId="3880"/>
    <cellStyle name="SAPBEXstdItemX 7" xfId="3881"/>
    <cellStyle name="SAPBEXstdItemX 8" xfId="3882"/>
    <cellStyle name="SAPBEXtitle" xfId="211"/>
    <cellStyle name="SAPBEXtitle 2" xfId="435"/>
    <cellStyle name="SAPBEXtitle 2 2" xfId="1760"/>
    <cellStyle name="SAPBEXtitle 3" xfId="1761"/>
    <cellStyle name="SAPBEXtitle 3 2" xfId="3883"/>
    <cellStyle name="SAPBEXtitle 4" xfId="3884"/>
    <cellStyle name="SAPBEXunassignedItem" xfId="1762"/>
    <cellStyle name="SAPBEXundefined" xfId="212"/>
    <cellStyle name="SAPBEXundefined 2" xfId="1764"/>
    <cellStyle name="SAPBEXundefined 3" xfId="1763"/>
    <cellStyle name="Sheet Title" xfId="1765"/>
    <cellStyle name="Standaard_Blad1" xfId="257"/>
    <cellStyle name="Title 10" xfId="3885"/>
    <cellStyle name="Title 11" xfId="3886"/>
    <cellStyle name="Title 12" xfId="3887"/>
    <cellStyle name="Title 13" xfId="3888"/>
    <cellStyle name="Title 14" xfId="3889"/>
    <cellStyle name="Title 15" xfId="3890"/>
    <cellStyle name="Title 16" xfId="145"/>
    <cellStyle name="Title 2" xfId="146"/>
    <cellStyle name="Title 2 10" xfId="3892"/>
    <cellStyle name="Title 2 11" xfId="3893"/>
    <cellStyle name="Title 2 12" xfId="3891"/>
    <cellStyle name="Title 2 2" xfId="1766"/>
    <cellStyle name="Title 2 2 2" xfId="3894"/>
    <cellStyle name="Title 2 3" xfId="3895"/>
    <cellStyle name="Title 2 4" xfId="3896"/>
    <cellStyle name="Title 2 5" xfId="3897"/>
    <cellStyle name="Title 2 6" xfId="3898"/>
    <cellStyle name="Title 2 7" xfId="3899"/>
    <cellStyle name="Title 2 8" xfId="3900"/>
    <cellStyle name="Title 2 9" xfId="3901"/>
    <cellStyle name="Title 3" xfId="147"/>
    <cellStyle name="Title 3 10" xfId="3903"/>
    <cellStyle name="Title 3 11" xfId="3904"/>
    <cellStyle name="Title 3 12" xfId="3902"/>
    <cellStyle name="Title 3 2" xfId="3905"/>
    <cellStyle name="Title 3 3" xfId="3906"/>
    <cellStyle name="Title 3 4" xfId="3907"/>
    <cellStyle name="Title 3 5" xfId="3908"/>
    <cellStyle name="Title 3 6" xfId="3909"/>
    <cellStyle name="Title 3 7" xfId="3910"/>
    <cellStyle name="Title 3 8" xfId="3911"/>
    <cellStyle name="Title 3 9" xfId="3912"/>
    <cellStyle name="Title 4" xfId="3913"/>
    <cellStyle name="Title 4 10" xfId="3914"/>
    <cellStyle name="Title 4 11" xfId="3915"/>
    <cellStyle name="Title 4 2" xfId="3916"/>
    <cellStyle name="Title 4 3" xfId="3917"/>
    <cellStyle name="Title 4 4" xfId="3918"/>
    <cellStyle name="Title 4 5" xfId="3919"/>
    <cellStyle name="Title 4 6" xfId="3920"/>
    <cellStyle name="Title 4 7" xfId="3921"/>
    <cellStyle name="Title 4 8" xfId="3922"/>
    <cellStyle name="Title 4 9" xfId="3923"/>
    <cellStyle name="Title 5" xfId="3924"/>
    <cellStyle name="Title 5 10" xfId="3925"/>
    <cellStyle name="Title 5 11" xfId="3926"/>
    <cellStyle name="Title 5 2" xfId="3927"/>
    <cellStyle name="Title 5 3" xfId="3928"/>
    <cellStyle name="Title 5 4" xfId="3929"/>
    <cellStyle name="Title 5 5" xfId="3930"/>
    <cellStyle name="Title 5 6" xfId="3931"/>
    <cellStyle name="Title 5 7" xfId="3932"/>
    <cellStyle name="Title 5 8" xfId="3933"/>
    <cellStyle name="Title 5 9" xfId="3934"/>
    <cellStyle name="Title 6" xfId="3935"/>
    <cellStyle name="Title 7" xfId="3936"/>
    <cellStyle name="Title 8" xfId="3937"/>
    <cellStyle name="Title 9" xfId="3938"/>
    <cellStyle name="Total 10" xfId="3939"/>
    <cellStyle name="Total 11" xfId="3940"/>
    <cellStyle name="Total 12" xfId="3941"/>
    <cellStyle name="Total 13" xfId="3942"/>
    <cellStyle name="Total 14" xfId="3943"/>
    <cellStyle name="Total 15" xfId="3944"/>
    <cellStyle name="Total 16" xfId="148"/>
    <cellStyle name="Total 2" xfId="149"/>
    <cellStyle name="Total 2 10" xfId="3946"/>
    <cellStyle name="Total 2 11" xfId="3947"/>
    <cellStyle name="Total 2 12" xfId="3945"/>
    <cellStyle name="Total 2 2" xfId="1768"/>
    <cellStyle name="Total 2 2 2" xfId="3948"/>
    <cellStyle name="Total 2 3" xfId="3949"/>
    <cellStyle name="Total 2 4" xfId="3950"/>
    <cellStyle name="Total 2 5" xfId="3951"/>
    <cellStyle name="Total 2 6" xfId="3952"/>
    <cellStyle name="Total 2 7" xfId="3953"/>
    <cellStyle name="Total 2 8" xfId="3954"/>
    <cellStyle name="Total 2 9" xfId="3955"/>
    <cellStyle name="Total 3" xfId="150"/>
    <cellStyle name="Total 3 10" xfId="3957"/>
    <cellStyle name="Total 3 11" xfId="3958"/>
    <cellStyle name="Total 3 12" xfId="3956"/>
    <cellStyle name="Total 3 2" xfId="1769"/>
    <cellStyle name="Total 3 2 2" xfId="3959"/>
    <cellStyle name="Total 3 3" xfId="3960"/>
    <cellStyle name="Total 3 4" xfId="3961"/>
    <cellStyle name="Total 3 5" xfId="3962"/>
    <cellStyle name="Total 3 6" xfId="3963"/>
    <cellStyle name="Total 3 7" xfId="3964"/>
    <cellStyle name="Total 3 8" xfId="3965"/>
    <cellStyle name="Total 3 9" xfId="3966"/>
    <cellStyle name="Total 4" xfId="1770"/>
    <cellStyle name="Total 4 10" xfId="3968"/>
    <cellStyle name="Total 4 11" xfId="3969"/>
    <cellStyle name="Total 4 12" xfId="3967"/>
    <cellStyle name="Total 4 2" xfId="3970"/>
    <cellStyle name="Total 4 3" xfId="3971"/>
    <cellStyle name="Total 4 4" xfId="3972"/>
    <cellStyle name="Total 4 5" xfId="3973"/>
    <cellStyle name="Total 4 6" xfId="3974"/>
    <cellStyle name="Total 4 7" xfId="3975"/>
    <cellStyle name="Total 4 8" xfId="3976"/>
    <cellStyle name="Total 4 9" xfId="3977"/>
    <cellStyle name="Total 5" xfId="3978"/>
    <cellStyle name="Total 5 10" xfId="3979"/>
    <cellStyle name="Total 5 11" xfId="3980"/>
    <cellStyle name="Total 5 2" xfId="3981"/>
    <cellStyle name="Total 5 3" xfId="3982"/>
    <cellStyle name="Total 5 4" xfId="3983"/>
    <cellStyle name="Total 5 5" xfId="3984"/>
    <cellStyle name="Total 5 6" xfId="3985"/>
    <cellStyle name="Total 5 7" xfId="3986"/>
    <cellStyle name="Total 5 8" xfId="3987"/>
    <cellStyle name="Total 5 9" xfId="3988"/>
    <cellStyle name="Total 6" xfId="3989"/>
    <cellStyle name="Total 7" xfId="3990"/>
    <cellStyle name="Total 8" xfId="3991"/>
    <cellStyle name="Total 9" xfId="3992"/>
    <cellStyle name="Valuta [0]_Blad1" xfId="258"/>
    <cellStyle name="Valuta_Blad1" xfId="259"/>
    <cellStyle name="Warning Text 10" xfId="3993"/>
    <cellStyle name="Warning Text 11" xfId="3994"/>
    <cellStyle name="Warning Text 12" xfId="3995"/>
    <cellStyle name="Warning Text 13" xfId="3996"/>
    <cellStyle name="Warning Text 14" xfId="3997"/>
    <cellStyle name="Warning Text 15" xfId="3998"/>
    <cellStyle name="Warning Text 16" xfId="151"/>
    <cellStyle name="Warning Text 2" xfId="152"/>
    <cellStyle name="Warning Text 2 10" xfId="4000"/>
    <cellStyle name="Warning Text 2 11" xfId="4001"/>
    <cellStyle name="Warning Text 2 12" xfId="3999"/>
    <cellStyle name="Warning Text 2 2" xfId="1771"/>
    <cellStyle name="Warning Text 2 2 2" xfId="4002"/>
    <cellStyle name="Warning Text 2 3" xfId="4003"/>
    <cellStyle name="Warning Text 2 4" xfId="4004"/>
    <cellStyle name="Warning Text 2 5" xfId="4005"/>
    <cellStyle name="Warning Text 2 6" xfId="4006"/>
    <cellStyle name="Warning Text 2 7" xfId="4007"/>
    <cellStyle name="Warning Text 2 8" xfId="4008"/>
    <cellStyle name="Warning Text 2 9" xfId="4009"/>
    <cellStyle name="Warning Text 3" xfId="153"/>
    <cellStyle name="Warning Text 3 10" xfId="4011"/>
    <cellStyle name="Warning Text 3 11" xfId="4012"/>
    <cellStyle name="Warning Text 3 12" xfId="4010"/>
    <cellStyle name="Warning Text 3 2" xfId="1772"/>
    <cellStyle name="Warning Text 3 2 2" xfId="4013"/>
    <cellStyle name="Warning Text 3 3" xfId="4014"/>
    <cellStyle name="Warning Text 3 4" xfId="4015"/>
    <cellStyle name="Warning Text 3 5" xfId="4016"/>
    <cellStyle name="Warning Text 3 6" xfId="4017"/>
    <cellStyle name="Warning Text 3 7" xfId="4018"/>
    <cellStyle name="Warning Text 3 8" xfId="4019"/>
    <cellStyle name="Warning Text 3 9" xfId="4020"/>
    <cellStyle name="Warning Text 4" xfId="1773"/>
    <cellStyle name="Warning Text 4 10" xfId="4022"/>
    <cellStyle name="Warning Text 4 11" xfId="4023"/>
    <cellStyle name="Warning Text 4 12" xfId="4021"/>
    <cellStyle name="Warning Text 4 2" xfId="4024"/>
    <cellStyle name="Warning Text 4 3" xfId="4025"/>
    <cellStyle name="Warning Text 4 4" xfId="4026"/>
    <cellStyle name="Warning Text 4 5" xfId="4027"/>
    <cellStyle name="Warning Text 4 6" xfId="4028"/>
    <cellStyle name="Warning Text 4 7" xfId="4029"/>
    <cellStyle name="Warning Text 4 8" xfId="4030"/>
    <cellStyle name="Warning Text 4 9" xfId="4031"/>
    <cellStyle name="Warning Text 5" xfId="4032"/>
    <cellStyle name="Warning Text 5 10" xfId="4033"/>
    <cellStyle name="Warning Text 5 11" xfId="4034"/>
    <cellStyle name="Warning Text 5 2" xfId="4035"/>
    <cellStyle name="Warning Text 5 3" xfId="4036"/>
    <cellStyle name="Warning Text 5 4" xfId="4037"/>
    <cellStyle name="Warning Text 5 5" xfId="4038"/>
    <cellStyle name="Warning Text 5 6" xfId="4039"/>
    <cellStyle name="Warning Text 5 7" xfId="4040"/>
    <cellStyle name="Warning Text 5 8" xfId="4041"/>
    <cellStyle name="Warning Text 5 9" xfId="4042"/>
    <cellStyle name="Warning Text 6" xfId="4043"/>
    <cellStyle name="Warning Text 7" xfId="4044"/>
    <cellStyle name="Warning Text 8" xfId="4045"/>
    <cellStyle name="Warning Text 9" xfId="4046"/>
    <cellStyle name="Year" xfId="4047"/>
    <cellStyle name="การคำนวณ" xfId="4052"/>
    <cellStyle name="ข้อความเตือน" xfId="4053"/>
    <cellStyle name="ข้อความอธิบาย" xfId="4054"/>
    <cellStyle name="เครื่องหมายจุลภาค [0]_FEB00" xfId="4080"/>
    <cellStyle name="เครื่องหมายจุลภาค_FEB00" xfId="4081"/>
    <cellStyle name="เครื่องหมายสกุลเงิน [0]_FEB00" xfId="4082"/>
    <cellStyle name="เครื่องหมายสกุลเงิน_FEB00" xfId="4083"/>
    <cellStyle name="ชื่อเรื่อง" xfId="4055"/>
    <cellStyle name="เซลล์ตรวจสอบ" xfId="4048"/>
    <cellStyle name="เซลล์ที่มีการเชื่อมโยง" xfId="4049"/>
    <cellStyle name="ดี" xfId="4056"/>
    <cellStyle name="น้บะภฒ_95" xfId="154"/>
    <cellStyle name="ปกติ_C04AUG42" xfId="4084"/>
    <cellStyle name="ป้อนค่า" xfId="4057"/>
    <cellStyle name="ปานกลาง" xfId="4058"/>
    <cellStyle name="ผลรวม" xfId="4059"/>
    <cellStyle name="แย่" xfId="4050"/>
    <cellStyle name="ฤธถ [0]_95" xfId="155"/>
    <cellStyle name="ฤธถ_95" xfId="156"/>
    <cellStyle name="ล๋ศญ [0]_95" xfId="157"/>
    <cellStyle name="ล๋ศญ_95" xfId="158"/>
    <cellStyle name="วฅมุ_4ฟ๙ฝวภ๛" xfId="159"/>
    <cellStyle name="ส่วนที่ถูกเน้น1" xfId="4061"/>
    <cellStyle name="ส่วนที่ถูกเน้น2" xfId="4062"/>
    <cellStyle name="ส่วนที่ถูกเน้น3" xfId="4063"/>
    <cellStyle name="ส่วนที่ถูกเน้น4" xfId="4064"/>
    <cellStyle name="ส่วนที่ถูกเน้น5" xfId="4065"/>
    <cellStyle name="ส่วนที่ถูกเน้น6" xfId="4066"/>
    <cellStyle name="แสดงผล" xfId="4051"/>
    <cellStyle name="หมายเหตุ" xfId="4067"/>
    <cellStyle name="หัวเรื่อง 1" xfId="4068"/>
    <cellStyle name="หัวเรื่อง 2" xfId="4069"/>
    <cellStyle name="หัวเรื่อง 3" xfId="4070"/>
    <cellStyle name="หัวเรื่อง 4" xfId="4071"/>
  </cellStyles>
  <dxfs count="1">
    <dxf>
      <font>
        <color rgb="FF9C0006"/>
      </font>
      <fill>
        <patternFill>
          <bgColor rgb="FFFFC7CE"/>
        </patternFill>
      </fill>
    </dxf>
  </dxfs>
  <tableStyles count="0" defaultTableStyle="TableStyleMedium2" defaultPivotStyle="PivotStyleLight16"/>
  <colors>
    <mruColors>
      <color rgb="FF0000FF"/>
      <color rgb="FFCCFFFF"/>
      <color rgb="FFFFA7FF"/>
      <color rgb="FFE265FF"/>
      <color rgb="FFFFE5FF"/>
      <color rgb="FF8ADFF6"/>
      <color rgb="FF93FFFF"/>
      <color rgb="FFFFCCFF"/>
      <color rgb="FF40CCF2"/>
      <color rgb="FF67D5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Legal Reserve Level (KT)</a:t>
            </a:r>
          </a:p>
        </c:rich>
      </c:tx>
      <c:layout/>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manualLayout>
          <c:layoutTarget val="inner"/>
          <c:xMode val="edge"/>
          <c:yMode val="edge"/>
          <c:x val="4.4034341684634347E-2"/>
          <c:y val="0.1055575987736961"/>
          <c:w val="0.93808229166666668"/>
          <c:h val="0.70328300923574238"/>
        </c:manualLayout>
      </c:layout>
      <c:barChart>
        <c:barDir val="col"/>
        <c:grouping val="stacked"/>
        <c:varyColors val="0"/>
        <c:ser>
          <c:idx val="0"/>
          <c:order val="0"/>
          <c:tx>
            <c:strRef>
              <c:f>'LR monthly'!$A$41</c:f>
              <c:strCache>
                <c:ptCount val="1"/>
                <c:pt idx="0">
                  <c:v>Stock (GSP RY+MT+BRP)</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monthly'!$R$41:$AC$41</c:f>
              <c:numCache>
                <c:formatCode>_-* #,##0_-;\-* #,##0_-;_-* "-"??_-;_-@_-</c:formatCode>
                <c:ptCount val="12"/>
                <c:pt idx="0">
                  <c:v>34.759662528000007</c:v>
                </c:pt>
                <c:pt idx="1">
                  <c:v>57.883348200000015</c:v>
                </c:pt>
                <c:pt idx="2">
                  <c:v>60.457428200000066</c:v>
                </c:pt>
                <c:pt idx="3">
                  <c:v>47.349966310734715</c:v>
                </c:pt>
                <c:pt idx="4">
                  <c:v>-22.810595059265296</c:v>
                </c:pt>
                <c:pt idx="5">
                  <c:v>24.669749150734702</c:v>
                </c:pt>
                <c:pt idx="6">
                  <c:v>13.254623120734699</c:v>
                </c:pt>
                <c:pt idx="7">
                  <c:v>4.0542579919886492</c:v>
                </c:pt>
                <c:pt idx="8">
                  <c:v>0.15243431051520417</c:v>
                </c:pt>
                <c:pt idx="9">
                  <c:v>16.339856115687581</c:v>
                </c:pt>
                <c:pt idx="10">
                  <c:v>10.349832458531225</c:v>
                </c:pt>
                <c:pt idx="11">
                  <c:v>1.4592172691642844</c:v>
                </c:pt>
              </c:numCache>
            </c:numRef>
          </c:val>
          <c:extLst>
            <c:ext xmlns:c16="http://schemas.microsoft.com/office/drawing/2014/chart" uri="{C3380CC4-5D6E-409C-BE32-E72D297353CC}">
              <c16:uniqueId val="{00000000-1B8A-47D3-BB35-46E1F02FFA23}"/>
            </c:ext>
          </c:extLst>
        </c:ser>
        <c:ser>
          <c:idx val="1"/>
          <c:order val="1"/>
          <c:tx>
            <c:strRef>
              <c:f>'LR monthly'!$A$42</c:f>
              <c:strCache>
                <c:ptCount val="1"/>
                <c:pt idx="0">
                  <c:v>Import Cargo</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monthly'!$R$42:$AC$42</c:f>
              <c:numCache>
                <c:formatCode>_-* #,##0_-;\-* #,##0_-;_-* "-"??_-;_-@_-</c:formatCode>
                <c:ptCount val="12"/>
                <c:pt idx="0">
                  <c:v>44</c:v>
                </c:pt>
                <c:pt idx="1">
                  <c:v>44</c:v>
                </c:pt>
                <c:pt idx="2">
                  <c:v>29</c:v>
                </c:pt>
                <c:pt idx="3">
                  <c:v>26</c:v>
                </c:pt>
                <c:pt idx="4">
                  <c:v>88</c:v>
                </c:pt>
                <c:pt idx="5">
                  <c:v>44</c:v>
                </c:pt>
                <c:pt idx="6">
                  <c:v>44</c:v>
                </c:pt>
                <c:pt idx="7">
                  <c:v>44</c:v>
                </c:pt>
                <c:pt idx="8">
                  <c:v>44</c:v>
                </c:pt>
                <c:pt idx="9">
                  <c:v>37.168999999999997</c:v>
                </c:pt>
                <c:pt idx="10">
                  <c:v>44</c:v>
                </c:pt>
                <c:pt idx="11">
                  <c:v>44</c:v>
                </c:pt>
              </c:numCache>
            </c:numRef>
          </c:val>
          <c:extLst>
            <c:ext xmlns:c16="http://schemas.microsoft.com/office/drawing/2014/chart" uri="{C3380CC4-5D6E-409C-BE32-E72D297353CC}">
              <c16:uniqueId val="{00000001-1B8A-47D3-BB35-46E1F02FFA23}"/>
            </c:ext>
          </c:extLst>
        </c:ser>
        <c:dLbls>
          <c:dLblPos val="inBase"/>
          <c:showLegendKey val="0"/>
          <c:showVal val="1"/>
          <c:showCatName val="0"/>
          <c:showSerName val="0"/>
          <c:showPercent val="0"/>
          <c:showBubbleSize val="0"/>
        </c:dLbls>
        <c:gapWidth val="150"/>
        <c:overlap val="100"/>
        <c:axId val="820322728"/>
        <c:axId val="820331584"/>
      </c:barChart>
      <c:lineChart>
        <c:grouping val="standard"/>
        <c:varyColors val="0"/>
        <c:ser>
          <c:idx val="2"/>
          <c:order val="2"/>
          <c:tx>
            <c:strRef>
              <c:f>'LR monthly'!$A$43:$C$43</c:f>
              <c:strCache>
                <c:ptCount val="3"/>
                <c:pt idx="0">
                  <c:v>LR by Legal </c:v>
                </c:pt>
              </c:strCache>
            </c:strRef>
          </c:tx>
          <c:spPr>
            <a:ln w="28575" cap="rnd">
              <a:solidFill>
                <a:srgbClr val="C00000"/>
              </a:solidFill>
              <a:round/>
            </a:ln>
            <a:effectLst/>
          </c:spPr>
          <c:marker>
            <c:symbol val="none"/>
          </c:marker>
          <c:dLbls>
            <c:delete val="1"/>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monthly'!$R$43:$AC$43</c:f>
              <c:numCache>
                <c:formatCode>General</c:formatCode>
                <c:ptCount val="12"/>
                <c:pt idx="0">
                  <c:v>19</c:v>
                </c:pt>
                <c:pt idx="1">
                  <c:v>19</c:v>
                </c:pt>
                <c:pt idx="2">
                  <c:v>19</c:v>
                </c:pt>
                <c:pt idx="3">
                  <c:v>19</c:v>
                </c:pt>
                <c:pt idx="4">
                  <c:v>19</c:v>
                </c:pt>
                <c:pt idx="5">
                  <c:v>19</c:v>
                </c:pt>
                <c:pt idx="6">
                  <c:v>19</c:v>
                </c:pt>
                <c:pt idx="7">
                  <c:v>19</c:v>
                </c:pt>
                <c:pt idx="8">
                  <c:v>19</c:v>
                </c:pt>
                <c:pt idx="9">
                  <c:v>19</c:v>
                </c:pt>
                <c:pt idx="10">
                  <c:v>19</c:v>
                </c:pt>
                <c:pt idx="11">
                  <c:v>19</c:v>
                </c:pt>
              </c:numCache>
            </c:numRef>
          </c:val>
          <c:smooth val="0"/>
          <c:extLst>
            <c:ext xmlns:c16="http://schemas.microsoft.com/office/drawing/2014/chart" uri="{C3380CC4-5D6E-409C-BE32-E72D297353CC}">
              <c16:uniqueId val="{00000002-1B8A-47D3-BB35-46E1F02FFA23}"/>
            </c:ext>
          </c:extLst>
        </c:ser>
        <c:ser>
          <c:idx val="3"/>
          <c:order val="3"/>
          <c:tx>
            <c:strRef>
              <c:f>'LR monthly'!$A$44:$C$44</c:f>
              <c:strCache>
                <c:ptCount val="3"/>
                <c:pt idx="0">
                  <c:v>LR by Internal Control</c:v>
                </c:pt>
              </c:strCache>
            </c:strRef>
          </c:tx>
          <c:spPr>
            <a:ln w="28575" cap="rnd">
              <a:solidFill>
                <a:srgbClr val="C00000"/>
              </a:solidFill>
              <a:prstDash val="sysDot"/>
              <a:round/>
            </a:ln>
            <a:effectLst/>
          </c:spPr>
          <c:marker>
            <c:symbol val="none"/>
          </c:marker>
          <c:dLbls>
            <c:delete val="1"/>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monthly'!$R$44:$AC$44</c:f>
              <c:numCache>
                <c:formatCode>General</c:formatCode>
                <c:ptCount val="12"/>
                <c:pt idx="0">
                  <c:v>36</c:v>
                </c:pt>
                <c:pt idx="1">
                  <c:v>36</c:v>
                </c:pt>
                <c:pt idx="2">
                  <c:v>36</c:v>
                </c:pt>
                <c:pt idx="3">
                  <c:v>36</c:v>
                </c:pt>
                <c:pt idx="4">
                  <c:v>36</c:v>
                </c:pt>
                <c:pt idx="5">
                  <c:v>36</c:v>
                </c:pt>
                <c:pt idx="6">
                  <c:v>36</c:v>
                </c:pt>
                <c:pt idx="7">
                  <c:v>36</c:v>
                </c:pt>
                <c:pt idx="8">
                  <c:v>36</c:v>
                </c:pt>
                <c:pt idx="9">
                  <c:v>36</c:v>
                </c:pt>
                <c:pt idx="10">
                  <c:v>36</c:v>
                </c:pt>
                <c:pt idx="11">
                  <c:v>36</c:v>
                </c:pt>
              </c:numCache>
            </c:numRef>
          </c:val>
          <c:smooth val="0"/>
          <c:extLst>
            <c:ext xmlns:c16="http://schemas.microsoft.com/office/drawing/2014/chart" uri="{C3380CC4-5D6E-409C-BE32-E72D297353CC}">
              <c16:uniqueId val="{00000003-1B8A-47D3-BB35-46E1F02FFA23}"/>
            </c:ext>
          </c:extLst>
        </c:ser>
        <c:ser>
          <c:idx val="4"/>
          <c:order val="4"/>
          <c:tx>
            <c:strRef>
              <c:f>'LR monthly'!$A$40</c:f>
              <c:strCache>
                <c:ptCount val="1"/>
                <c:pt idx="0">
                  <c:v>Total LR (GSP RY+MT+BRP)</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monthly'!$R$40:$AC$40</c:f>
              <c:numCache>
                <c:formatCode>_-* #,##0_-;\-* #,##0_-;_-* "-"??_-;_-@_-</c:formatCode>
                <c:ptCount val="12"/>
                <c:pt idx="0">
                  <c:v>78.759662528000007</c:v>
                </c:pt>
                <c:pt idx="1">
                  <c:v>101.88334820000001</c:v>
                </c:pt>
                <c:pt idx="2">
                  <c:v>89.457428200000066</c:v>
                </c:pt>
                <c:pt idx="3">
                  <c:v>73.349966310734715</c:v>
                </c:pt>
                <c:pt idx="4">
                  <c:v>65.189404940734704</c:v>
                </c:pt>
                <c:pt idx="5">
                  <c:v>68.669749150734702</c:v>
                </c:pt>
                <c:pt idx="6">
                  <c:v>57.254623120734699</c:v>
                </c:pt>
                <c:pt idx="7">
                  <c:v>48.054257991988649</c:v>
                </c:pt>
                <c:pt idx="8">
                  <c:v>44.152434310515204</c:v>
                </c:pt>
                <c:pt idx="9">
                  <c:v>53.508856115687578</c:v>
                </c:pt>
                <c:pt idx="10">
                  <c:v>54.349832458531225</c:v>
                </c:pt>
                <c:pt idx="11">
                  <c:v>45.459217269164284</c:v>
                </c:pt>
              </c:numCache>
            </c:numRef>
          </c:val>
          <c:smooth val="0"/>
          <c:extLst>
            <c:ext xmlns:c16="http://schemas.microsoft.com/office/drawing/2014/chart" uri="{C3380CC4-5D6E-409C-BE32-E72D297353CC}">
              <c16:uniqueId val="{00000004-1B8A-47D3-BB35-46E1F02FFA23}"/>
            </c:ext>
          </c:extLst>
        </c:ser>
        <c:dLbls>
          <c:showLegendKey val="0"/>
          <c:showVal val="1"/>
          <c:showCatName val="0"/>
          <c:showSerName val="0"/>
          <c:showPercent val="0"/>
          <c:showBubbleSize val="0"/>
        </c:dLbls>
        <c:marker val="1"/>
        <c:smooth val="0"/>
        <c:axId val="820322728"/>
        <c:axId val="820331584"/>
      </c:lineChart>
      <c:dateAx>
        <c:axId val="82032272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31584"/>
        <c:crosses val="autoZero"/>
        <c:auto val="1"/>
        <c:lblOffset val="100"/>
        <c:baseTimeUnit val="months"/>
      </c:dateAx>
      <c:valAx>
        <c:axId val="820331584"/>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22728"/>
        <c:crosses val="autoZero"/>
        <c:crossBetween val="between"/>
      </c:valAx>
      <c:spPr>
        <a:noFill/>
        <a:ln>
          <a:noFill/>
        </a:ln>
        <a:effectLst/>
      </c:spPr>
    </c:plotArea>
    <c:legend>
      <c:legendPos val="b"/>
      <c:layout>
        <c:manualLayout>
          <c:xMode val="edge"/>
          <c:yMode val="edge"/>
          <c:x val="3.9623357461448933E-2"/>
          <c:y val="0.88408282828282825"/>
          <c:w val="0.95058993055555563"/>
          <c:h val="0.10052323232323232"/>
        </c:manualLayout>
      </c:layout>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noFill/>
      <a:round/>
    </a:ln>
    <a:effectLst/>
  </c:spPr>
  <c:txPr>
    <a:bodyPr/>
    <a:lstStyle/>
    <a:p>
      <a:pPr>
        <a:defRPr sz="12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%C3/LPG GSP RY Inventoy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'C3LPG'!$F$4:$V$4</c:f>
              <c:numCache>
                <c:formatCode>_-* #,##0.0_-;\-* #,##0.0_-;_-* "-"??_-;_-@_-</c:formatCode>
                <c:ptCount val="17"/>
              </c:numCache>
            </c:numRef>
          </c:val>
          <c:smooth val="0"/>
          <c:extLst>
            <c:ext xmlns:c16="http://schemas.microsoft.com/office/drawing/2014/chart" uri="{C3380CC4-5D6E-409C-BE32-E72D297353CC}">
              <c16:uniqueId val="{00000000-C5F0-42EF-956E-C6456BDF6FCE}"/>
            </c:ext>
          </c:extLst>
        </c:ser>
        <c:ser>
          <c:idx val="3"/>
          <c:order val="1"/>
          <c:spPr>
            <a:ln w="28575" cap="rnd">
              <a:solidFill>
                <a:schemeClr val="accent4"/>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'C3LPG'!$H$7:$V$7</c:f>
              <c:numCache>
                <c:formatCode>0%</c:formatCode>
                <c:ptCount val="15"/>
                <c:pt idx="0">
                  <c:v>0.39182363423008387</c:v>
                </c:pt>
                <c:pt idx="1">
                  <c:v>0.2216113230263459</c:v>
                </c:pt>
                <c:pt idx="2">
                  <c:v>0.59643698300303716</c:v>
                </c:pt>
                <c:pt idx="3">
                  <c:v>0.56993512537453628</c:v>
                </c:pt>
                <c:pt idx="4">
                  <c:v>0.64258389415354455</c:v>
                </c:pt>
                <c:pt idx="5">
                  <c:v>0.33910230182228851</c:v>
                </c:pt>
                <c:pt idx="6">
                  <c:v>0.72585738643227993</c:v>
                </c:pt>
                <c:pt idx="7">
                  <c:v>0.67877677003271597</c:v>
                </c:pt>
                <c:pt idx="8">
                  <c:v>0.37553485757121435</c:v>
                </c:pt>
                <c:pt idx="9">
                  <c:v>0.64516963887942547</c:v>
                </c:pt>
                <c:pt idx="10">
                  <c:v>0.31575862400307481</c:v>
                </c:pt>
                <c:pt idx="11">
                  <c:v>0.39326065497872936</c:v>
                </c:pt>
                <c:pt idx="12">
                  <c:v>0.3302990993824087</c:v>
                </c:pt>
                <c:pt idx="13">
                  <c:v>0.58301798614568867</c:v>
                </c:pt>
                <c:pt idx="14">
                  <c:v>0.31373027945586512</c:v>
                </c:pt>
              </c:numCache>
            </c:numRef>
          </c:val>
          <c:smooth val="0"/>
          <c:extLst>
            <c:ext xmlns:c16="http://schemas.microsoft.com/office/drawing/2014/chart" uri="{C3380CC4-5D6E-409C-BE32-E72D297353CC}">
              <c16:uniqueId val="{00000001-C5F0-42EF-956E-C6456BDF6FCE}"/>
            </c:ext>
          </c:extLst>
        </c:ser>
        <c:dLbls>
          <c:dLblPos val="t"/>
          <c:showLegendKey val="0"/>
          <c:showVal val="1"/>
          <c:showCatName val="0"/>
          <c:showSerName val="0"/>
          <c:showPercent val="0"/>
          <c:showBubbleSize val="0"/>
        </c:dLbls>
        <c:smooth val="0"/>
        <c:axId val="482928624"/>
        <c:axId val="482928296"/>
      </c:lineChart>
      <c:dateAx>
        <c:axId val="482928624"/>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296"/>
        <c:crosses val="autoZero"/>
        <c:auto val="1"/>
        <c:lblOffset val="100"/>
        <c:baseTimeUnit val="months"/>
      </c:dateAx>
      <c:valAx>
        <c:axId val="482928296"/>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'C3LPG'!$A$59</c:f>
              <c:strCache>
                <c:ptCount val="1"/>
                <c:pt idx="0">
                  <c:v>C3/LPG GSP RY</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'C3LPG'!$L$59:$X$59</c:f>
              <c:numCache>
                <c:formatCode>_(* #,##0_);_(* \(#,##0\);_(* "-"??_);_(@_)</c:formatCode>
                <c:ptCount val="13"/>
                <c:pt idx="0">
                  <c:v>308.76</c:v>
                </c:pt>
                <c:pt idx="1">
                  <c:v>274.16699999999997</c:v>
                </c:pt>
                <c:pt idx="2">
                  <c:v>269</c:v>
                </c:pt>
                <c:pt idx="3">
                  <c:v>299.5</c:v>
                </c:pt>
                <c:pt idx="4">
                  <c:v>248.80099999999999</c:v>
                </c:pt>
                <c:pt idx="5">
                  <c:v>225</c:v>
                </c:pt>
                <c:pt idx="6">
                  <c:v>238.5</c:v>
                </c:pt>
                <c:pt idx="7">
                  <c:v>250.608</c:v>
                </c:pt>
                <c:pt idx="8">
                  <c:v>270.3</c:v>
                </c:pt>
                <c:pt idx="9">
                  <c:v>276</c:v>
                </c:pt>
                <c:pt idx="10">
                  <c:v>279.80200000000002</c:v>
                </c:pt>
                <c:pt idx="11">
                  <c:v>255.7</c:v>
                </c:pt>
                <c:pt idx="12">
                  <c:v>267.7</c:v>
                </c:pt>
              </c:numCache>
            </c:numRef>
          </c:val>
          <c:extLst>
            <c:ext xmlns:c16="http://schemas.microsoft.com/office/drawing/2014/chart" uri="{C3380CC4-5D6E-409C-BE32-E72D297353CC}">
              <c16:uniqueId val="{00000000-B86F-47CB-BC28-28DFEBACDBC2}"/>
            </c:ext>
          </c:extLst>
        </c:ser>
        <c:ser>
          <c:idx val="1"/>
          <c:order val="1"/>
          <c:tx>
            <c:strRef>
              <c:f>'C3LPG'!$A$61</c:f>
              <c:strCache>
                <c:ptCount val="1"/>
                <c:pt idx="0">
                  <c:v>GC</c:v>
                </c:pt>
              </c:strCache>
            </c:strRef>
          </c:tx>
          <c:spPr>
            <a:solidFill>
              <a:schemeClr val="accent2">
                <a:lumMod val="60000"/>
                <a:lumOff val="40000"/>
              </a:schemeClr>
            </a:solidFill>
            <a:ln>
              <a:noFill/>
            </a:ln>
            <a:effectLst/>
          </c:spPr>
          <c:invertIfNegative val="0"/>
          <c:dLbls>
            <c:dLbl>
              <c:idx val="0"/>
              <c:layout>
                <c:manualLayout>
                  <c:x val="-4.6765697032749911E-6"/>
                  <c:y val="7.311197534592851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86F-47CB-BC28-28DFEBACDB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'C3LPG'!$L$61:$X$61</c:f>
              <c:numCache>
                <c:formatCode>_(* #,##0_);_(* \(#,##0\);_(* "-"??_);_(@_)</c:formatCode>
                <c:ptCount val="13"/>
                <c:pt idx="0">
                  <c:v>25</c:v>
                </c:pt>
                <c:pt idx="1">
                  <c:v>20</c:v>
                </c:pt>
                <c:pt idx="2">
                  <c:v>18</c:v>
                </c:pt>
                <c:pt idx="3">
                  <c:v>7</c:v>
                </c:pt>
                <c:pt idx="4">
                  <c:v>2</c:v>
                </c:pt>
                <c:pt idx="5">
                  <c:v>6</c:v>
                </c:pt>
                <c:pt idx="6">
                  <c:v>0</c:v>
                </c:pt>
                <c:pt idx="7" formatCode="_(* #,##0.0_);_(* \(#,##0.0\);_(* &quot;-&quot;??_);_(@_)">
                  <c:v>4</c:v>
                </c:pt>
                <c:pt idx="8" formatCode="_(* #,##0.0_);_(* \(#,##0.0\);_(* &quot;-&quot;??_);_(@_)">
                  <c:v>1.2</c:v>
                </c:pt>
                <c:pt idx="9" formatCode="_(* #,##0.0_);_(* \(#,##0.0\);_(* &quot;-&quot;??_);_(@_)">
                  <c:v>0</c:v>
                </c:pt>
                <c:pt idx="10" formatCode="_(* #,##0.0_);_(* \(#,##0.0\);_(* &quot;-&quot;??_);_(@_)">
                  <c:v>0</c:v>
                </c:pt>
                <c:pt idx="11" formatCode="_(* #,##0.0_);_(* \(#,##0.0\);_(* &quot;-&quot;??_);_(@_)">
                  <c:v>13</c:v>
                </c:pt>
                <c:pt idx="12" formatCode="_(* #,##0.0_);_(* \(#,##0.0\);_(* &quot;-&quot;??_);_(@_)">
                  <c:v>11.6</c:v>
                </c:pt>
              </c:numCache>
            </c:numRef>
          </c:val>
          <c:extLst>
            <c:ext xmlns:c16="http://schemas.microsoft.com/office/drawing/2014/chart" uri="{C3380CC4-5D6E-409C-BE32-E72D297353CC}">
              <c16:uniqueId val="{00000002-B86F-47CB-BC28-28DFEBACDBC2}"/>
            </c:ext>
          </c:extLst>
        </c:ser>
        <c:ser>
          <c:idx val="2"/>
          <c:order val="2"/>
          <c:tx>
            <c:strRef>
              <c:f>'C3LPG'!$A$62</c:f>
              <c:strCache>
                <c:ptCount val="1"/>
                <c:pt idx="0">
                  <c:v>SPRC</c:v>
                </c:pt>
              </c:strCache>
            </c:strRef>
          </c:tx>
          <c:spPr>
            <a:solidFill>
              <a:schemeClr val="accent3"/>
            </a:solidFill>
            <a:ln>
              <a:noFill/>
            </a:ln>
            <a:effectLst/>
          </c:spPr>
          <c:invertIfNegative val="0"/>
          <c:dLbls>
            <c:dLbl>
              <c:idx val="0"/>
              <c:layout>
                <c:manualLayout>
                  <c:x val="-9.617311766995507E-3"/>
                  <c:y val="4.36760691537761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86F-47CB-BC28-28DFEBACDB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'C3LPG'!$K$62:$X$62</c:f>
              <c:numCache>
                <c:formatCode>_(* #,##0.0_);_(* \(#,##0.0\);_(* "-"??_);_(@_)</c:formatCode>
                <c:ptCount val="14"/>
                <c:pt idx="0">
                  <c:v>0</c:v>
                </c:pt>
                <c:pt idx="1">
                  <c:v>3.96</c:v>
                </c:pt>
                <c:pt idx="2">
                  <c:v>6.37</c:v>
                </c:pt>
                <c:pt idx="3">
                  <c:v>6.1</c:v>
                </c:pt>
                <c:pt idx="4">
                  <c:v>6.4799999999999995</c:v>
                </c:pt>
                <c:pt idx="5">
                  <c:v>4.3</c:v>
                </c:pt>
                <c:pt idx="6">
                  <c:v>3</c:v>
                </c:pt>
                <c:pt idx="7">
                  <c:v>3</c:v>
                </c:pt>
                <c:pt idx="8">
                  <c:v>3.5</c:v>
                </c:pt>
                <c:pt idx="9">
                  <c:v>3</c:v>
                </c:pt>
                <c:pt idx="10">
                  <c:v>3.6</c:v>
                </c:pt>
                <c:pt idx="11">
                  <c:v>6.7600000000000007</c:v>
                </c:pt>
                <c:pt idx="12">
                  <c:v>6.06</c:v>
                </c:pt>
                <c:pt idx="13">
                  <c:v>6.67</c:v>
                </c:pt>
              </c:numCache>
            </c:numRef>
          </c:val>
          <c:extLst>
            <c:ext xmlns:c16="http://schemas.microsoft.com/office/drawing/2014/chart" uri="{C3380CC4-5D6E-409C-BE32-E72D297353CC}">
              <c16:uniqueId val="{00000004-B86F-47CB-BC28-28DFEBACDBC2}"/>
            </c:ext>
          </c:extLst>
        </c:ser>
        <c:ser>
          <c:idx val="3"/>
          <c:order val="3"/>
          <c:tx>
            <c:strRef>
              <c:f>'C3LPG'!$A$63</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'C3LPG'!$L$63:$X$63</c:f>
              <c:numCache>
                <c:formatCode>_(* #,##0.0_);_(* \(#,##0.0\);_(* "-"??_);_(@_)</c:formatCode>
                <c:ptCount val="13"/>
                <c:pt idx="0">
                  <c:v>6.05</c:v>
                </c:pt>
                <c:pt idx="1">
                  <c:v>6.2</c:v>
                </c:pt>
                <c:pt idx="2">
                  <c:v>5.66</c:v>
                </c:pt>
                <c:pt idx="3">
                  <c:v>6.0449999999999999</c:v>
                </c:pt>
                <c:pt idx="4">
                  <c:v>5.85</c:v>
                </c:pt>
                <c:pt idx="5">
                  <c:v>4.5999999999999996</c:v>
                </c:pt>
                <c:pt idx="6">
                  <c:v>5.7</c:v>
                </c:pt>
                <c:pt idx="7">
                  <c:v>5.7</c:v>
                </c:pt>
                <c:pt idx="8">
                  <c:v>5.68</c:v>
                </c:pt>
                <c:pt idx="9">
                  <c:v>5.4</c:v>
                </c:pt>
                <c:pt idx="10">
                  <c:v>5.8</c:v>
                </c:pt>
                <c:pt idx="11">
                  <c:v>5.4</c:v>
                </c:pt>
                <c:pt idx="12">
                  <c:v>5.58</c:v>
                </c:pt>
              </c:numCache>
            </c:numRef>
          </c:val>
          <c:extLst>
            <c:ext xmlns:c16="http://schemas.microsoft.com/office/drawing/2014/chart" uri="{C3380CC4-5D6E-409C-BE32-E72D297353CC}">
              <c16:uniqueId val="{00000005-B86F-47CB-BC28-28DFEBACDBC2}"/>
            </c:ext>
          </c:extLst>
        </c:ser>
        <c:ser>
          <c:idx val="4"/>
          <c:order val="4"/>
          <c:tx>
            <c:strRef>
              <c:f>'C3LPG'!$A$64</c:f>
              <c:strCache>
                <c:ptCount val="1"/>
                <c:pt idx="0">
                  <c:v>GSP KHM</c:v>
                </c:pt>
              </c:strCache>
            </c:strRef>
          </c:tx>
          <c:spPr>
            <a:solidFill>
              <a:schemeClr val="accent5"/>
            </a:solidFill>
            <a:ln>
              <a:noFill/>
            </a:ln>
            <a:effectLst/>
          </c:spPr>
          <c:invertIfNegative val="0"/>
          <c:dLbls>
            <c:dLbl>
              <c:idx val="0"/>
              <c:layout>
                <c:manualLayout>
                  <c:x val="3.0081718631782322E-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86F-47CB-BC28-28DFEBACDB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'C3LPG'!$L$64:$X$64</c:f>
              <c:numCache>
                <c:formatCode>_(* #,##0_);_(* \(#,##0\);_(* "-"??_);_(@_)</c:formatCode>
                <c:ptCount val="13"/>
                <c:pt idx="0">
                  <c:v>13.26</c:v>
                </c:pt>
                <c:pt idx="1">
                  <c:v>17</c:v>
                </c:pt>
                <c:pt idx="2">
                  <c:v>17.5</c:v>
                </c:pt>
                <c:pt idx="3">
                  <c:v>15</c:v>
                </c:pt>
                <c:pt idx="4" formatCode="_(* #,##0.0_);_(* \(#,##0.0\);_(* &quot;-&quot;??_);_(@_)">
                  <c:v>16.5</c:v>
                </c:pt>
                <c:pt idx="5">
                  <c:v>15</c:v>
                </c:pt>
                <c:pt idx="6" formatCode="_(* #,##0.0_);_(* \(#,##0.0\);_(* &quot;-&quot;??_);_(@_)">
                  <c:v>14.5</c:v>
                </c:pt>
                <c:pt idx="7" formatCode="_(* #,##0.0_);_(* \(#,##0.0\);_(* &quot;-&quot;??_);_(@_)">
                  <c:v>15.5</c:v>
                </c:pt>
                <c:pt idx="8" formatCode="_(* #,##0.0_);_(* \(#,##0.0\);_(* &quot;-&quot;??_);_(@_)">
                  <c:v>13.04</c:v>
                </c:pt>
                <c:pt idx="9" formatCode="_(* #,##0.0_);_(* \(#,##0.0\);_(* &quot;-&quot;??_);_(@_)">
                  <c:v>17.2</c:v>
                </c:pt>
                <c:pt idx="10" formatCode="_(* #,##0.0_);_(* \(#,##0.0\);_(* &quot;-&quot;??_);_(@_)">
                  <c:v>15.83</c:v>
                </c:pt>
                <c:pt idx="11" formatCode="_(* #,##0.0_);_(* \(#,##0.0\);_(* &quot;-&quot;??_);_(@_)">
                  <c:v>16.2</c:v>
                </c:pt>
                <c:pt idx="12" formatCode="_(* #,##0.0_);_(* \(#,##0.0\);_(* &quot;-&quot;??_);_(@_)">
                  <c:v>15.4</c:v>
                </c:pt>
              </c:numCache>
            </c:numRef>
          </c:val>
          <c:extLst>
            <c:ext xmlns:c16="http://schemas.microsoft.com/office/drawing/2014/chart" uri="{C3380CC4-5D6E-409C-BE32-E72D297353CC}">
              <c16:uniqueId val="{00000007-B86F-47CB-BC28-28DFEBACDBC2}"/>
            </c:ext>
          </c:extLst>
        </c:ser>
        <c:ser>
          <c:idx val="7"/>
          <c:order val="7"/>
          <c:tx>
            <c:v>ดึง import</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'C3LPG'!$L$54:$X$54</c:f>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cat>
          <c:val>
            <c:numRef>
              <c:f>'C3LPG'!$L$8:$X$8</c:f>
              <c:numCache>
                <c:formatCode>_-* #,##0.0_-;\-* #,##0.0_-;_-* "-"??_-;_-@_-</c:formatCode>
                <c:ptCount val="13"/>
                <c:pt idx="0" formatCode="_(* #,##0.0_);_(* \(#,##0.0\);_(* &quot;-&quot;??_);_(@_)">
                  <c:v>14.1</c:v>
                </c:pt>
                <c:pt idx="2" formatCode="_(* #,##0.00_);_(* \(#,##0.00\);_(* &quot;-&quot;??_);_(@_)">
                  <c:v>3.4</c:v>
                </c:pt>
                <c:pt idx="5" formatCode="_-* #,##0_-;\-* #,##0_-;_-* &quot;-&quot;??_-;_-@_-">
                  <c:v>2</c:v>
                </c:pt>
                <c:pt idx="6">
                  <c:v>3.58</c:v>
                </c:pt>
                <c:pt idx="7" formatCode="_-* #,##0_-;\-* #,##0_-;_-* &quot;-&quot;??_-;_-@_-">
                  <c:v>23</c:v>
                </c:pt>
                <c:pt idx="8" formatCode="_-* #,##0_-;\-* #,##0_-;_-* &quot;-&quot;??_-;_-@_-">
                  <c:v>27</c:v>
                </c:pt>
                <c:pt idx="9" formatCode="_-* #,##0_-;\-* #,##0_-;_-* &quot;-&quot;??_-;_-@_-">
                  <c:v>13</c:v>
                </c:pt>
                <c:pt idx="10" formatCode="_-* #,##0_-;\-* #,##0_-;_-* &quot;-&quot;??_-;_-@_-">
                  <c:v>7</c:v>
                </c:pt>
                <c:pt idx="11" formatCode="_-* #,##0_-;\-* #,##0_-;_-* &quot;-&quot;??_-;_-@_-">
                  <c:v>32</c:v>
                </c:pt>
                <c:pt idx="12" formatCode="_-* #,##0_-;\-* #,##0_-;_-* &quot;-&quot;??_-;_-@_-">
                  <c:v>20.677</c:v>
                </c:pt>
              </c:numCache>
            </c:numRef>
          </c:val>
          <c:extLst>
            <c:ext xmlns:c16="http://schemas.microsoft.com/office/drawing/2014/chart" uri="{C3380CC4-5D6E-409C-BE32-E72D297353CC}">
              <c16:uniqueId val="{00000008-B86F-47CB-BC28-28DFEBACDBC2}"/>
            </c:ext>
          </c:extLst>
        </c:ser>
        <c:dLbls>
          <c:showLegendKey val="0"/>
          <c:showVal val="1"/>
          <c:showCatName val="0"/>
          <c:showSerName val="0"/>
          <c:showPercent val="0"/>
          <c:showBubbleSize val="0"/>
        </c:dLbls>
        <c:gapWidth val="150"/>
        <c:overlap val="100"/>
        <c:axId val="941146208"/>
        <c:axId val="941141288"/>
      </c:barChart>
      <c:lineChart>
        <c:grouping val="standard"/>
        <c:varyColors val="0"/>
        <c:ser>
          <c:idx val="5"/>
          <c:order val="5"/>
          <c:tx>
            <c:v>Demand</c:v>
          </c:tx>
          <c:spPr>
            <a:ln w="28575" cap="rnd">
              <a:solidFill>
                <a:srgbClr val="0000F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'C3LPG'!$L$178:$X$178</c:f>
              <c:numCache>
                <c:formatCode>_(* #,##0_);_(* \(#,##0\);_(* "-"??_);_(@_)</c:formatCode>
                <c:ptCount val="13"/>
                <c:pt idx="0">
                  <c:v>301.83112309999996</c:v>
                </c:pt>
                <c:pt idx="1">
                  <c:v>297.98329081999998</c:v>
                </c:pt>
                <c:pt idx="2">
                  <c:v>287.21145953000001</c:v>
                </c:pt>
                <c:pt idx="3">
                  <c:v>287.78300000000007</c:v>
                </c:pt>
                <c:pt idx="4">
                  <c:v>293.58999999999986</c:v>
                </c:pt>
                <c:pt idx="5">
                  <c:v>243.57659381000002</c:v>
                </c:pt>
                <c:pt idx="6">
                  <c:v>282.79017382000001</c:v>
                </c:pt>
                <c:pt idx="7">
                  <c:v>301.85999999999996</c:v>
                </c:pt>
                <c:pt idx="8">
                  <c:v>323.9323626373627</c:v>
                </c:pt>
                <c:pt idx="9">
                  <c:v>310.59999999999997</c:v>
                </c:pt>
                <c:pt idx="10">
                  <c:v>325.31</c:v>
                </c:pt>
                <c:pt idx="11">
                  <c:v>323.36240770999996</c:v>
                </c:pt>
                <c:pt idx="12">
                  <c:v>337.09400000000005</c:v>
                </c:pt>
              </c:numCache>
            </c:numRef>
          </c:val>
          <c:smooth val="0"/>
          <c:extLst>
            <c:ext xmlns:c16="http://schemas.microsoft.com/office/drawing/2014/chart" uri="{C3380CC4-5D6E-409C-BE32-E72D297353CC}">
              <c16:uniqueId val="{00000009-B86F-47CB-BC28-28DFEBACDBC2}"/>
            </c:ext>
          </c:extLst>
        </c:ser>
        <c:dLbls>
          <c:showLegendKey val="0"/>
          <c:showVal val="1"/>
          <c:showCatName val="0"/>
          <c:showSerName val="0"/>
          <c:showPercent val="0"/>
          <c:showBubbleSize val="0"/>
        </c:dLbls>
        <c:marker val="1"/>
        <c:smooth val="0"/>
        <c:axId val="941146208"/>
        <c:axId val="941141288"/>
      </c:lineChart>
      <c:lineChart>
        <c:grouping val="standard"/>
        <c:varyColors val="0"/>
        <c:ser>
          <c:idx val="6"/>
          <c:order val="6"/>
          <c:tx>
            <c:v>C3/LPG Inventory</c:v>
          </c:tx>
          <c:spPr>
            <a:ln w="28575" cap="rnd">
              <a:solidFill>
                <a:schemeClr val="tx1"/>
              </a:solidFill>
              <a:prstDash val="sysDot"/>
              <a:round/>
            </a:ln>
            <a:effectLst/>
          </c:spPr>
          <c:marker>
            <c:symbol val="none"/>
          </c:marker>
          <c:dLbls>
            <c:dLbl>
              <c:idx val="0"/>
              <c:layout>
                <c:manualLayout>
                  <c:x val="-2.6228983558950449E-2"/>
                  <c:y val="-5.9961896691653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86F-47CB-BC28-28DFEBACDBC2}"/>
                </c:ext>
              </c:extLst>
            </c:dLbl>
            <c:dLbl>
              <c:idx val="1"/>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86F-47CB-BC28-28DFEBACDBC2}"/>
                </c:ext>
              </c:extLst>
            </c:dLbl>
            <c:dLbl>
              <c:idx val="2"/>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86F-47CB-BC28-28DFEBACDBC2}"/>
                </c:ext>
              </c:extLst>
            </c:dLbl>
            <c:dLbl>
              <c:idx val="3"/>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86F-47CB-BC28-28DFEBACDBC2}"/>
                </c:ext>
              </c:extLst>
            </c:dLbl>
            <c:dLbl>
              <c:idx val="4"/>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86F-47CB-BC28-28DFEBACDBC2}"/>
                </c:ext>
              </c:extLst>
            </c:dLbl>
            <c:dLbl>
              <c:idx val="6"/>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86F-47CB-BC28-28DFEBACDB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'C3LPG'!$L$7:$X$7</c:f>
              <c:numCache>
                <c:formatCode>0%</c:formatCode>
                <c:ptCount val="13"/>
                <c:pt idx="0">
                  <c:v>0.64258389415354455</c:v>
                </c:pt>
                <c:pt idx="1">
                  <c:v>0.33910230182228851</c:v>
                </c:pt>
                <c:pt idx="2">
                  <c:v>0.72585738643227993</c:v>
                </c:pt>
                <c:pt idx="3">
                  <c:v>0.67877677003271597</c:v>
                </c:pt>
                <c:pt idx="4">
                  <c:v>0.37553485757121435</c:v>
                </c:pt>
                <c:pt idx="5">
                  <c:v>0.64516963887942547</c:v>
                </c:pt>
                <c:pt idx="6">
                  <c:v>0.31575862400307481</c:v>
                </c:pt>
                <c:pt idx="7">
                  <c:v>0.39326065497872936</c:v>
                </c:pt>
                <c:pt idx="8">
                  <c:v>0.3302990993824087</c:v>
                </c:pt>
                <c:pt idx="9">
                  <c:v>0.58301798614568867</c:v>
                </c:pt>
                <c:pt idx="10">
                  <c:v>0.31373027945586512</c:v>
                </c:pt>
                <c:pt idx="11">
                  <c:v>0.48721914685557821</c:v>
                </c:pt>
                <c:pt idx="12">
                  <c:v>0.36383103528880723</c:v>
                </c:pt>
              </c:numCache>
            </c:numRef>
          </c:val>
          <c:smooth val="0"/>
          <c:extLst>
            <c:ext xmlns:c16="http://schemas.microsoft.com/office/drawing/2014/chart" uri="{C3380CC4-5D6E-409C-BE32-E72D297353CC}">
              <c16:uniqueId val="{00000010-B86F-47CB-BC28-28DFEBACDBC2}"/>
            </c:ext>
          </c:extLst>
        </c:ser>
        <c:dLbls>
          <c:showLegendKey val="0"/>
          <c:showVal val="1"/>
          <c:showCatName val="0"/>
          <c:showSerName val="0"/>
          <c:showPercent val="0"/>
          <c:showBubbleSize val="0"/>
        </c:dLbls>
        <c:marker val="1"/>
        <c:smooth val="0"/>
        <c:axId val="611677464"/>
        <c:axId val="611678120"/>
      </c:lineChart>
      <c:date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1288"/>
        <c:crosses val="autoZero"/>
        <c:auto val="1"/>
        <c:lblOffset val="100"/>
        <c:baseTimeUnit val="months"/>
      </c:dateAx>
      <c:valAx>
        <c:axId val="94114128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6208"/>
        <c:crosses val="autoZero"/>
        <c:crossBetween val="between"/>
      </c:valAx>
      <c:valAx>
        <c:axId val="61167812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1677464"/>
        <c:crosses val="max"/>
        <c:crossBetween val="between"/>
      </c:valAx>
      <c:catAx>
        <c:axId val="611677464"/>
        <c:scaling>
          <c:orientation val="minMax"/>
        </c:scaling>
        <c:delete val="1"/>
        <c:axPos val="b"/>
        <c:majorTickMark val="out"/>
        <c:minorTickMark val="none"/>
        <c:tickLblPos val="nextTo"/>
        <c:crossAx val="6116781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r>
              <a:rPr lang="en-US"/>
              <a:t>C3/LPG Inventory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endParaRPr lang="en-US"/>
        </a:p>
      </c:txPr>
    </c:title>
    <c:autoTitleDeleted val="0"/>
    <c:plotArea>
      <c:layout/>
      <c:lineChart>
        <c:grouping val="standard"/>
        <c:varyColors val="0"/>
        <c:ser>
          <c:idx val="6"/>
          <c:order val="0"/>
          <c:spPr>
            <a:ln w="28575" cap="rnd">
              <a:solidFill>
                <a:schemeClr val="tx1"/>
              </a:solidFill>
              <a:prstDash val="sysDot"/>
              <a:round/>
            </a:ln>
            <a:effectLst/>
          </c:spPr>
          <c:marker>
            <c:symbol val="none"/>
          </c:marker>
          <c:dLbls>
            <c:dLbl>
              <c:idx val="0"/>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D1-42A1-87BB-97147C0BCA28}"/>
                </c:ext>
              </c:extLst>
            </c:dLbl>
            <c:dLbl>
              <c:idx val="1"/>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D1-42A1-87BB-97147C0BCA28}"/>
                </c:ext>
              </c:extLst>
            </c:dLbl>
            <c:dLbl>
              <c:idx val="2"/>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D1-42A1-87BB-97147C0BCA28}"/>
                </c:ext>
              </c:extLst>
            </c:dLbl>
            <c:dLbl>
              <c:idx val="3"/>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D1-42A1-87BB-97147C0BCA28}"/>
                </c:ext>
              </c:extLst>
            </c:dLbl>
            <c:dLbl>
              <c:idx val="5"/>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4D1-42A1-87BB-97147C0BCA28}"/>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j-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'C3LPG'!$M$3:$X$3</c:f>
              <c:numCache>
                <c:formatCode>B1mmm\-yy</c:formatCode>
                <c:ptCount val="12"/>
                <c:pt idx="0">
                  <c:v>43832</c:v>
                </c:pt>
                <c:pt idx="1">
                  <c:v>43863</c:v>
                </c:pt>
                <c:pt idx="2">
                  <c:v>43892</c:v>
                </c:pt>
                <c:pt idx="3">
                  <c:v>43923</c:v>
                </c:pt>
                <c:pt idx="4">
                  <c:v>43953</c:v>
                </c:pt>
                <c:pt idx="5">
                  <c:v>43984</c:v>
                </c:pt>
                <c:pt idx="6">
                  <c:v>44014</c:v>
                </c:pt>
                <c:pt idx="7">
                  <c:v>44045</c:v>
                </c:pt>
                <c:pt idx="8">
                  <c:v>44076</c:v>
                </c:pt>
                <c:pt idx="9">
                  <c:v>44106</c:v>
                </c:pt>
                <c:pt idx="10">
                  <c:v>44137</c:v>
                </c:pt>
                <c:pt idx="11">
                  <c:v>44167</c:v>
                </c:pt>
              </c:numCache>
            </c:numRef>
          </c:cat>
          <c:val>
            <c:numRef>
              <c:f>'C3LPG'!$M$7:$X$7</c:f>
              <c:numCache>
                <c:formatCode>0%</c:formatCode>
                <c:ptCount val="12"/>
                <c:pt idx="0">
                  <c:v>0.33910230182228851</c:v>
                </c:pt>
                <c:pt idx="1">
                  <c:v>0.72585738643227993</c:v>
                </c:pt>
                <c:pt idx="2">
                  <c:v>0.67877677003271597</c:v>
                </c:pt>
                <c:pt idx="3">
                  <c:v>0.37553485757121435</c:v>
                </c:pt>
                <c:pt idx="4">
                  <c:v>0.64516963887942547</c:v>
                </c:pt>
                <c:pt idx="5">
                  <c:v>0.31575862400307481</c:v>
                </c:pt>
                <c:pt idx="6">
                  <c:v>0.39326065497872936</c:v>
                </c:pt>
                <c:pt idx="7">
                  <c:v>0.3302990993824087</c:v>
                </c:pt>
                <c:pt idx="8">
                  <c:v>0.58301798614568867</c:v>
                </c:pt>
                <c:pt idx="9">
                  <c:v>0.31373027945586512</c:v>
                </c:pt>
                <c:pt idx="10">
                  <c:v>0.48721914685557821</c:v>
                </c:pt>
                <c:pt idx="11">
                  <c:v>0.36383103528880723</c:v>
                </c:pt>
              </c:numCache>
            </c:numRef>
          </c:val>
          <c:smooth val="0"/>
          <c:extLst>
            <c:ext xmlns:c16="http://schemas.microsoft.com/office/drawing/2014/chart" uri="{C3380CC4-5D6E-409C-BE32-E72D297353CC}">
              <c16:uniqueId val="{00000005-54D1-42A1-87BB-97147C0BCA28}"/>
            </c:ext>
          </c:extLst>
        </c:ser>
        <c:dLbls>
          <c:showLegendKey val="0"/>
          <c:showVal val="1"/>
          <c:showCatName val="0"/>
          <c:showSerName val="0"/>
          <c:showPercent val="0"/>
          <c:showBubbleSize val="0"/>
        </c:dLbls>
        <c:smooth val="0"/>
        <c:axId val="941146208"/>
        <c:axId val="941141288"/>
      </c:lineChart>
      <c:date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1288"/>
        <c:crosses val="autoZero"/>
        <c:auto val="1"/>
        <c:lblOffset val="100"/>
        <c:baseTimeUnit val="months"/>
      </c:dateAx>
      <c:valAx>
        <c:axId val="941141288"/>
        <c:scaling>
          <c:orientation val="minMax"/>
          <c:min val="0.2"/>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cs typeface="+mj-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274064</xdr:colOff>
      <xdr:row>45</xdr:row>
      <xdr:rowOff>59551</xdr:rowOff>
    </xdr:from>
    <xdr:to>
      <xdr:col>35</xdr:col>
      <xdr:colOff>186082</xdr:colOff>
      <xdr:row>71</xdr:row>
      <xdr:rowOff>152642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45</xdr:col>
      <xdr:colOff>527503</xdr:colOff>
      <xdr:row>41</xdr:row>
      <xdr:rowOff>63509</xdr:rowOff>
    </xdr:from>
    <xdr:to>
      <xdr:col>57</xdr:col>
      <xdr:colOff>391433</xdr:colOff>
      <xdr:row>72</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214313</xdr:colOff>
      <xdr:row>48</xdr:row>
      <xdr:rowOff>152399</xdr:rowOff>
    </xdr:from>
    <xdr:to>
      <xdr:col>57</xdr:col>
      <xdr:colOff>79375</xdr:colOff>
      <xdr:row>75</xdr:row>
      <xdr:rowOff>79374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0</xdr:colOff>
      <xdr:row>83</xdr:row>
      <xdr:rowOff>0</xdr:rowOff>
    </xdr:from>
    <xdr:to>
      <xdr:col>56</xdr:col>
      <xdr:colOff>530080</xdr:colOff>
      <xdr:row>106</xdr:row>
      <xdr:rowOff>176357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0</xdr:colOff>
      <xdr:row>187</xdr:row>
      <xdr:rowOff>0</xdr:rowOff>
    </xdr:from>
    <xdr:to>
      <xdr:col>45</xdr:col>
      <xdr:colOff>54424</xdr:colOff>
      <xdr:row>262</xdr:row>
      <xdr:rowOff>112851</xdr:rowOff>
    </xdr:to>
    <xdr:pic>
      <xdr:nvPicPr>
        <xdr:cNvPr id="5" name="Picture 4"/>
        <xdr:cNvPicPr>
          <a:picLocks noChangeAspect="1"/>
        </xdr:cNvPicPr>
      </xdr:nvPicPr>
      <xdr:blipFill>
        <a:blip xmlns:r="http://schemas.openxmlformats.org/officeDocument/2006/relationships" r:embed="rId4"/>
        <a:stretch>
          <a:fillRect/>
        </a:stretch>
      </xdr:blipFill>
      <xdr:spPr>
        <a:xfrm>
          <a:off x="21031200" y="27965400"/>
          <a:ext cx="12838095" cy="1154285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ttgrp-fs01\nasdata2\F\D\D\C\C\C\C\C\G\C\Documents%20and%20Settings\Administrator\Application%20Data\Microsoft\Excel\G\A\EGP.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3626;&#3619;&#3640;&#3611;&#3619;&#3634;&#3588;&#3634;&#3585;&#3658;&#3634;&#3595;&#363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C\PlanningTeam\Yearly%20Plan\Nov07-2002\DSYP-5Nov02-BVW7-Dec-04-PL40-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A\DAM39\LEVELAL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q-fs-s03\Gas\Production%20Planning\RYG-GSP-ProductionDBonWeb\Supply-DemandProgram-V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EXAMPLES\BOOK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LHEAD"/>
      <sheetName val="UNOCALII"/>
      <sheetName val="UNOIII"/>
      <sheetName val="UNOE"/>
      <sheetName val="BONGKOT"/>
      <sheetName val="ESSO"/>
      <sheetName val="BUSP"/>
      <sheetName val="Sheet2"/>
      <sheetName val="EGP"/>
      <sheetName val="Assumptions"/>
      <sheetName val="MP_97"/>
      <sheetName val="MP_98"/>
      <sheetName val="PRC_YR"/>
      <sheetName val="Sheet1"/>
      <sheetName val="Old Price"/>
      <sheetName val="Expanded Price "/>
      <sheetName val="ESSO-ESSO (incre.)"/>
      <sheetName val="Existing"/>
      <sheetName val="High Potential "/>
      <sheetName val="ประเภทเหตุผล"/>
      <sheetName val="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2%"/>
      <sheetName val="Sheet1"/>
      <sheetName val="vol"/>
      <sheetName val="Assumptions"/>
      <sheetName val="MP_98"/>
      <sheetName val="MP_99"/>
      <sheetName val="MP_00"/>
      <sheetName val="MP_01"/>
      <sheetName val="MP_02"/>
      <sheetName val="MP_03"/>
      <sheetName val="MP_04"/>
      <sheetName val="MP_05"/>
      <sheetName val="Yadana"/>
      <sheetName val="สรุปราคา_M (02-05)"/>
      <sheetName val="Sheet3"/>
      <sheetName val="AGP"/>
      <sheetName val="สรุปราคา_Y"/>
      <sheetName val="Sheet2"/>
      <sheetName val="#REF"/>
      <sheetName val="สรุปราคาก๊าซฯ"/>
      <sheetName val="ประเภทเหตุผล"/>
      <sheetName val="Area"/>
      <sheetName val="ประเภทเหตุผล "/>
      <sheetName val="Normal"/>
      <sheetName val="level_all"/>
      <sheetName val="For Fuel Tren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97">
          <cell r="BI97">
            <v>880</v>
          </cell>
          <cell r="BL97">
            <v>880</v>
          </cell>
          <cell r="BM97">
            <v>880</v>
          </cell>
        </row>
        <row r="98">
          <cell r="BI98">
            <v>26.716799999999999</v>
          </cell>
          <cell r="BL98">
            <v>79.279200000000003</v>
          </cell>
          <cell r="BM98">
            <v>26.716799999999999</v>
          </cell>
        </row>
        <row r="99">
          <cell r="BI99">
            <v>141.97765799999999</v>
          </cell>
          <cell r="BL99">
            <v>141.97765799999999</v>
          </cell>
          <cell r="BM99">
            <v>143.65229299999999</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
      <sheetName val="SupplyPlan"/>
      <sheetName val="ToP"/>
      <sheetName val="Obligation"/>
      <sheetName val="Revenue"/>
      <sheetName val="Pools"/>
      <sheetName val="Purchase"/>
      <sheetName val="GWh"/>
      <sheetName val="GWhPTT"/>
      <sheetName val="EGATGasPTT"/>
      <sheetName val="HeatRate"/>
      <sheetName val="level_all"/>
      <sheetName val="TAB22"/>
      <sheetName val="TAB01"/>
      <sheetName val="Mat'l_Unit"/>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vel_all"/>
      <sheetName val="AllDam (ใช้งาน)"/>
      <sheetName val="(Ref)"/>
      <sheetName val="Sheet3"/>
      <sheetName val="bb"/>
      <sheetName val="sk"/>
      <sheetName val="snr"/>
      <sheetName val="khl"/>
      <sheetName val="rpb"/>
      <sheetName val="blg"/>
      <sheetName val="ur"/>
      <sheetName val="srd"/>
      <sheetName val="clb"/>
      <sheetName val="np"/>
      <sheetName val="kkc"/>
      <sheetName val="krd"/>
      <sheetName val="mng"/>
      <sheetName val="พลังงานไฟฟ้า"/>
      <sheetName val="Input_Allocate"/>
      <sheetName val="Cal_Project"/>
      <sheetName val="Dum_AllocateIDC"/>
      <sheetName val="Report_AllIDC"/>
      <sheetName val="Apr"/>
      <sheetName val="Aug"/>
      <sheetName val="Feb"/>
      <sheetName val="Jan"/>
      <sheetName val="Jun"/>
      <sheetName val="Jul"/>
      <sheetName val="Mar"/>
      <sheetName val="May"/>
      <sheetName val="Oct"/>
      <sheetName val="Sep"/>
      <sheetName val="factor"/>
      <sheetName val="AuxiliaryTables"/>
      <sheetName val="LEVELALL"/>
      <sheetName val="USD"/>
      <sheetName val="THB"/>
      <sheetName val="Monthly USD"/>
      <sheetName val="Monthly THB"/>
      <sheetName val="Quaterly USD"/>
      <sheetName val="Quaterly THB"/>
      <sheetName val="FX"/>
      <sheetName val="By book"/>
      <sheetName val="สรุปวงเงินดำเนินการ_V0 "/>
    </sheetNames>
    <sheetDataSet>
      <sheetData sheetId="0" refreshError="1">
        <row r="2">
          <cell r="N2" t="str">
            <v>sk</v>
          </cell>
          <cell r="O2" t="str">
            <v>แผน ปี39Prob*0.40</v>
          </cell>
          <cell r="P2" t="str">
            <v>ระดับน้ำ ปี39</v>
          </cell>
          <cell r="Q2" t="str">
            <v>ระดับน้ำ ปี38</v>
          </cell>
          <cell r="R2" t="str">
            <v>ระดับน้ำ ปี37</v>
          </cell>
          <cell r="S2" t="str">
            <v>ระดับสูงสุดที่ควรจะเป็น</v>
          </cell>
          <cell r="T2" t="str">
            <v>ระดับต่ำสุดที่ควรจะเป็น</v>
          </cell>
          <cell r="U2" t="str">
            <v xml:space="preserve">ระดับที่เดินเครื่องได้เต็มที่ </v>
          </cell>
          <cell r="AC2" t="str">
            <v>mng</v>
          </cell>
          <cell r="AD2" t="str">
            <v>แผน ปี39 Prob*0.</v>
          </cell>
          <cell r="AE2" t="str">
            <v>ระดับน้ำ ปี39</v>
          </cell>
          <cell r="AF2" t="str">
            <v>ระดับน้ำ ปี38</v>
          </cell>
          <cell r="AG2" t="str">
            <v>ระดับน้ำ ปี37</v>
          </cell>
          <cell r="AH2" t="str">
            <v>ระดับที่ควรจะเป็น</v>
          </cell>
          <cell r="AI2" t="str">
            <v>ระดับต่ำสุดที่ควรจะเป็น</v>
          </cell>
          <cell r="AK2" t="str">
            <v>ระดับต่ำสุดที่เดินเครื่องได้</v>
          </cell>
          <cell r="AO2" t="str">
            <v>SNR</v>
          </cell>
          <cell r="AP2" t="str">
            <v>แผน ปี39 Prob*0.40</v>
          </cell>
          <cell r="AQ2" t="str">
            <v>ระดับน้ำ ปี39</v>
          </cell>
          <cell r="AR2" t="str">
            <v>ระดับน้ำ ปี38</v>
          </cell>
          <cell r="AS2" t="str">
            <v>ระดับน้ำ ปี37</v>
          </cell>
          <cell r="AT2" t="str">
            <v>ระดับสูงสุดที่ควรจะเป็น</v>
          </cell>
          <cell r="AU2" t="str">
            <v>ระดับต่ำสุดที่ควรจะเป็น</v>
          </cell>
          <cell r="AV2" t="str">
            <v>ระดับที่เดินเครื่องได้เต็มที่ #4-5</v>
          </cell>
          <cell r="AW2" t="str">
            <v>ระดับที่เดินเครื่องได้เต็มที่ #1-3</v>
          </cell>
          <cell r="AX2" t="str">
            <v>ระดับต่ำสุดที่เดินเครื่องได้</v>
          </cell>
          <cell r="BB2" t="str">
            <v>khl</v>
          </cell>
          <cell r="BC2" t="str">
            <v>แผน ปี39 Prob*0.40</v>
          </cell>
          <cell r="BD2" t="str">
            <v>ระดับน้ำ ปี39</v>
          </cell>
          <cell r="BE2" t="str">
            <v>ระดับน้ำ ปี38</v>
          </cell>
          <cell r="BF2" t="str">
            <v>ระดับน้ำ ปี37</v>
          </cell>
          <cell r="BG2" t="str">
            <v>ระดับสูงสุดที่ควรจะเป็น</v>
          </cell>
          <cell r="BH2" t="str">
            <v>ระดับต่ำสุดที่ควรจะเป็น</v>
          </cell>
          <cell r="BI2" t="str">
            <v xml:space="preserve">ระดับที่เดินเครื่องได้เต็มที่ </v>
          </cell>
          <cell r="BK2" t="str">
            <v>ระดับต่ำสุดที่เดินเครื่องได้</v>
          </cell>
          <cell r="BO2" t="str">
            <v>kkc</v>
          </cell>
          <cell r="BP2" t="str">
            <v>แผน ปี39 Prob*0.40</v>
          </cell>
          <cell r="BQ2" t="str">
            <v>ระดับน้ำ ปี39</v>
          </cell>
          <cell r="BR2" t="str">
            <v>ระดับน้ำ ปี38</v>
          </cell>
          <cell r="BS2" t="str">
            <v>ระดับน้ำ ปี37</v>
          </cell>
          <cell r="BT2" t="str">
            <v>ระดับที่ควรจะเป็น</v>
          </cell>
          <cell r="BU2" t="str">
            <v>ระดับต่ำสุดที่ควรจะเป็น</v>
          </cell>
          <cell r="BV2" t="str">
            <v xml:space="preserve">ระดับที่เดินเครื่องได้เต็มที่ </v>
          </cell>
          <cell r="BW2" t="str">
            <v>ระดับต่ำสุดที่เดินเครื่องได้</v>
          </cell>
          <cell r="CC2" t="str">
            <v>krd</v>
          </cell>
          <cell r="CD2" t="str">
            <v xml:space="preserve">แผน ปี39 </v>
          </cell>
          <cell r="CE2" t="str">
            <v>ระดับน้ำ ปี39</v>
          </cell>
          <cell r="CF2" t="str">
            <v>ระดับน้ำ ปี38</v>
          </cell>
          <cell r="CG2" t="str">
            <v>ระดับน้ำ ปี37</v>
          </cell>
          <cell r="CH2" t="str">
            <v>ระดับที่ควรจะเป็น</v>
          </cell>
          <cell r="CI2" t="str">
            <v>ระดับต่ำสุดที่ควรจะเป็น</v>
          </cell>
          <cell r="CJ2" t="str">
            <v xml:space="preserve">ระดับที่เดินเครื่องได้เต็มที่ </v>
          </cell>
          <cell r="CK2" t="str">
            <v>***</v>
          </cell>
          <cell r="CL2" t="str">
            <v>ระดับต่ำสุดที่เดินเครื่องได้</v>
          </cell>
          <cell r="CP2" t="str">
            <v>UR</v>
          </cell>
          <cell r="CQ2" t="str">
            <v>แผน ปี39 Prob*0.40</v>
          </cell>
          <cell r="CR2" t="str">
            <v>ระดับน้ำ ปี39</v>
          </cell>
          <cell r="CS2" t="str">
            <v>ระดับน้ำ ปี38</v>
          </cell>
          <cell r="CT2" t="str">
            <v>ระดับน้ำ ปี37</v>
          </cell>
          <cell r="CU2" t="str">
            <v>ระดับที่ควรจะเป็น</v>
          </cell>
          <cell r="CV2" t="str">
            <v>ระดับต่ำสุดที่ควรจะเป็น</v>
          </cell>
          <cell r="CW2" t="str">
            <v xml:space="preserve">ระดับที่เดินเครื่องได้เต็มที่ </v>
          </cell>
          <cell r="CX2" t="str">
            <v>ฟฟฟ</v>
          </cell>
          <cell r="CY2" t="str">
            <v>ระดับต่ำสุดที่เดินเครื่องได้</v>
          </cell>
          <cell r="DD2" t="str">
            <v>SRD</v>
          </cell>
          <cell r="DE2" t="str">
            <v>แผน ปี39 Prob*0.40</v>
          </cell>
          <cell r="DF2" t="str">
            <v>ระดับน้ำ ปี39</v>
          </cell>
          <cell r="DG2" t="str">
            <v>ระดับน้ำ ปี38</v>
          </cell>
          <cell r="DH2" t="str">
            <v>ระดับน้ำ ปี37</v>
          </cell>
          <cell r="DI2" t="str">
            <v>ระดับที่ควรจะเป็น</v>
          </cell>
          <cell r="DJ2" t="str">
            <v>ระดับต่ำสุดที่ควรจะเป็น</v>
          </cell>
          <cell r="DK2" t="str">
            <v xml:space="preserve">ระดับที่เดินเครื่องได้เต็มที่ </v>
          </cell>
          <cell r="DL2" t="str">
            <v>ฟฟฟ</v>
          </cell>
          <cell r="DM2" t="str">
            <v>ระดับต่ำสุดที่เดินเครื่องได้</v>
          </cell>
          <cell r="DQ2" t="str">
            <v>CLB</v>
          </cell>
          <cell r="DR2" t="str">
            <v>แผน ปี39 Prob*0.40</v>
          </cell>
          <cell r="DS2" t="str">
            <v>ระดับน้ำ ปี39</v>
          </cell>
          <cell r="DT2" t="str">
            <v>ระดับน้ำ ปี38</v>
          </cell>
          <cell r="DU2" t="str">
            <v>ระดับน้ำ ปี37</v>
          </cell>
          <cell r="DV2" t="str">
            <v>ระดับที่ควรจะเป็น</v>
          </cell>
          <cell r="DW2" t="str">
            <v>ระดับต่ำสุดที่ควรจะเป็น</v>
          </cell>
          <cell r="DX2" t="str">
            <v xml:space="preserve">ระดับที่เดินเครื่องได้เต็มที่ </v>
          </cell>
          <cell r="DY2" t="str">
            <v>ฟฟฟ</v>
          </cell>
          <cell r="DZ2" t="str">
            <v>ระดับต่ำสุดที่เดินเครื่องได้</v>
          </cell>
          <cell r="EG2" t="str">
            <v>NP</v>
          </cell>
          <cell r="EH2" t="str">
            <v>แผน ปี39 Prob*0.40</v>
          </cell>
          <cell r="EI2" t="str">
            <v>ระดับน้ำ ปี39</v>
          </cell>
          <cell r="EJ2" t="str">
            <v>ระดับน้ำ ปี38</v>
          </cell>
          <cell r="EK2" t="str">
            <v>ระดับน้ำ ปี37</v>
          </cell>
          <cell r="EL2" t="str">
            <v>ระดับที่ควรจะเป็น</v>
          </cell>
          <cell r="EN2" t="str">
            <v xml:space="preserve">ระดับที่เดินเครื่องได้เต็มที่ </v>
          </cell>
          <cell r="EO2" t="str">
            <v>ฟฟฟ</v>
          </cell>
          <cell r="EP2" t="str">
            <v>ระดับต่ำสุดที่เดินเครื่องได้</v>
          </cell>
          <cell r="ER2" t="str">
            <v>RPB</v>
          </cell>
          <cell r="ES2" t="str">
            <v>แผน ปี39 Prob*0.40</v>
          </cell>
          <cell r="ET2" t="str">
            <v>ระดับน้ำ ปี39</v>
          </cell>
          <cell r="EU2" t="str">
            <v>ระดับน้ำ ปี38</v>
          </cell>
          <cell r="EV2" t="str">
            <v>ระดับน้ำ ปี37</v>
          </cell>
          <cell r="EW2" t="str">
            <v>ระดับสูงสุดที่ควรจะเป็น</v>
          </cell>
          <cell r="EX2" t="str">
            <v>ระดับต่ำสุดที่ควรจะเป็น</v>
          </cell>
          <cell r="EY2" t="str">
            <v xml:space="preserve">ระดับที่เดินเครื่องได้เต็มที่ </v>
          </cell>
          <cell r="EZ2" t="str">
            <v>ระดับต่ำสุดที่เดินเครื่องได้</v>
          </cell>
          <cell r="FH2" t="str">
            <v>BLG</v>
          </cell>
          <cell r="FI2" t="str">
            <v>แผน ปี39 Prob*0.40</v>
          </cell>
          <cell r="FJ2" t="str">
            <v>ระดับน้ำ ปี39</v>
          </cell>
          <cell r="FK2" t="str">
            <v>ระดับน้ำ ปี38</v>
          </cell>
          <cell r="FL2" t="str">
            <v>ระดับน้ำ ปี37</v>
          </cell>
          <cell r="FM2" t="str">
            <v>ระดับ ปี36</v>
          </cell>
          <cell r="FN2" t="str">
            <v>ระดับที่ควรจะเป็น</v>
          </cell>
          <cell r="FO2" t="str">
            <v>ระดับต่ำสุดที่ควรจะเป็น</v>
          </cell>
          <cell r="FP2" t="str">
            <v>ระดับต่ำสุดที่เดินเครื่องได้</v>
          </cell>
          <cell r="FQ2" t="str">
            <v xml:space="preserve">ระดับที่เดินเครื่องได้เต็มที่ </v>
          </cell>
        </row>
        <row r="3">
          <cell r="E3">
            <v>246.17</v>
          </cell>
          <cell r="F3">
            <v>221.23</v>
          </cell>
          <cell r="G3">
            <v>256.3</v>
          </cell>
          <cell r="H3">
            <v>242.2</v>
          </cell>
          <cell r="I3">
            <v>244.8</v>
          </cell>
          <cell r="J3">
            <v>239.8</v>
          </cell>
          <cell r="K3">
            <v>213</v>
          </cell>
          <cell r="N3" t="str">
            <v>30 กย.</v>
          </cell>
          <cell r="O3">
            <v>162</v>
          </cell>
          <cell r="P3">
            <v>162</v>
          </cell>
          <cell r="Q3">
            <v>159.53</v>
          </cell>
          <cell r="R3">
            <v>136.30000000000001</v>
          </cell>
          <cell r="S3">
            <v>161.41999999999999</v>
          </cell>
          <cell r="T3">
            <v>151</v>
          </cell>
          <cell r="U3">
            <v>151.4</v>
          </cell>
          <cell r="AC3" t="str">
            <v>30 กย.</v>
          </cell>
          <cell r="AD3">
            <v>396.31</v>
          </cell>
          <cell r="AE3">
            <v>396.31</v>
          </cell>
          <cell r="AF3">
            <v>395.18</v>
          </cell>
          <cell r="AG3">
            <v>376.12</v>
          </cell>
          <cell r="AH3">
            <v>395</v>
          </cell>
          <cell r="AK3">
            <v>365.1</v>
          </cell>
          <cell r="AO3" t="str">
            <v>30 กย.</v>
          </cell>
          <cell r="AP3">
            <v>172.85</v>
          </cell>
          <cell r="AQ3">
            <v>172.85</v>
          </cell>
          <cell r="AR3">
            <v>174.54</v>
          </cell>
          <cell r="AS3">
            <v>164.94</v>
          </cell>
          <cell r="AT3">
            <v>178.1</v>
          </cell>
          <cell r="AU3">
            <v>162.6</v>
          </cell>
          <cell r="AV3">
            <v>168</v>
          </cell>
          <cell r="AW3">
            <v>162.5</v>
          </cell>
          <cell r="AX3">
            <v>159</v>
          </cell>
          <cell r="BB3" t="str">
            <v>30 กย.</v>
          </cell>
          <cell r="BC3">
            <v>151.72</v>
          </cell>
          <cell r="BD3">
            <v>151.72</v>
          </cell>
          <cell r="BE3">
            <v>155.01</v>
          </cell>
          <cell r="BF3">
            <v>145.53</v>
          </cell>
          <cell r="BG3">
            <v>153.9</v>
          </cell>
          <cell r="BH3">
            <v>142</v>
          </cell>
          <cell r="BI3">
            <v>147</v>
          </cell>
          <cell r="BK3">
            <v>135</v>
          </cell>
          <cell r="BO3" t="str">
            <v>30 กย.</v>
          </cell>
          <cell r="BP3">
            <v>97.87</v>
          </cell>
          <cell r="BQ3">
            <v>97.87</v>
          </cell>
          <cell r="BR3">
            <v>99.01</v>
          </cell>
          <cell r="BS3">
            <v>87.21</v>
          </cell>
          <cell r="BT3">
            <v>95.77</v>
          </cell>
          <cell r="BV3">
            <v>75</v>
          </cell>
          <cell r="BW3">
            <v>94</v>
          </cell>
          <cell r="CC3" t="str">
            <v>30 กย.</v>
          </cell>
          <cell r="CD3">
            <v>203.47</v>
          </cell>
          <cell r="CE3">
            <v>203.47</v>
          </cell>
          <cell r="CF3">
            <v>204.22</v>
          </cell>
          <cell r="CG3">
            <v>204.96</v>
          </cell>
          <cell r="CH3">
            <v>204.9</v>
          </cell>
          <cell r="CL3">
            <v>197</v>
          </cell>
          <cell r="CP3" t="str">
            <v>30 กย.</v>
          </cell>
          <cell r="CQ3">
            <v>180.47</v>
          </cell>
          <cell r="CR3">
            <v>180.47</v>
          </cell>
          <cell r="CS3">
            <v>178.12</v>
          </cell>
          <cell r="CT3">
            <v>175.21</v>
          </cell>
          <cell r="CU3">
            <v>179.15</v>
          </cell>
          <cell r="CV3">
            <v>183.3</v>
          </cell>
          <cell r="CY3">
            <v>174.2</v>
          </cell>
          <cell r="DD3" t="str">
            <v>30 กย.</v>
          </cell>
          <cell r="DE3">
            <v>140.85</v>
          </cell>
          <cell r="DF3">
            <v>140.85</v>
          </cell>
          <cell r="DG3">
            <v>140.91</v>
          </cell>
          <cell r="DH3">
            <v>140.06</v>
          </cell>
          <cell r="DI3">
            <v>141.88999999999999</v>
          </cell>
          <cell r="DK3">
            <v>139.19999999999999</v>
          </cell>
          <cell r="DM3">
            <v>137.19999999999999</v>
          </cell>
          <cell r="DQ3" t="str">
            <v>30 กย.</v>
          </cell>
          <cell r="DR3">
            <v>754.57</v>
          </cell>
          <cell r="DS3">
            <v>754.57</v>
          </cell>
          <cell r="DT3">
            <v>754.63</v>
          </cell>
          <cell r="DU3">
            <v>746.02</v>
          </cell>
          <cell r="DV3">
            <v>757.15</v>
          </cell>
          <cell r="DX3">
            <v>743.5</v>
          </cell>
          <cell r="DZ3">
            <v>739</v>
          </cell>
          <cell r="EG3" t="str">
            <v>30 กย.</v>
          </cell>
          <cell r="EH3">
            <v>283.76</v>
          </cell>
          <cell r="EI3">
            <v>283.76</v>
          </cell>
          <cell r="EJ3">
            <v>281.93</v>
          </cell>
          <cell r="EL3">
            <v>283.23</v>
          </cell>
          <cell r="ER3" t="str">
            <v>30 กย.</v>
          </cell>
          <cell r="ES3">
            <v>78.400000000000006</v>
          </cell>
          <cell r="ET3">
            <v>78.400000000000006</v>
          </cell>
          <cell r="EU3">
            <v>77.75</v>
          </cell>
          <cell r="EV3">
            <v>71.5</v>
          </cell>
          <cell r="EW3">
            <v>91.98</v>
          </cell>
          <cell r="EX3">
            <v>85.6</v>
          </cell>
          <cell r="EY3">
            <v>76</v>
          </cell>
          <cell r="EZ3">
            <v>62</v>
          </cell>
          <cell r="FH3" t="str">
            <v>30 กย.</v>
          </cell>
          <cell r="FI3">
            <v>104.46</v>
          </cell>
          <cell r="FJ3">
            <v>104.46</v>
          </cell>
          <cell r="FK3">
            <v>100.86</v>
          </cell>
          <cell r="FL3">
            <v>96.08</v>
          </cell>
          <cell r="FM3">
            <v>95.54</v>
          </cell>
          <cell r="FN3">
            <v>105.01</v>
          </cell>
          <cell r="FO3">
            <v>98.1</v>
          </cell>
          <cell r="FP3">
            <v>83</v>
          </cell>
          <cell r="FQ3">
            <v>105.7</v>
          </cell>
        </row>
        <row r="4">
          <cell r="E4">
            <v>249.93</v>
          </cell>
          <cell r="F4">
            <v>224.13</v>
          </cell>
          <cell r="G4">
            <v>259.54000000000002</v>
          </cell>
          <cell r="H4">
            <v>244.2</v>
          </cell>
          <cell r="I4">
            <v>244.8</v>
          </cell>
          <cell r="J4">
            <v>239.8</v>
          </cell>
          <cell r="K4">
            <v>213</v>
          </cell>
          <cell r="N4" t="str">
            <v>ตค.</v>
          </cell>
          <cell r="O4">
            <v>161.79</v>
          </cell>
          <cell r="Q4">
            <v>161.29</v>
          </cell>
          <cell r="R4">
            <v>137.38999999999999</v>
          </cell>
          <cell r="S4">
            <v>162</v>
          </cell>
          <cell r="T4">
            <v>152</v>
          </cell>
          <cell r="U4">
            <v>151.4</v>
          </cell>
          <cell r="AC4" t="str">
            <v>ตค.</v>
          </cell>
          <cell r="AD4" t="e">
            <v>#REF!</v>
          </cell>
          <cell r="AF4">
            <v>396.28</v>
          </cell>
          <cell r="AG4">
            <v>379.61</v>
          </cell>
          <cell r="AH4">
            <v>395.82</v>
          </cell>
          <cell r="AK4">
            <v>365.1</v>
          </cell>
          <cell r="AO4" t="str">
            <v>ตค.</v>
          </cell>
          <cell r="AP4" t="e">
            <v>#REF!</v>
          </cell>
          <cell r="AR4">
            <v>175.98</v>
          </cell>
          <cell r="AS4">
            <v>165.55</v>
          </cell>
          <cell r="AT4">
            <v>179.48</v>
          </cell>
          <cell r="AU4">
            <v>163.1</v>
          </cell>
          <cell r="AV4">
            <v>168</v>
          </cell>
          <cell r="AW4">
            <v>162.5</v>
          </cell>
          <cell r="AX4">
            <v>159</v>
          </cell>
          <cell r="BB4" t="str">
            <v>ตค.</v>
          </cell>
          <cell r="BC4" t="e">
            <v>#REF!</v>
          </cell>
          <cell r="BE4">
            <v>154.36000000000001</v>
          </cell>
          <cell r="BF4">
            <v>145.94</v>
          </cell>
          <cell r="BG4">
            <v>154.94999999999999</v>
          </cell>
          <cell r="BH4">
            <v>142.94999999999999</v>
          </cell>
          <cell r="BI4">
            <v>147</v>
          </cell>
          <cell r="BK4">
            <v>135</v>
          </cell>
          <cell r="BO4" t="str">
            <v>ตค.</v>
          </cell>
          <cell r="BP4" t="e">
            <v>#REF!</v>
          </cell>
          <cell r="BR4">
            <v>98.58</v>
          </cell>
          <cell r="BS4">
            <v>91.5</v>
          </cell>
          <cell r="BT4">
            <v>98.49</v>
          </cell>
          <cell r="BV4">
            <v>75</v>
          </cell>
          <cell r="BW4">
            <v>94</v>
          </cell>
          <cell r="CC4" t="str">
            <v>ตค.</v>
          </cell>
          <cell r="CD4">
            <v>204.14</v>
          </cell>
          <cell r="CF4">
            <v>203.29</v>
          </cell>
          <cell r="CG4">
            <v>204.72</v>
          </cell>
          <cell r="CH4">
            <v>204.6</v>
          </cell>
          <cell r="CL4">
            <v>197</v>
          </cell>
          <cell r="CP4" t="str">
            <v>ตค.</v>
          </cell>
          <cell r="CQ4">
            <v>181.06</v>
          </cell>
          <cell r="CS4">
            <v>178.73</v>
          </cell>
          <cell r="CT4">
            <v>174.77</v>
          </cell>
          <cell r="CU4">
            <v>181</v>
          </cell>
          <cell r="CV4">
            <v>181.12</v>
          </cell>
          <cell r="CX4">
            <v>0</v>
          </cell>
          <cell r="CY4">
            <v>174.2</v>
          </cell>
          <cell r="DD4" t="str">
            <v>ตค.</v>
          </cell>
          <cell r="DE4">
            <v>141.27000000000001</v>
          </cell>
          <cell r="DG4">
            <v>141.44999999999999</v>
          </cell>
          <cell r="DH4">
            <v>140.13</v>
          </cell>
          <cell r="DI4">
            <v>142.19999999999999</v>
          </cell>
          <cell r="DK4">
            <v>139.19999999999999</v>
          </cell>
          <cell r="DL4">
            <v>141.87</v>
          </cell>
          <cell r="DM4">
            <v>137.19999999999999</v>
          </cell>
          <cell r="DQ4" t="str">
            <v>ตค.</v>
          </cell>
          <cell r="DR4">
            <v>757.43</v>
          </cell>
          <cell r="DT4">
            <v>756.27</v>
          </cell>
          <cell r="DU4">
            <v>746.28</v>
          </cell>
          <cell r="DV4">
            <v>759</v>
          </cell>
          <cell r="DX4">
            <v>743.5</v>
          </cell>
          <cell r="DZ4">
            <v>739</v>
          </cell>
          <cell r="EG4" t="str">
            <v>ตค.</v>
          </cell>
          <cell r="EH4">
            <v>283.58999999999997</v>
          </cell>
          <cell r="EJ4">
            <v>283.82</v>
          </cell>
          <cell r="EK4">
            <v>281.27</v>
          </cell>
          <cell r="EL4">
            <v>283.83</v>
          </cell>
          <cell r="EN4">
            <v>279.89999999999998</v>
          </cell>
          <cell r="EP4">
            <v>270</v>
          </cell>
          <cell r="ER4" t="str">
            <v>ตค.</v>
          </cell>
          <cell r="ES4">
            <v>80.22</v>
          </cell>
          <cell r="EU4">
            <v>77.62</v>
          </cell>
          <cell r="EV4">
            <v>72.22</v>
          </cell>
          <cell r="EW4">
            <v>93.65</v>
          </cell>
          <cell r="EX4">
            <v>87</v>
          </cell>
          <cell r="EY4">
            <v>76</v>
          </cell>
          <cell r="EZ4">
            <v>62</v>
          </cell>
          <cell r="FH4" t="str">
            <v>ตค.</v>
          </cell>
          <cell r="FI4">
            <v>106.01</v>
          </cell>
          <cell r="FK4">
            <v>100.75</v>
          </cell>
          <cell r="FL4">
            <v>99.55</v>
          </cell>
          <cell r="FM4">
            <v>96.84</v>
          </cell>
          <cell r="FN4">
            <v>107.75</v>
          </cell>
          <cell r="FO4">
            <v>101.5</v>
          </cell>
          <cell r="FP4">
            <v>83</v>
          </cell>
          <cell r="FQ4">
            <v>105.7</v>
          </cell>
        </row>
        <row r="5">
          <cell r="E5">
            <v>249.95</v>
          </cell>
          <cell r="F5">
            <v>222.22</v>
          </cell>
          <cell r="G5">
            <v>259.95</v>
          </cell>
          <cell r="H5">
            <v>244.5</v>
          </cell>
          <cell r="I5">
            <v>244.8</v>
          </cell>
          <cell r="J5">
            <v>239.8</v>
          </cell>
          <cell r="K5">
            <v>213</v>
          </cell>
          <cell r="N5" t="str">
            <v>พย.</v>
          </cell>
          <cell r="O5">
            <v>161.41</v>
          </cell>
          <cell r="Q5">
            <v>160.43</v>
          </cell>
          <cell r="R5">
            <v>135.28</v>
          </cell>
          <cell r="S5">
            <v>161.21</v>
          </cell>
          <cell r="T5">
            <v>151.69999999999999</v>
          </cell>
          <cell r="U5">
            <v>151.4</v>
          </cell>
          <cell r="AC5" t="str">
            <v>พย.</v>
          </cell>
          <cell r="AD5" t="e">
            <v>#REF!</v>
          </cell>
          <cell r="AF5">
            <v>393.06</v>
          </cell>
          <cell r="AG5">
            <v>380.07</v>
          </cell>
          <cell r="AH5">
            <v>396</v>
          </cell>
          <cell r="AK5">
            <v>365.1</v>
          </cell>
          <cell r="AO5" t="str">
            <v>พย.</v>
          </cell>
          <cell r="AP5" t="e">
            <v>#REF!</v>
          </cell>
          <cell r="AR5">
            <v>175.72</v>
          </cell>
          <cell r="AS5">
            <v>165.36</v>
          </cell>
          <cell r="AT5">
            <v>180</v>
          </cell>
          <cell r="AU5">
            <v>163.35</v>
          </cell>
          <cell r="AV5">
            <v>168</v>
          </cell>
          <cell r="AW5">
            <v>162.5</v>
          </cell>
          <cell r="AX5">
            <v>159</v>
          </cell>
          <cell r="BB5" t="str">
            <v>พย.</v>
          </cell>
          <cell r="BC5" t="e">
            <v>#REF!</v>
          </cell>
          <cell r="BE5">
            <v>152.04</v>
          </cell>
          <cell r="BF5">
            <v>145.37</v>
          </cell>
          <cell r="BG5">
            <v>155</v>
          </cell>
          <cell r="BH5">
            <v>143.1</v>
          </cell>
          <cell r="BI5">
            <v>147</v>
          </cell>
          <cell r="BK5">
            <v>135</v>
          </cell>
          <cell r="BO5" t="str">
            <v>พย.</v>
          </cell>
          <cell r="BP5" t="e">
            <v>#REF!</v>
          </cell>
          <cell r="BR5">
            <v>96.8</v>
          </cell>
          <cell r="BS5">
            <v>91.08</v>
          </cell>
          <cell r="BT5">
            <v>99</v>
          </cell>
          <cell r="BV5">
            <v>75</v>
          </cell>
          <cell r="BW5">
            <v>94</v>
          </cell>
          <cell r="CC5" t="str">
            <v>พย.</v>
          </cell>
          <cell r="CD5">
            <v>203.88</v>
          </cell>
          <cell r="CF5">
            <v>202.93</v>
          </cell>
          <cell r="CG5">
            <v>204.01</v>
          </cell>
          <cell r="CH5">
            <v>204.3</v>
          </cell>
          <cell r="CL5">
            <v>197</v>
          </cell>
          <cell r="CP5" t="str">
            <v>พย.</v>
          </cell>
          <cell r="CQ5">
            <v>180.83</v>
          </cell>
          <cell r="CS5">
            <v>178.51</v>
          </cell>
          <cell r="CT5">
            <v>174.57</v>
          </cell>
          <cell r="CU5">
            <v>180.8</v>
          </cell>
          <cell r="CV5">
            <v>180.38</v>
          </cell>
          <cell r="CX5">
            <v>0</v>
          </cell>
          <cell r="CY5">
            <v>174.2</v>
          </cell>
          <cell r="DD5" t="str">
            <v>พย.</v>
          </cell>
          <cell r="DE5">
            <v>141.01</v>
          </cell>
          <cell r="DG5">
            <v>141.22</v>
          </cell>
          <cell r="DH5">
            <v>139.97999999999999</v>
          </cell>
          <cell r="DI5">
            <v>141.9</v>
          </cell>
          <cell r="DK5">
            <v>139.19999999999999</v>
          </cell>
          <cell r="DL5">
            <v>141.71</v>
          </cell>
          <cell r="DM5">
            <v>137.19999999999999</v>
          </cell>
          <cell r="DQ5" t="str">
            <v>พย.</v>
          </cell>
          <cell r="DR5">
            <v>757.74</v>
          </cell>
          <cell r="DT5">
            <v>756.32</v>
          </cell>
          <cell r="DU5">
            <v>746.65</v>
          </cell>
          <cell r="DV5">
            <v>758.7</v>
          </cell>
          <cell r="DX5">
            <v>743.5</v>
          </cell>
          <cell r="DZ5">
            <v>739</v>
          </cell>
          <cell r="EG5" t="str">
            <v>พย.</v>
          </cell>
          <cell r="EH5">
            <v>283.31</v>
          </cell>
          <cell r="EJ5">
            <v>283.16000000000003</v>
          </cell>
          <cell r="EK5">
            <v>281.05</v>
          </cell>
          <cell r="EL5">
            <v>284</v>
          </cell>
          <cell r="EN5">
            <v>279.89999999999998</v>
          </cell>
          <cell r="EP5">
            <v>270</v>
          </cell>
          <cell r="ER5" t="str">
            <v>พย.</v>
          </cell>
          <cell r="ES5">
            <v>80.790000000000006</v>
          </cell>
          <cell r="EU5">
            <v>76.55</v>
          </cell>
          <cell r="EV5">
            <v>72.650000000000006</v>
          </cell>
          <cell r="EW5">
            <v>95</v>
          </cell>
          <cell r="EX5">
            <v>88.3</v>
          </cell>
          <cell r="EY5">
            <v>76</v>
          </cell>
          <cell r="EZ5">
            <v>62</v>
          </cell>
          <cell r="FH5" t="str">
            <v>พย.</v>
          </cell>
          <cell r="FI5">
            <v>107.41</v>
          </cell>
          <cell r="FK5">
            <v>106.92</v>
          </cell>
          <cell r="FL5">
            <v>105.64</v>
          </cell>
          <cell r="FM5">
            <v>101.29</v>
          </cell>
          <cell r="FN5">
            <v>109.4</v>
          </cell>
          <cell r="FO5">
            <v>103.3</v>
          </cell>
          <cell r="FP5">
            <v>83</v>
          </cell>
          <cell r="FQ5">
            <v>105.7</v>
          </cell>
        </row>
        <row r="6">
          <cell r="E6">
            <v>249.85</v>
          </cell>
          <cell r="F6">
            <v>221.97</v>
          </cell>
          <cell r="G6">
            <v>259.89</v>
          </cell>
          <cell r="H6">
            <v>244.6</v>
          </cell>
          <cell r="I6">
            <v>244.8</v>
          </cell>
          <cell r="J6">
            <v>239.8</v>
          </cell>
          <cell r="K6">
            <v>213</v>
          </cell>
          <cell r="N6" t="str">
            <v>ธค.</v>
          </cell>
          <cell r="O6">
            <v>161.41999999999999</v>
          </cell>
          <cell r="Q6">
            <v>159.69999999999999</v>
          </cell>
          <cell r="R6">
            <v>134.44</v>
          </cell>
          <cell r="S6">
            <v>159.9</v>
          </cell>
          <cell r="T6">
            <v>151.30000000000001</v>
          </cell>
          <cell r="U6">
            <v>151.4</v>
          </cell>
          <cell r="AC6" t="str">
            <v>ธค.</v>
          </cell>
          <cell r="AD6" t="e">
            <v>#REF!</v>
          </cell>
          <cell r="AF6">
            <v>390.4</v>
          </cell>
          <cell r="AG6">
            <v>379.88</v>
          </cell>
          <cell r="AH6">
            <v>395.8</v>
          </cell>
          <cell r="AK6">
            <v>365.1</v>
          </cell>
          <cell r="AO6" t="str">
            <v>ธค.</v>
          </cell>
          <cell r="AP6" t="e">
            <v>#REF!</v>
          </cell>
          <cell r="AR6">
            <v>175.08</v>
          </cell>
          <cell r="AS6">
            <v>165.15</v>
          </cell>
          <cell r="AT6">
            <v>179.79</v>
          </cell>
          <cell r="AU6">
            <v>163.19999999999999</v>
          </cell>
          <cell r="AV6">
            <v>168</v>
          </cell>
          <cell r="AW6">
            <v>162.5</v>
          </cell>
          <cell r="AX6">
            <v>159</v>
          </cell>
          <cell r="BB6" t="str">
            <v>ธค.</v>
          </cell>
          <cell r="BC6" t="e">
            <v>#REF!</v>
          </cell>
          <cell r="BE6">
            <v>150.05000000000001</v>
          </cell>
          <cell r="BF6">
            <v>144.83000000000001</v>
          </cell>
          <cell r="BG6">
            <v>155</v>
          </cell>
          <cell r="BH6">
            <v>143</v>
          </cell>
          <cell r="BI6">
            <v>147</v>
          </cell>
          <cell r="BK6">
            <v>135</v>
          </cell>
          <cell r="BO6" t="str">
            <v>ธค.</v>
          </cell>
          <cell r="BP6" t="e">
            <v>#REF!</v>
          </cell>
          <cell r="BR6">
            <v>96.16</v>
          </cell>
          <cell r="BS6">
            <v>90.41</v>
          </cell>
          <cell r="BT6">
            <v>98.35</v>
          </cell>
          <cell r="BV6">
            <v>75</v>
          </cell>
          <cell r="BW6">
            <v>94</v>
          </cell>
          <cell r="CC6" t="str">
            <v>ธค.</v>
          </cell>
          <cell r="CD6">
            <v>203.2</v>
          </cell>
          <cell r="CF6">
            <v>202.63</v>
          </cell>
          <cell r="CG6">
            <v>203.57</v>
          </cell>
          <cell r="CH6">
            <v>203.55</v>
          </cell>
          <cell r="CL6">
            <v>197</v>
          </cell>
          <cell r="CP6" t="str">
            <v>ธค.</v>
          </cell>
          <cell r="CQ6">
            <v>180.44</v>
          </cell>
          <cell r="CS6">
            <v>178.44</v>
          </cell>
          <cell r="CT6">
            <v>174.38</v>
          </cell>
          <cell r="CU6">
            <v>180.55</v>
          </cell>
          <cell r="CV6">
            <v>179.76</v>
          </cell>
          <cell r="CX6">
            <v>0</v>
          </cell>
          <cell r="CY6">
            <v>174.2</v>
          </cell>
          <cell r="DD6" t="str">
            <v>ธค.</v>
          </cell>
          <cell r="DE6">
            <v>140.63999999999999</v>
          </cell>
          <cell r="DG6">
            <v>140.71</v>
          </cell>
          <cell r="DH6">
            <v>139.72</v>
          </cell>
          <cell r="DI6">
            <v>141.53</v>
          </cell>
          <cell r="DK6">
            <v>139.19999999999999</v>
          </cell>
          <cell r="DL6">
            <v>141.30000000000001</v>
          </cell>
          <cell r="DM6">
            <v>137.19999999999999</v>
          </cell>
          <cell r="DQ6" t="str">
            <v>ธค.</v>
          </cell>
          <cell r="DR6">
            <v>757.59</v>
          </cell>
          <cell r="DT6">
            <v>756.19</v>
          </cell>
          <cell r="DU6">
            <v>745.34</v>
          </cell>
          <cell r="DV6">
            <v>758.01</v>
          </cell>
          <cell r="DX6">
            <v>743.5</v>
          </cell>
          <cell r="DZ6">
            <v>739</v>
          </cell>
          <cell r="EG6" t="str">
            <v>ธค.</v>
          </cell>
          <cell r="EH6">
            <v>282.99</v>
          </cell>
          <cell r="EJ6">
            <v>282.45</v>
          </cell>
          <cell r="EK6">
            <v>280.56</v>
          </cell>
          <cell r="EL6">
            <v>283.70999999999998</v>
          </cell>
          <cell r="EN6">
            <v>279.89999999999998</v>
          </cell>
          <cell r="EP6">
            <v>270</v>
          </cell>
          <cell r="ER6" t="str">
            <v>ธค.</v>
          </cell>
          <cell r="ES6">
            <v>80.72</v>
          </cell>
          <cell r="EU6">
            <v>75.680000000000007</v>
          </cell>
          <cell r="EV6">
            <v>73.209999999999994</v>
          </cell>
          <cell r="EW6">
            <v>94.25</v>
          </cell>
          <cell r="EX6">
            <v>88.1</v>
          </cell>
          <cell r="EY6">
            <v>76</v>
          </cell>
          <cell r="EZ6">
            <v>62</v>
          </cell>
          <cell r="FH6" t="str">
            <v>ธค.</v>
          </cell>
          <cell r="FI6">
            <v>109.71</v>
          </cell>
          <cell r="FK6">
            <v>108.36</v>
          </cell>
          <cell r="FL6">
            <v>115.05</v>
          </cell>
          <cell r="FM6">
            <v>103.07</v>
          </cell>
          <cell r="FN6">
            <v>112.5</v>
          </cell>
          <cell r="FO6">
            <v>104.5</v>
          </cell>
          <cell r="FP6">
            <v>83</v>
          </cell>
          <cell r="FQ6">
            <v>105.7</v>
          </cell>
        </row>
        <row r="7">
          <cell r="E7">
            <v>249.22</v>
          </cell>
          <cell r="F7">
            <v>221.1</v>
          </cell>
          <cell r="G7">
            <v>259.54000000000002</v>
          </cell>
          <cell r="H7">
            <v>244.2</v>
          </cell>
          <cell r="I7">
            <v>244.8</v>
          </cell>
          <cell r="J7">
            <v>239.8</v>
          </cell>
          <cell r="K7">
            <v>213</v>
          </cell>
          <cell r="N7" t="str">
            <v>มค.</v>
          </cell>
          <cell r="O7">
            <v>160.13</v>
          </cell>
          <cell r="Q7">
            <v>158.58000000000001</v>
          </cell>
          <cell r="R7">
            <v>133.6</v>
          </cell>
          <cell r="S7">
            <v>158.16</v>
          </cell>
          <cell r="T7">
            <v>151</v>
          </cell>
          <cell r="U7">
            <v>151.4</v>
          </cell>
          <cell r="AC7" t="str">
            <v>มค.</v>
          </cell>
          <cell r="AD7" t="e">
            <v>#REF!</v>
          </cell>
          <cell r="AF7">
            <v>388.4</v>
          </cell>
          <cell r="AG7">
            <v>377.15</v>
          </cell>
          <cell r="AH7">
            <v>392.3</v>
          </cell>
          <cell r="AK7">
            <v>365.1</v>
          </cell>
          <cell r="AO7" t="str">
            <v>มค.</v>
          </cell>
          <cell r="AP7" t="e">
            <v>#REF!</v>
          </cell>
          <cell r="AR7">
            <v>174.36</v>
          </cell>
          <cell r="AS7">
            <v>164.83</v>
          </cell>
          <cell r="AT7">
            <v>179.39</v>
          </cell>
          <cell r="AU7">
            <v>162.65</v>
          </cell>
          <cell r="AV7">
            <v>168</v>
          </cell>
          <cell r="AW7">
            <v>162.5</v>
          </cell>
          <cell r="AX7">
            <v>159</v>
          </cell>
          <cell r="BB7" t="str">
            <v>มค.</v>
          </cell>
          <cell r="BC7" t="e">
            <v>#REF!</v>
          </cell>
          <cell r="BE7">
            <v>148.75</v>
          </cell>
          <cell r="BF7">
            <v>144.06</v>
          </cell>
          <cell r="BG7">
            <v>154.08000000000001</v>
          </cell>
          <cell r="BH7">
            <v>142.19999999999999</v>
          </cell>
          <cell r="BI7">
            <v>147</v>
          </cell>
          <cell r="BK7">
            <v>135</v>
          </cell>
          <cell r="BO7" t="str">
            <v>มค.</v>
          </cell>
          <cell r="BP7" t="e">
            <v>#REF!</v>
          </cell>
          <cell r="BR7">
            <v>95.83</v>
          </cell>
          <cell r="BS7">
            <v>90.18</v>
          </cell>
          <cell r="BT7">
            <v>97.19</v>
          </cell>
          <cell r="BV7">
            <v>75</v>
          </cell>
          <cell r="BW7">
            <v>94</v>
          </cell>
          <cell r="CC7" t="str">
            <v>มค.</v>
          </cell>
          <cell r="CD7">
            <v>202.44</v>
          </cell>
          <cell r="CF7">
            <v>202.32</v>
          </cell>
          <cell r="CG7">
            <v>203.05</v>
          </cell>
          <cell r="CH7">
            <v>202.9</v>
          </cell>
          <cell r="CL7">
            <v>197</v>
          </cell>
          <cell r="CP7" t="str">
            <v>มค.</v>
          </cell>
          <cell r="CQ7">
            <v>180.03</v>
          </cell>
          <cell r="CS7">
            <v>178.07</v>
          </cell>
          <cell r="CT7">
            <v>174.16</v>
          </cell>
          <cell r="CU7">
            <v>180.2</v>
          </cell>
          <cell r="CV7">
            <v>179.25</v>
          </cell>
          <cell r="CX7">
            <v>0</v>
          </cell>
          <cell r="CY7">
            <v>174.2</v>
          </cell>
          <cell r="DD7" t="str">
            <v>มค.</v>
          </cell>
          <cell r="DE7">
            <v>140.19999999999999</v>
          </cell>
          <cell r="DG7">
            <v>140.32</v>
          </cell>
          <cell r="DH7">
            <v>139.49</v>
          </cell>
          <cell r="DI7">
            <v>141.13</v>
          </cell>
          <cell r="DK7">
            <v>139.19999999999999</v>
          </cell>
          <cell r="DL7">
            <v>140.9</v>
          </cell>
          <cell r="DM7">
            <v>137.19999999999999</v>
          </cell>
          <cell r="DQ7" t="str">
            <v>มค.</v>
          </cell>
          <cell r="DR7">
            <v>756.56</v>
          </cell>
          <cell r="DT7">
            <v>755.25</v>
          </cell>
          <cell r="DU7">
            <v>744.78</v>
          </cell>
          <cell r="DV7">
            <v>757.17</v>
          </cell>
          <cell r="DX7">
            <v>743.5</v>
          </cell>
          <cell r="DZ7">
            <v>739</v>
          </cell>
          <cell r="EG7" t="str">
            <v>มค.</v>
          </cell>
          <cell r="EH7">
            <v>282.64</v>
          </cell>
          <cell r="EJ7">
            <v>282.07</v>
          </cell>
          <cell r="EK7">
            <v>279.19</v>
          </cell>
          <cell r="EL7">
            <v>283.33</v>
          </cell>
          <cell r="EN7">
            <v>279.89999999999998</v>
          </cell>
          <cell r="EP7">
            <v>270</v>
          </cell>
          <cell r="ER7" t="str">
            <v>มค.</v>
          </cell>
          <cell r="ES7">
            <v>80.08</v>
          </cell>
          <cell r="EU7">
            <v>74.88</v>
          </cell>
          <cell r="EV7">
            <v>72.45</v>
          </cell>
          <cell r="EW7">
            <v>93.08</v>
          </cell>
          <cell r="EX7">
            <v>87</v>
          </cell>
          <cell r="EY7">
            <v>76</v>
          </cell>
          <cell r="EZ7">
            <v>62</v>
          </cell>
          <cell r="FH7" t="str">
            <v>มค.</v>
          </cell>
          <cell r="FI7">
            <v>110.33</v>
          </cell>
          <cell r="FK7">
            <v>109.12</v>
          </cell>
          <cell r="FL7">
            <v>113.88</v>
          </cell>
          <cell r="FM7">
            <v>103.34</v>
          </cell>
          <cell r="FN7">
            <v>115</v>
          </cell>
          <cell r="FO7">
            <v>105.75</v>
          </cell>
          <cell r="FP7">
            <v>83</v>
          </cell>
          <cell r="FQ7">
            <v>105.7</v>
          </cell>
        </row>
        <row r="8">
          <cell r="E8">
            <v>247.45</v>
          </cell>
          <cell r="F8">
            <v>219.59</v>
          </cell>
          <cell r="G8">
            <v>259.01</v>
          </cell>
          <cell r="H8">
            <v>244</v>
          </cell>
          <cell r="I8">
            <v>244.8</v>
          </cell>
          <cell r="J8">
            <v>239.8</v>
          </cell>
          <cell r="K8">
            <v>213</v>
          </cell>
          <cell r="N8" t="str">
            <v>กพ.</v>
          </cell>
          <cell r="O8">
            <v>157.16</v>
          </cell>
          <cell r="Q8">
            <v>156.19999999999999</v>
          </cell>
          <cell r="R8">
            <v>132.21</v>
          </cell>
          <cell r="S8">
            <v>156.51</v>
          </cell>
          <cell r="T8">
            <v>150</v>
          </cell>
          <cell r="U8">
            <v>151.4</v>
          </cell>
          <cell r="AC8" t="str">
            <v>กพ.</v>
          </cell>
          <cell r="AD8" t="e">
            <v>#REF!</v>
          </cell>
          <cell r="AF8">
            <v>387.84</v>
          </cell>
          <cell r="AG8">
            <v>373.88</v>
          </cell>
          <cell r="AH8">
            <v>388.4</v>
          </cell>
          <cell r="AK8">
            <v>365.1</v>
          </cell>
          <cell r="AO8" t="str">
            <v>กพ.</v>
          </cell>
          <cell r="AP8" t="e">
            <v>#REF!</v>
          </cell>
          <cell r="AR8">
            <v>173.34</v>
          </cell>
          <cell r="AS8">
            <v>164.15</v>
          </cell>
          <cell r="AT8">
            <v>178.62</v>
          </cell>
          <cell r="AU8">
            <v>162</v>
          </cell>
          <cell r="AV8">
            <v>168</v>
          </cell>
          <cell r="AW8">
            <v>162.5</v>
          </cell>
          <cell r="AX8">
            <v>159</v>
          </cell>
          <cell r="BB8" t="str">
            <v>กพ.</v>
          </cell>
          <cell r="BC8" t="e">
            <v>#REF!</v>
          </cell>
          <cell r="BE8">
            <v>147.4</v>
          </cell>
          <cell r="BF8">
            <v>142.58000000000001</v>
          </cell>
          <cell r="BG8">
            <v>153.1</v>
          </cell>
          <cell r="BH8">
            <v>141.19999999999999</v>
          </cell>
          <cell r="BI8">
            <v>147</v>
          </cell>
          <cell r="BK8">
            <v>135</v>
          </cell>
          <cell r="BO8" t="str">
            <v>กพ.</v>
          </cell>
          <cell r="BP8" t="e">
            <v>#REF!</v>
          </cell>
          <cell r="BR8">
            <v>95.17</v>
          </cell>
          <cell r="BS8">
            <v>89.66</v>
          </cell>
          <cell r="BT8">
            <v>95.84</v>
          </cell>
          <cell r="BV8">
            <v>75</v>
          </cell>
          <cell r="BW8">
            <v>94</v>
          </cell>
          <cell r="CC8" t="str">
            <v>กพ.</v>
          </cell>
          <cell r="CD8">
            <v>201.82</v>
          </cell>
          <cell r="CF8">
            <v>202.01</v>
          </cell>
          <cell r="CG8">
            <v>202.42</v>
          </cell>
          <cell r="CH8">
            <v>202.28</v>
          </cell>
          <cell r="CL8">
            <v>197</v>
          </cell>
          <cell r="CP8" t="str">
            <v>กพ.</v>
          </cell>
          <cell r="CQ8">
            <v>179.61</v>
          </cell>
          <cell r="CS8">
            <v>177.83</v>
          </cell>
          <cell r="CT8">
            <v>173.96</v>
          </cell>
          <cell r="CU8">
            <v>179.8</v>
          </cell>
          <cell r="CV8">
            <v>178.68</v>
          </cell>
          <cell r="CX8">
            <v>0</v>
          </cell>
          <cell r="CY8">
            <v>174.2</v>
          </cell>
          <cell r="DD8" t="str">
            <v>กพ.</v>
          </cell>
          <cell r="DE8">
            <v>139.76</v>
          </cell>
          <cell r="DG8">
            <v>139.9</v>
          </cell>
          <cell r="DH8">
            <v>139.19</v>
          </cell>
          <cell r="DI8">
            <v>140.75</v>
          </cell>
          <cell r="DK8">
            <v>139.19999999999999</v>
          </cell>
          <cell r="DL8">
            <v>140.41</v>
          </cell>
          <cell r="DM8">
            <v>137.19999999999999</v>
          </cell>
          <cell r="DQ8" t="str">
            <v>กพ.</v>
          </cell>
          <cell r="DR8">
            <v>754.77</v>
          </cell>
          <cell r="DT8">
            <v>753.14</v>
          </cell>
          <cell r="DU8">
            <v>744.36</v>
          </cell>
          <cell r="DV8">
            <v>756.34</v>
          </cell>
          <cell r="DX8">
            <v>743.5</v>
          </cell>
          <cell r="DZ8">
            <v>739</v>
          </cell>
          <cell r="EG8" t="str">
            <v>กพ.</v>
          </cell>
          <cell r="EH8">
            <v>282.26</v>
          </cell>
          <cell r="EJ8">
            <v>281.72000000000003</v>
          </cell>
          <cell r="EK8">
            <v>279.42</v>
          </cell>
          <cell r="EL8">
            <v>282.89999999999998</v>
          </cell>
          <cell r="EN8">
            <v>279.89999999999998</v>
          </cell>
          <cell r="EP8">
            <v>270</v>
          </cell>
          <cell r="ER8" t="str">
            <v>กพ.</v>
          </cell>
          <cell r="ES8">
            <v>79.599999999999994</v>
          </cell>
          <cell r="EU8">
            <v>73.63</v>
          </cell>
          <cell r="EV8">
            <v>71.09</v>
          </cell>
          <cell r="EW8">
            <v>91.44</v>
          </cell>
          <cell r="EX8">
            <v>85</v>
          </cell>
          <cell r="EY8">
            <v>76</v>
          </cell>
          <cell r="EZ8">
            <v>62</v>
          </cell>
          <cell r="FH8" t="str">
            <v>กพ.</v>
          </cell>
          <cell r="FI8">
            <v>109.24</v>
          </cell>
          <cell r="FK8">
            <v>108.32</v>
          </cell>
          <cell r="FL8">
            <v>112.44</v>
          </cell>
          <cell r="FM8">
            <v>102.23</v>
          </cell>
          <cell r="FN8">
            <v>115</v>
          </cell>
          <cell r="FO8">
            <v>105.8</v>
          </cell>
          <cell r="FP8">
            <v>83</v>
          </cell>
          <cell r="FQ8">
            <v>105.7</v>
          </cell>
        </row>
        <row r="9">
          <cell r="E9">
            <v>244.25</v>
          </cell>
          <cell r="F9">
            <v>218.07</v>
          </cell>
          <cell r="G9">
            <v>258.08</v>
          </cell>
          <cell r="H9">
            <v>243.3</v>
          </cell>
          <cell r="I9">
            <v>244.8</v>
          </cell>
          <cell r="J9">
            <v>239.8</v>
          </cell>
          <cell r="K9">
            <v>213</v>
          </cell>
          <cell r="N9" t="str">
            <v>มีค.</v>
          </cell>
          <cell r="O9">
            <v>152.86000000000001</v>
          </cell>
          <cell r="Q9">
            <v>152.75</v>
          </cell>
          <cell r="R9">
            <v>130.69999999999999</v>
          </cell>
          <cell r="S9">
            <v>154.58000000000001</v>
          </cell>
          <cell r="T9">
            <v>148</v>
          </cell>
          <cell r="U9">
            <v>151.4</v>
          </cell>
          <cell r="AC9" t="str">
            <v>มีค.</v>
          </cell>
          <cell r="AD9" t="e">
            <v>#REF!</v>
          </cell>
          <cell r="AF9">
            <v>386.1</v>
          </cell>
          <cell r="AG9">
            <v>373.4</v>
          </cell>
          <cell r="AH9">
            <v>384.08</v>
          </cell>
          <cell r="AK9">
            <v>365.1</v>
          </cell>
          <cell r="AO9" t="str">
            <v>มีค.</v>
          </cell>
          <cell r="AP9" t="e">
            <v>#REF!</v>
          </cell>
          <cell r="AR9">
            <v>171.84</v>
          </cell>
          <cell r="AS9">
            <v>163.41999999999999</v>
          </cell>
          <cell r="AT9">
            <v>177.63</v>
          </cell>
          <cell r="AU9">
            <v>161.1</v>
          </cell>
          <cell r="AV9">
            <v>168</v>
          </cell>
          <cell r="AW9">
            <v>162.5</v>
          </cell>
          <cell r="AX9">
            <v>159</v>
          </cell>
          <cell r="BB9" t="str">
            <v>มีค.</v>
          </cell>
          <cell r="BC9" t="e">
            <v>#REF!</v>
          </cell>
          <cell r="BE9">
            <v>145.44999999999999</v>
          </cell>
          <cell r="BF9">
            <v>140.41</v>
          </cell>
          <cell r="BG9">
            <v>151.99</v>
          </cell>
          <cell r="BH9">
            <v>140.19999999999999</v>
          </cell>
          <cell r="BI9">
            <v>147</v>
          </cell>
          <cell r="BK9">
            <v>135</v>
          </cell>
          <cell r="BO9" t="str">
            <v>มีค.</v>
          </cell>
          <cell r="BP9" t="e">
            <v>#REF!</v>
          </cell>
          <cell r="BR9">
            <v>94.27</v>
          </cell>
          <cell r="BS9">
            <v>89.29</v>
          </cell>
          <cell r="BT9">
            <v>93.97</v>
          </cell>
          <cell r="BV9">
            <v>75</v>
          </cell>
          <cell r="BW9">
            <v>94</v>
          </cell>
          <cell r="CC9" t="str">
            <v>มีค.</v>
          </cell>
          <cell r="CD9">
            <v>200.94</v>
          </cell>
          <cell r="CF9">
            <v>201.59</v>
          </cell>
          <cell r="CG9">
            <v>201.93</v>
          </cell>
          <cell r="CH9">
            <v>201.51</v>
          </cell>
          <cell r="CL9">
            <v>197</v>
          </cell>
          <cell r="CP9" t="str">
            <v>มีค.</v>
          </cell>
          <cell r="CQ9">
            <v>179.04</v>
          </cell>
          <cell r="CS9">
            <v>177.53</v>
          </cell>
          <cell r="CT9">
            <v>173.78</v>
          </cell>
          <cell r="CU9">
            <v>179.4</v>
          </cell>
          <cell r="CV9">
            <v>177.94</v>
          </cell>
          <cell r="CX9">
            <v>0</v>
          </cell>
          <cell r="CY9">
            <v>174.2</v>
          </cell>
          <cell r="DD9" t="str">
            <v>มีค.</v>
          </cell>
          <cell r="DE9">
            <v>139.30000000000001</v>
          </cell>
          <cell r="DG9">
            <v>139.16999999999999</v>
          </cell>
          <cell r="DH9">
            <v>138.79</v>
          </cell>
          <cell r="DI9">
            <v>140.31</v>
          </cell>
          <cell r="DK9">
            <v>139.19999999999999</v>
          </cell>
          <cell r="DL9">
            <v>139.85</v>
          </cell>
          <cell r="DM9">
            <v>137.19999999999999</v>
          </cell>
          <cell r="DQ9" t="str">
            <v>มีค.</v>
          </cell>
          <cell r="DR9">
            <v>752.97</v>
          </cell>
          <cell r="DT9">
            <v>751.53</v>
          </cell>
          <cell r="DU9">
            <v>741.75</v>
          </cell>
          <cell r="DV9">
            <v>755.45</v>
          </cell>
          <cell r="DX9">
            <v>743.5</v>
          </cell>
          <cell r="DZ9">
            <v>739</v>
          </cell>
          <cell r="EG9" t="str">
            <v>มีค.</v>
          </cell>
          <cell r="EH9">
            <v>281.76</v>
          </cell>
          <cell r="EJ9">
            <v>281.22000000000003</v>
          </cell>
          <cell r="EK9">
            <v>279.12</v>
          </cell>
          <cell r="EL9">
            <v>282.45999999999998</v>
          </cell>
          <cell r="EN9">
            <v>279.89999999999998</v>
          </cell>
          <cell r="EP9">
            <v>270</v>
          </cell>
          <cell r="ER9" t="str">
            <v>มีค.</v>
          </cell>
          <cell r="ES9">
            <v>79.069999999999993</v>
          </cell>
          <cell r="EU9">
            <v>71.64</v>
          </cell>
          <cell r="EV9">
            <v>69.98</v>
          </cell>
          <cell r="EW9">
            <v>89.6</v>
          </cell>
          <cell r="EX9">
            <v>82.7</v>
          </cell>
          <cell r="EY9">
            <v>76</v>
          </cell>
          <cell r="EZ9">
            <v>62</v>
          </cell>
          <cell r="FH9" t="str">
            <v>มีค.</v>
          </cell>
          <cell r="FI9">
            <v>108.73</v>
          </cell>
          <cell r="FK9">
            <v>107.41</v>
          </cell>
          <cell r="FL9">
            <v>112.09</v>
          </cell>
          <cell r="FM9">
            <v>100.98</v>
          </cell>
          <cell r="FN9">
            <v>115</v>
          </cell>
          <cell r="FO9">
            <v>105.8</v>
          </cell>
          <cell r="FP9">
            <v>83</v>
          </cell>
          <cell r="FQ9">
            <v>105.7</v>
          </cell>
        </row>
        <row r="10">
          <cell r="E10">
            <v>241.31</v>
          </cell>
          <cell r="F10">
            <v>217.19</v>
          </cell>
          <cell r="G10">
            <v>256.8</v>
          </cell>
          <cell r="H10">
            <v>242.1</v>
          </cell>
          <cell r="I10">
            <v>244.8</v>
          </cell>
          <cell r="J10">
            <v>239.8</v>
          </cell>
          <cell r="K10">
            <v>213</v>
          </cell>
          <cell r="N10" t="str">
            <v>เมย.</v>
          </cell>
          <cell r="O10">
            <v>148.77000000000001</v>
          </cell>
          <cell r="Q10">
            <v>149.44999999999999</v>
          </cell>
          <cell r="R10">
            <v>129.97</v>
          </cell>
          <cell r="S10">
            <v>152.66999999999999</v>
          </cell>
          <cell r="T10">
            <v>146</v>
          </cell>
          <cell r="U10">
            <v>151.4</v>
          </cell>
          <cell r="AC10" t="str">
            <v>เมย.</v>
          </cell>
          <cell r="AD10" t="e">
            <v>#REF!</v>
          </cell>
          <cell r="AF10">
            <v>383.07</v>
          </cell>
          <cell r="AG10">
            <v>372.85</v>
          </cell>
          <cell r="AH10">
            <v>382.18</v>
          </cell>
          <cell r="AK10">
            <v>365.1</v>
          </cell>
          <cell r="AO10" t="str">
            <v>เมย.</v>
          </cell>
          <cell r="AP10" t="e">
            <v>#REF!</v>
          </cell>
          <cell r="AR10">
            <v>170.66</v>
          </cell>
          <cell r="AS10">
            <v>162.54</v>
          </cell>
          <cell r="AT10">
            <v>176.59</v>
          </cell>
          <cell r="AU10">
            <v>160.19999999999999</v>
          </cell>
          <cell r="AV10">
            <v>168</v>
          </cell>
          <cell r="AW10">
            <v>162.5</v>
          </cell>
          <cell r="AX10">
            <v>159</v>
          </cell>
          <cell r="BB10" t="str">
            <v>เมย.</v>
          </cell>
          <cell r="BC10" t="e">
            <v>#REF!</v>
          </cell>
          <cell r="BE10">
            <v>143.55000000000001</v>
          </cell>
          <cell r="BF10">
            <v>138.55000000000001</v>
          </cell>
          <cell r="BG10">
            <v>150.97999999999999</v>
          </cell>
          <cell r="BH10">
            <v>138.5</v>
          </cell>
          <cell r="BI10">
            <v>147</v>
          </cell>
          <cell r="BK10">
            <v>135</v>
          </cell>
          <cell r="BO10" t="str">
            <v>เมย.</v>
          </cell>
          <cell r="BP10" t="e">
            <v>#REF!</v>
          </cell>
          <cell r="BR10">
            <v>93.42</v>
          </cell>
          <cell r="BS10">
            <v>88.9</v>
          </cell>
          <cell r="BT10">
            <v>92.28</v>
          </cell>
          <cell r="BV10">
            <v>75</v>
          </cell>
          <cell r="BW10">
            <v>94</v>
          </cell>
          <cell r="CC10" t="str">
            <v>เมย.</v>
          </cell>
          <cell r="CD10">
            <v>199.97</v>
          </cell>
          <cell r="CF10">
            <v>200.97</v>
          </cell>
          <cell r="CG10">
            <v>201.13</v>
          </cell>
          <cell r="CH10">
            <v>200.44</v>
          </cell>
          <cell r="CL10">
            <v>197</v>
          </cell>
          <cell r="CP10" t="str">
            <v>เมย.</v>
          </cell>
          <cell r="CQ10">
            <v>178.43</v>
          </cell>
          <cell r="CS10">
            <v>177.33</v>
          </cell>
          <cell r="CT10">
            <v>173.53</v>
          </cell>
          <cell r="CU10">
            <v>179</v>
          </cell>
          <cell r="CV10">
            <v>177.22</v>
          </cell>
          <cell r="CX10">
            <v>0</v>
          </cell>
          <cell r="CY10">
            <v>174.2</v>
          </cell>
          <cell r="DD10" t="str">
            <v>เมย.</v>
          </cell>
          <cell r="DE10">
            <v>138.85</v>
          </cell>
          <cell r="DG10">
            <v>138.68</v>
          </cell>
          <cell r="DH10">
            <v>138.30000000000001</v>
          </cell>
          <cell r="DI10">
            <v>139.83000000000001</v>
          </cell>
          <cell r="DK10">
            <v>139.19999999999999</v>
          </cell>
          <cell r="DL10">
            <v>139.07</v>
          </cell>
          <cell r="DM10">
            <v>137.19999999999999</v>
          </cell>
          <cell r="DQ10" t="str">
            <v>เมย.</v>
          </cell>
          <cell r="DR10">
            <v>752.14</v>
          </cell>
          <cell r="DT10">
            <v>751.1</v>
          </cell>
          <cell r="DU10">
            <v>742.09</v>
          </cell>
          <cell r="DV10">
            <v>754.5</v>
          </cell>
          <cell r="DX10">
            <v>743.5</v>
          </cell>
          <cell r="DZ10">
            <v>739</v>
          </cell>
          <cell r="EG10" t="str">
            <v>เมย.</v>
          </cell>
          <cell r="EH10">
            <v>281.27</v>
          </cell>
          <cell r="EJ10">
            <v>280.83999999999997</v>
          </cell>
          <cell r="EK10">
            <v>278.8</v>
          </cell>
          <cell r="EL10">
            <v>281.93</v>
          </cell>
          <cell r="EN10">
            <v>279.89999999999998</v>
          </cell>
          <cell r="EP10">
            <v>270</v>
          </cell>
          <cell r="ER10" t="str">
            <v>เมย.</v>
          </cell>
          <cell r="ES10">
            <v>78.569999999999993</v>
          </cell>
          <cell r="EU10">
            <v>70.37</v>
          </cell>
          <cell r="EV10">
            <v>68.55</v>
          </cell>
          <cell r="EW10">
            <v>88.35</v>
          </cell>
          <cell r="EX10">
            <v>80.599999999999994</v>
          </cell>
          <cell r="EY10">
            <v>76</v>
          </cell>
          <cell r="EZ10">
            <v>62</v>
          </cell>
          <cell r="FH10" t="str">
            <v>เมย.</v>
          </cell>
          <cell r="FI10">
            <v>107.33</v>
          </cell>
          <cell r="FK10">
            <v>106.29</v>
          </cell>
          <cell r="FL10">
            <v>111.46</v>
          </cell>
          <cell r="FM10">
            <v>99.98</v>
          </cell>
          <cell r="FN10">
            <v>114.09</v>
          </cell>
          <cell r="FO10">
            <v>105.8</v>
          </cell>
          <cell r="FP10">
            <v>83</v>
          </cell>
          <cell r="FQ10">
            <v>105.7</v>
          </cell>
        </row>
        <row r="11">
          <cell r="E11">
            <v>239.5</v>
          </cell>
          <cell r="F11">
            <v>217.8</v>
          </cell>
          <cell r="G11">
            <v>253.93</v>
          </cell>
          <cell r="H11">
            <v>240.2</v>
          </cell>
          <cell r="I11">
            <v>244.8</v>
          </cell>
          <cell r="J11">
            <v>239.8</v>
          </cell>
          <cell r="K11">
            <v>213</v>
          </cell>
          <cell r="N11" t="str">
            <v>พค.</v>
          </cell>
          <cell r="O11">
            <v>145.44</v>
          </cell>
          <cell r="Q11">
            <v>147.08000000000001</v>
          </cell>
          <cell r="R11">
            <v>130.66999999999999</v>
          </cell>
          <cell r="S11">
            <v>151.09</v>
          </cell>
          <cell r="T11">
            <v>144</v>
          </cell>
          <cell r="U11">
            <v>151.4</v>
          </cell>
          <cell r="AC11" t="str">
            <v>พค.</v>
          </cell>
          <cell r="AD11" t="e">
            <v>#REF!</v>
          </cell>
          <cell r="AF11">
            <v>382.2</v>
          </cell>
          <cell r="AG11">
            <v>375.51</v>
          </cell>
          <cell r="AH11">
            <v>381.03</v>
          </cell>
          <cell r="AK11">
            <v>365.1</v>
          </cell>
          <cell r="AO11" t="str">
            <v>พค.</v>
          </cell>
          <cell r="AP11" t="e">
            <v>#REF!</v>
          </cell>
          <cell r="AR11">
            <v>169.12</v>
          </cell>
          <cell r="AS11">
            <v>162.24</v>
          </cell>
          <cell r="AT11">
            <v>175.67</v>
          </cell>
          <cell r="AU11">
            <v>159.6</v>
          </cell>
          <cell r="AV11">
            <v>168</v>
          </cell>
          <cell r="AW11">
            <v>162.5</v>
          </cell>
          <cell r="AX11">
            <v>159</v>
          </cell>
          <cell r="BB11" t="str">
            <v>พค.</v>
          </cell>
          <cell r="BC11" t="e">
            <v>#REF!</v>
          </cell>
          <cell r="BE11">
            <v>141.88999999999999</v>
          </cell>
          <cell r="BF11">
            <v>137.12</v>
          </cell>
          <cell r="BG11">
            <v>150</v>
          </cell>
          <cell r="BH11">
            <v>137</v>
          </cell>
          <cell r="BI11">
            <v>147</v>
          </cell>
          <cell r="BK11">
            <v>135</v>
          </cell>
          <cell r="BO11" t="str">
            <v>พค.</v>
          </cell>
          <cell r="BP11" t="e">
            <v>#REF!</v>
          </cell>
          <cell r="BR11">
            <v>92.74</v>
          </cell>
          <cell r="BS11">
            <v>88.92</v>
          </cell>
          <cell r="BT11">
            <v>90.5</v>
          </cell>
          <cell r="BV11">
            <v>75</v>
          </cell>
          <cell r="BW11">
            <v>94</v>
          </cell>
          <cell r="CC11" t="str">
            <v>พค.</v>
          </cell>
          <cell r="CD11">
            <v>199.42</v>
          </cell>
          <cell r="CF11">
            <v>200.74</v>
          </cell>
          <cell r="CG11">
            <v>200.88</v>
          </cell>
          <cell r="CH11">
            <v>200.02</v>
          </cell>
          <cell r="CL11">
            <v>197</v>
          </cell>
          <cell r="CP11" t="str">
            <v>พค.</v>
          </cell>
          <cell r="CQ11">
            <v>177.89</v>
          </cell>
          <cell r="CS11">
            <v>177.27</v>
          </cell>
          <cell r="CT11">
            <v>173.92</v>
          </cell>
          <cell r="CU11">
            <v>178.25</v>
          </cell>
          <cell r="CV11">
            <v>176.8</v>
          </cell>
          <cell r="CX11">
            <v>0</v>
          </cell>
          <cell r="CY11">
            <v>174.2</v>
          </cell>
          <cell r="DD11" t="str">
            <v>พค.</v>
          </cell>
          <cell r="DE11">
            <v>138.66</v>
          </cell>
          <cell r="DG11">
            <v>138.5</v>
          </cell>
          <cell r="DH11">
            <v>138.26</v>
          </cell>
          <cell r="DI11">
            <v>139.4</v>
          </cell>
          <cell r="DK11">
            <v>139.19999999999999</v>
          </cell>
          <cell r="DL11">
            <v>138.31</v>
          </cell>
          <cell r="DM11">
            <v>137.19999999999999</v>
          </cell>
          <cell r="DQ11" t="str">
            <v>พค.</v>
          </cell>
          <cell r="DR11">
            <v>752.38</v>
          </cell>
          <cell r="DT11">
            <v>751.43</v>
          </cell>
          <cell r="DU11">
            <v>744.54</v>
          </cell>
          <cell r="DV11">
            <v>753.83</v>
          </cell>
          <cell r="DX11">
            <v>743.5</v>
          </cell>
          <cell r="DZ11">
            <v>739</v>
          </cell>
          <cell r="EG11" t="str">
            <v>พค.</v>
          </cell>
          <cell r="EH11">
            <v>280.82</v>
          </cell>
          <cell r="EJ11">
            <v>280.66000000000003</v>
          </cell>
          <cell r="EK11">
            <v>278.2</v>
          </cell>
          <cell r="EL11">
            <v>281.5</v>
          </cell>
          <cell r="EN11">
            <v>279.89999999999998</v>
          </cell>
          <cell r="EP11">
            <v>270</v>
          </cell>
          <cell r="ER11" t="str">
            <v>พค.</v>
          </cell>
          <cell r="ES11">
            <v>77.83</v>
          </cell>
          <cell r="EU11">
            <v>68.88</v>
          </cell>
          <cell r="EV11">
            <v>67.56</v>
          </cell>
          <cell r="EW11">
            <v>87.72</v>
          </cell>
          <cell r="EX11">
            <v>79.25</v>
          </cell>
          <cell r="EY11">
            <v>76</v>
          </cell>
          <cell r="EZ11">
            <v>62</v>
          </cell>
          <cell r="FH11" t="str">
            <v>พค.</v>
          </cell>
          <cell r="FI11">
            <v>105.99</v>
          </cell>
          <cell r="FK11">
            <v>104.75</v>
          </cell>
          <cell r="FL11">
            <v>109.55</v>
          </cell>
          <cell r="FM11">
            <v>98.99</v>
          </cell>
          <cell r="FN11">
            <v>112.83</v>
          </cell>
          <cell r="FO11">
            <v>105.2</v>
          </cell>
          <cell r="FP11">
            <v>83</v>
          </cell>
          <cell r="FQ11">
            <v>105.7</v>
          </cell>
        </row>
        <row r="12">
          <cell r="E12">
            <v>237.2</v>
          </cell>
          <cell r="F12">
            <v>220.88</v>
          </cell>
          <cell r="G12">
            <v>251.3</v>
          </cell>
          <cell r="H12">
            <v>238.1</v>
          </cell>
          <cell r="I12">
            <v>244.8</v>
          </cell>
          <cell r="J12">
            <v>239.8</v>
          </cell>
          <cell r="K12">
            <v>213</v>
          </cell>
          <cell r="N12" t="str">
            <v>มิย.</v>
          </cell>
          <cell r="O12">
            <v>142.22999999999999</v>
          </cell>
          <cell r="Q12">
            <v>145.68</v>
          </cell>
          <cell r="R12">
            <v>133.28</v>
          </cell>
          <cell r="S12">
            <v>150.35</v>
          </cell>
          <cell r="T12">
            <v>142</v>
          </cell>
          <cell r="U12">
            <v>151.4</v>
          </cell>
          <cell r="AC12" t="str">
            <v>มิย.</v>
          </cell>
          <cell r="AD12" t="e">
            <v>#REF!</v>
          </cell>
          <cell r="AF12">
            <v>380.39</v>
          </cell>
          <cell r="AG12">
            <v>380.88</v>
          </cell>
          <cell r="AH12">
            <v>380</v>
          </cell>
          <cell r="AK12">
            <v>365.1</v>
          </cell>
          <cell r="AO12" t="str">
            <v>มิย.</v>
          </cell>
          <cell r="AP12" t="e">
            <v>#REF!</v>
          </cell>
          <cell r="AR12">
            <v>167.74</v>
          </cell>
          <cell r="AS12">
            <v>162.63999999999999</v>
          </cell>
          <cell r="AT12">
            <v>175.15</v>
          </cell>
          <cell r="AU12">
            <v>158.9</v>
          </cell>
          <cell r="AV12">
            <v>168</v>
          </cell>
          <cell r="AW12">
            <v>162.5</v>
          </cell>
          <cell r="AX12">
            <v>159</v>
          </cell>
          <cell r="BB12" t="str">
            <v>มิย.</v>
          </cell>
          <cell r="BC12" t="e">
            <v>#REF!</v>
          </cell>
          <cell r="BE12">
            <v>141.79</v>
          </cell>
          <cell r="BF12">
            <v>138.19999999999999</v>
          </cell>
          <cell r="BG12">
            <v>150.12</v>
          </cell>
          <cell r="BH12">
            <v>137</v>
          </cell>
          <cell r="BI12">
            <v>147</v>
          </cell>
          <cell r="BK12">
            <v>135</v>
          </cell>
          <cell r="BO12" t="str">
            <v>มิย.</v>
          </cell>
          <cell r="BP12" t="e">
            <v>#REF!</v>
          </cell>
          <cell r="BR12">
            <v>92.77</v>
          </cell>
          <cell r="BS12">
            <v>89.77</v>
          </cell>
          <cell r="BT12">
            <v>89.67</v>
          </cell>
          <cell r="BV12">
            <v>75</v>
          </cell>
          <cell r="BW12">
            <v>94</v>
          </cell>
          <cell r="CC12" t="str">
            <v>มิย.</v>
          </cell>
          <cell r="CD12">
            <v>200.32</v>
          </cell>
          <cell r="CF12">
            <v>200.58</v>
          </cell>
          <cell r="CG12">
            <v>202.18</v>
          </cell>
          <cell r="CH12">
            <v>201.8</v>
          </cell>
          <cell r="CL12">
            <v>197</v>
          </cell>
          <cell r="CP12" t="str">
            <v>มิย.</v>
          </cell>
          <cell r="CQ12">
            <v>177.73</v>
          </cell>
          <cell r="CS12">
            <v>177.28</v>
          </cell>
          <cell r="CT12">
            <v>174.16</v>
          </cell>
          <cell r="CU12">
            <v>178</v>
          </cell>
          <cell r="CV12">
            <v>179.5</v>
          </cell>
          <cell r="CX12">
            <v>0</v>
          </cell>
          <cell r="CY12">
            <v>174.2</v>
          </cell>
          <cell r="DD12" t="str">
            <v>มิย.</v>
          </cell>
          <cell r="DE12">
            <v>138.68</v>
          </cell>
          <cell r="DG12">
            <v>138.36000000000001</v>
          </cell>
          <cell r="DH12">
            <v>138.91</v>
          </cell>
          <cell r="DI12">
            <v>139.33000000000001</v>
          </cell>
          <cell r="DK12">
            <v>139.19999999999999</v>
          </cell>
          <cell r="DL12">
            <v>137.5</v>
          </cell>
          <cell r="DM12">
            <v>137.19999999999999</v>
          </cell>
          <cell r="DQ12" t="str">
            <v>มิย.</v>
          </cell>
          <cell r="DR12">
            <v>752.74</v>
          </cell>
          <cell r="DT12">
            <v>748.45</v>
          </cell>
          <cell r="DU12">
            <v>746.18</v>
          </cell>
          <cell r="DV12">
            <v>753.35</v>
          </cell>
          <cell r="DX12">
            <v>743.5</v>
          </cell>
          <cell r="DZ12">
            <v>739</v>
          </cell>
          <cell r="EG12" t="str">
            <v>มิย.</v>
          </cell>
          <cell r="EH12">
            <v>280.64</v>
          </cell>
          <cell r="EJ12">
            <v>280.74</v>
          </cell>
          <cell r="EK12">
            <v>277.83999999999997</v>
          </cell>
          <cell r="EL12">
            <v>281.02999999999997</v>
          </cell>
          <cell r="EN12">
            <v>279.89999999999998</v>
          </cell>
          <cell r="EP12">
            <v>270</v>
          </cell>
          <cell r="ER12" t="str">
            <v>มิย.</v>
          </cell>
          <cell r="ES12">
            <v>78.06</v>
          </cell>
          <cell r="EU12">
            <v>68.400000000000006</v>
          </cell>
          <cell r="EV12">
            <v>67.87</v>
          </cell>
          <cell r="EW12">
            <v>88.35</v>
          </cell>
          <cell r="EX12">
            <v>80</v>
          </cell>
          <cell r="EY12">
            <v>76</v>
          </cell>
          <cell r="EZ12">
            <v>62</v>
          </cell>
          <cell r="FH12" t="str">
            <v>มิย.</v>
          </cell>
          <cell r="FI12">
            <v>104.78</v>
          </cell>
          <cell r="FK12">
            <v>104.2</v>
          </cell>
          <cell r="FL12">
            <v>109.36</v>
          </cell>
          <cell r="FM12">
            <v>97.88</v>
          </cell>
          <cell r="FN12">
            <v>110.75</v>
          </cell>
          <cell r="FO12">
            <v>103.4</v>
          </cell>
          <cell r="FP12">
            <v>83</v>
          </cell>
          <cell r="FQ12">
            <v>105.7</v>
          </cell>
        </row>
        <row r="13">
          <cell r="E13">
            <v>237.33</v>
          </cell>
          <cell r="F13">
            <v>225.47</v>
          </cell>
          <cell r="G13">
            <v>250.02</v>
          </cell>
          <cell r="H13">
            <v>237</v>
          </cell>
          <cell r="I13">
            <v>244.8</v>
          </cell>
          <cell r="J13">
            <v>239.8</v>
          </cell>
          <cell r="K13">
            <v>213</v>
          </cell>
          <cell r="N13" t="str">
            <v>กค.</v>
          </cell>
          <cell r="O13">
            <v>143.55000000000001</v>
          </cell>
          <cell r="Q13">
            <v>149.16</v>
          </cell>
          <cell r="R13">
            <v>138.54</v>
          </cell>
          <cell r="S13">
            <v>151.11000000000001</v>
          </cell>
          <cell r="T13">
            <v>141</v>
          </cell>
          <cell r="U13">
            <v>151.4</v>
          </cell>
          <cell r="AC13" t="str">
            <v>กค.</v>
          </cell>
          <cell r="AD13" t="e">
            <v>#REF!</v>
          </cell>
          <cell r="AF13">
            <v>380.86</v>
          </cell>
          <cell r="AG13">
            <v>385.98</v>
          </cell>
          <cell r="AH13">
            <v>379</v>
          </cell>
          <cell r="AK13">
            <v>365.1</v>
          </cell>
          <cell r="AO13" t="str">
            <v>กค.</v>
          </cell>
          <cell r="AP13" t="e">
            <v>#REF!</v>
          </cell>
          <cell r="AR13">
            <v>167.3</v>
          </cell>
          <cell r="AS13">
            <v>166.66</v>
          </cell>
          <cell r="AT13">
            <v>175.32</v>
          </cell>
          <cell r="AU13">
            <v>159.25</v>
          </cell>
          <cell r="AV13">
            <v>168</v>
          </cell>
          <cell r="AW13">
            <v>162.5</v>
          </cell>
          <cell r="AX13">
            <v>159</v>
          </cell>
          <cell r="BB13" t="str">
            <v>กค.</v>
          </cell>
          <cell r="BC13" t="e">
            <v>#REF!</v>
          </cell>
          <cell r="BE13">
            <v>142.66999999999999</v>
          </cell>
          <cell r="BF13">
            <v>148.52000000000001</v>
          </cell>
          <cell r="BG13">
            <v>150.96</v>
          </cell>
          <cell r="BH13">
            <v>138.5</v>
          </cell>
          <cell r="BI13">
            <v>147</v>
          </cell>
          <cell r="BK13">
            <v>135</v>
          </cell>
          <cell r="BO13" t="str">
            <v>กค.</v>
          </cell>
          <cell r="BP13" t="e">
            <v>#REF!</v>
          </cell>
          <cell r="BR13">
            <v>92.11</v>
          </cell>
          <cell r="BS13">
            <v>94.3</v>
          </cell>
          <cell r="BT13">
            <v>90.56</v>
          </cell>
          <cell r="BV13">
            <v>75</v>
          </cell>
          <cell r="BW13">
            <v>94</v>
          </cell>
          <cell r="CC13" t="str">
            <v>กค.</v>
          </cell>
          <cell r="CD13">
            <v>201.71</v>
          </cell>
          <cell r="CF13">
            <v>200.51</v>
          </cell>
          <cell r="CG13">
            <v>203.86</v>
          </cell>
          <cell r="CH13">
            <v>203</v>
          </cell>
          <cell r="CL13">
            <v>197</v>
          </cell>
          <cell r="CP13" t="str">
            <v>กค.</v>
          </cell>
          <cell r="CQ13">
            <v>177.3</v>
          </cell>
          <cell r="CS13">
            <v>177.7</v>
          </cell>
          <cell r="CT13">
            <v>174.19</v>
          </cell>
          <cell r="CU13">
            <v>177.5</v>
          </cell>
          <cell r="CV13">
            <v>178.05</v>
          </cell>
          <cell r="CX13">
            <v>0</v>
          </cell>
          <cell r="CY13">
            <v>174.2</v>
          </cell>
          <cell r="DD13" t="str">
            <v>กค.</v>
          </cell>
          <cell r="DE13">
            <v>139</v>
          </cell>
          <cell r="DG13">
            <v>139.74</v>
          </cell>
          <cell r="DH13">
            <v>139.09</v>
          </cell>
          <cell r="DI13">
            <v>139.79</v>
          </cell>
          <cell r="DK13">
            <v>139.19999999999999</v>
          </cell>
          <cell r="DL13">
            <v>137.68</v>
          </cell>
          <cell r="DM13">
            <v>137.19999999999999</v>
          </cell>
          <cell r="DQ13" t="str">
            <v>กค.</v>
          </cell>
          <cell r="DR13">
            <v>752.9</v>
          </cell>
          <cell r="DT13">
            <v>747.19</v>
          </cell>
          <cell r="DU13">
            <v>748.33</v>
          </cell>
          <cell r="DV13">
            <v>753.15</v>
          </cell>
          <cell r="DX13">
            <v>743.5</v>
          </cell>
          <cell r="DZ13">
            <v>739</v>
          </cell>
          <cell r="EG13" t="str">
            <v>กค.</v>
          </cell>
          <cell r="EH13">
            <v>280.70999999999998</v>
          </cell>
          <cell r="EI13">
            <v>0</v>
          </cell>
          <cell r="EJ13">
            <v>281.77999999999997</v>
          </cell>
          <cell r="EK13">
            <v>278.86</v>
          </cell>
          <cell r="EL13">
            <v>281.10000000000002</v>
          </cell>
          <cell r="EN13">
            <v>279.89999999999998</v>
          </cell>
          <cell r="EP13">
            <v>270</v>
          </cell>
          <cell r="ER13" t="str">
            <v>กค.</v>
          </cell>
          <cell r="ES13">
            <v>79.599999999999994</v>
          </cell>
          <cell r="EU13">
            <v>69.42</v>
          </cell>
          <cell r="EV13">
            <v>71.42</v>
          </cell>
          <cell r="EW13">
            <v>89.6</v>
          </cell>
          <cell r="EX13">
            <v>81.5</v>
          </cell>
          <cell r="EY13">
            <v>76</v>
          </cell>
          <cell r="EZ13">
            <v>62</v>
          </cell>
          <cell r="FH13" t="str">
            <v>กค.</v>
          </cell>
          <cell r="FI13">
            <v>103.2</v>
          </cell>
          <cell r="FK13">
            <v>105.1</v>
          </cell>
          <cell r="FL13">
            <v>107.41</v>
          </cell>
          <cell r="FM13">
            <v>97.93</v>
          </cell>
          <cell r="FN13">
            <v>108.13</v>
          </cell>
          <cell r="FO13">
            <v>100.8</v>
          </cell>
          <cell r="FP13">
            <v>83</v>
          </cell>
          <cell r="FQ13">
            <v>105.7</v>
          </cell>
        </row>
        <row r="14">
          <cell r="E14">
            <v>243.36</v>
          </cell>
          <cell r="F14">
            <v>237.26</v>
          </cell>
          <cell r="G14">
            <v>251.75</v>
          </cell>
          <cell r="H14">
            <v>238.4</v>
          </cell>
          <cell r="I14">
            <v>244.8</v>
          </cell>
          <cell r="J14">
            <v>239.8</v>
          </cell>
          <cell r="K14">
            <v>213</v>
          </cell>
          <cell r="N14" t="str">
            <v>สค.</v>
          </cell>
          <cell r="O14">
            <v>148.38</v>
          </cell>
          <cell r="Q14">
            <v>159.6</v>
          </cell>
          <cell r="R14">
            <v>153.97</v>
          </cell>
          <cell r="S14">
            <v>155.72999999999999</v>
          </cell>
          <cell r="T14">
            <v>146</v>
          </cell>
          <cell r="U14">
            <v>151.4</v>
          </cell>
          <cell r="AC14" t="str">
            <v>สค.</v>
          </cell>
          <cell r="AD14" t="e">
            <v>#REF!</v>
          </cell>
          <cell r="AF14">
            <v>390.83</v>
          </cell>
          <cell r="AG14">
            <v>397.92</v>
          </cell>
          <cell r="AH14">
            <v>386.36</v>
          </cell>
          <cell r="AK14">
            <v>365.1</v>
          </cell>
          <cell r="AO14" t="str">
            <v>สค.</v>
          </cell>
          <cell r="AP14" t="e">
            <v>#REF!</v>
          </cell>
          <cell r="AR14">
            <v>168.53</v>
          </cell>
          <cell r="AS14">
            <v>172.02</v>
          </cell>
          <cell r="AT14">
            <v>176.51</v>
          </cell>
          <cell r="AU14">
            <v>160.4</v>
          </cell>
          <cell r="AV14">
            <v>168</v>
          </cell>
          <cell r="AW14">
            <v>162.5</v>
          </cell>
          <cell r="AX14">
            <v>159</v>
          </cell>
          <cell r="BB14" t="str">
            <v>สค.</v>
          </cell>
          <cell r="BC14" t="e">
            <v>#REF!</v>
          </cell>
          <cell r="BE14">
            <v>146.96</v>
          </cell>
          <cell r="BF14">
            <v>155.37</v>
          </cell>
          <cell r="BG14">
            <v>152.1</v>
          </cell>
          <cell r="BH14">
            <v>140</v>
          </cell>
          <cell r="BI14">
            <v>147</v>
          </cell>
          <cell r="BK14">
            <v>135</v>
          </cell>
          <cell r="BO14" t="str">
            <v>สค.</v>
          </cell>
          <cell r="BP14" t="e">
            <v>#REF!</v>
          </cell>
          <cell r="BR14">
            <v>93.6</v>
          </cell>
          <cell r="BS14">
            <v>99.35</v>
          </cell>
          <cell r="BT14">
            <v>93.58</v>
          </cell>
          <cell r="BV14">
            <v>75</v>
          </cell>
          <cell r="BW14">
            <v>94</v>
          </cell>
          <cell r="CC14" t="str">
            <v>สค.</v>
          </cell>
          <cell r="CD14">
            <v>203.27</v>
          </cell>
          <cell r="CF14">
            <v>202.43</v>
          </cell>
          <cell r="CG14">
            <v>205.38</v>
          </cell>
          <cell r="CH14">
            <v>204.1</v>
          </cell>
          <cell r="CL14">
            <v>197</v>
          </cell>
          <cell r="CP14" t="str">
            <v>สค.</v>
          </cell>
          <cell r="CQ14">
            <v>177.2</v>
          </cell>
          <cell r="CS14">
            <v>178.82</v>
          </cell>
          <cell r="CT14">
            <v>173.83</v>
          </cell>
          <cell r="CU14">
            <v>177.5</v>
          </cell>
          <cell r="CV14">
            <v>176.9</v>
          </cell>
          <cell r="CX14">
            <v>0</v>
          </cell>
          <cell r="CY14">
            <v>174.2</v>
          </cell>
          <cell r="DD14" t="str">
            <v>สค.</v>
          </cell>
          <cell r="DE14">
            <v>140.03</v>
          </cell>
          <cell r="DG14">
            <v>140.08000000000001</v>
          </cell>
          <cell r="DH14">
            <v>139.43</v>
          </cell>
          <cell r="DI14">
            <v>140.65</v>
          </cell>
          <cell r="DK14">
            <v>139.19999999999999</v>
          </cell>
          <cell r="DL14">
            <v>138.53</v>
          </cell>
          <cell r="DM14">
            <v>137.19999999999999</v>
          </cell>
          <cell r="DQ14" t="str">
            <v>สค.</v>
          </cell>
          <cell r="DR14">
            <v>753.62</v>
          </cell>
          <cell r="DT14">
            <v>748.76</v>
          </cell>
          <cell r="DU14">
            <v>750.97</v>
          </cell>
          <cell r="DV14">
            <v>753.78</v>
          </cell>
          <cell r="DX14">
            <v>743.5</v>
          </cell>
          <cell r="DZ14">
            <v>739</v>
          </cell>
          <cell r="EG14" t="str">
            <v>สค.</v>
          </cell>
          <cell r="EH14">
            <v>281.55</v>
          </cell>
          <cell r="EI14">
            <v>0</v>
          </cell>
          <cell r="EJ14">
            <v>282.7</v>
          </cell>
          <cell r="EK14">
            <v>279.54000000000002</v>
          </cell>
          <cell r="EL14">
            <v>281.23</v>
          </cell>
          <cell r="EN14">
            <v>279.89999999999998</v>
          </cell>
          <cell r="EP14">
            <v>270</v>
          </cell>
          <cell r="ER14" t="str">
            <v>สค.</v>
          </cell>
          <cell r="ES14">
            <v>82.7</v>
          </cell>
          <cell r="EU14">
            <v>73.05</v>
          </cell>
          <cell r="EV14">
            <v>74.37</v>
          </cell>
          <cell r="EW14">
            <v>90.81</v>
          </cell>
          <cell r="EX14">
            <v>84.4</v>
          </cell>
          <cell r="EY14">
            <v>76</v>
          </cell>
          <cell r="EZ14">
            <v>62</v>
          </cell>
          <cell r="FH14" t="str">
            <v>สค.</v>
          </cell>
          <cell r="FI14">
            <v>102.8</v>
          </cell>
          <cell r="FK14">
            <v>106.67</v>
          </cell>
          <cell r="FL14">
            <v>104.41</v>
          </cell>
          <cell r="FM14">
            <v>97</v>
          </cell>
          <cell r="FN14">
            <v>106.15</v>
          </cell>
          <cell r="FO14">
            <v>99.6</v>
          </cell>
          <cell r="FP14">
            <v>83</v>
          </cell>
          <cell r="FQ14">
            <v>105.7</v>
          </cell>
        </row>
        <row r="15">
          <cell r="E15">
            <v>251.55</v>
          </cell>
          <cell r="F15">
            <v>246.17</v>
          </cell>
          <cell r="G15">
            <v>256.3</v>
          </cell>
          <cell r="H15">
            <v>242.2</v>
          </cell>
          <cell r="I15">
            <v>244.8</v>
          </cell>
          <cell r="J15">
            <v>239.8</v>
          </cell>
          <cell r="K15">
            <v>213</v>
          </cell>
          <cell r="N15" t="str">
            <v>กย.</v>
          </cell>
          <cell r="O15">
            <v>152.87</v>
          </cell>
          <cell r="Q15">
            <v>162</v>
          </cell>
          <cell r="R15">
            <v>159.53</v>
          </cell>
          <cell r="S15">
            <v>161.41999999999999</v>
          </cell>
          <cell r="T15">
            <v>151</v>
          </cell>
          <cell r="U15">
            <v>151.4</v>
          </cell>
          <cell r="AC15" t="str">
            <v>กย.</v>
          </cell>
          <cell r="AD15" t="e">
            <v>#REF!</v>
          </cell>
          <cell r="AF15">
            <v>396.31</v>
          </cell>
          <cell r="AG15">
            <v>395.18</v>
          </cell>
          <cell r="AH15">
            <v>395</v>
          </cell>
          <cell r="AK15">
            <v>365.1</v>
          </cell>
          <cell r="AO15" t="str">
            <v>กย.</v>
          </cell>
          <cell r="AP15" t="e">
            <v>#REF!</v>
          </cell>
          <cell r="AR15">
            <v>172.85</v>
          </cell>
          <cell r="AS15">
            <v>174.54</v>
          </cell>
          <cell r="AT15">
            <v>178.1</v>
          </cell>
          <cell r="AU15">
            <v>162.6</v>
          </cell>
          <cell r="AV15">
            <v>168</v>
          </cell>
          <cell r="AW15">
            <v>162.5</v>
          </cell>
          <cell r="AX15">
            <v>159</v>
          </cell>
          <cell r="BB15" t="str">
            <v>กย.</v>
          </cell>
          <cell r="BC15" t="e">
            <v>#REF!</v>
          </cell>
          <cell r="BE15">
            <v>151.72</v>
          </cell>
          <cell r="BF15">
            <v>155.01</v>
          </cell>
          <cell r="BG15">
            <v>153.9</v>
          </cell>
          <cell r="BH15">
            <v>142</v>
          </cell>
          <cell r="BI15">
            <v>147</v>
          </cell>
          <cell r="BK15">
            <v>135</v>
          </cell>
          <cell r="BO15" t="str">
            <v>กย.</v>
          </cell>
          <cell r="BP15" t="e">
            <v>#REF!</v>
          </cell>
          <cell r="BR15">
            <v>97.87</v>
          </cell>
          <cell r="BS15">
            <v>99.01</v>
          </cell>
          <cell r="BT15">
            <v>95.77</v>
          </cell>
          <cell r="BV15">
            <v>75</v>
          </cell>
          <cell r="BW15">
            <v>94</v>
          </cell>
          <cell r="CC15" t="str">
            <v>กย.</v>
          </cell>
          <cell r="CD15">
            <v>204</v>
          </cell>
          <cell r="CF15">
            <v>203.47</v>
          </cell>
          <cell r="CG15">
            <v>204.22</v>
          </cell>
          <cell r="CH15">
            <v>204.9</v>
          </cell>
          <cell r="CL15">
            <v>197</v>
          </cell>
          <cell r="CP15" t="str">
            <v>กย.</v>
          </cell>
          <cell r="CQ15">
            <v>178.73</v>
          </cell>
          <cell r="CS15">
            <v>180.47</v>
          </cell>
          <cell r="CT15">
            <v>178.12</v>
          </cell>
          <cell r="CU15">
            <v>179.15</v>
          </cell>
          <cell r="CV15">
            <v>176.78</v>
          </cell>
          <cell r="CX15">
            <v>0</v>
          </cell>
          <cell r="CY15">
            <v>174.2</v>
          </cell>
          <cell r="DD15" t="str">
            <v>กย.</v>
          </cell>
          <cell r="DE15">
            <v>141.15</v>
          </cell>
          <cell r="DG15">
            <v>140.85</v>
          </cell>
          <cell r="DH15">
            <v>140.91</v>
          </cell>
          <cell r="DI15">
            <v>141.88999999999999</v>
          </cell>
          <cell r="DK15">
            <v>139.19999999999999</v>
          </cell>
          <cell r="DL15">
            <v>140.58000000000001</v>
          </cell>
          <cell r="DM15">
            <v>137.19999999999999</v>
          </cell>
          <cell r="DQ15" t="str">
            <v>กย.</v>
          </cell>
          <cell r="DR15">
            <v>756.91</v>
          </cell>
          <cell r="DT15">
            <v>754.57</v>
          </cell>
          <cell r="DU15">
            <v>754.63</v>
          </cell>
          <cell r="DV15">
            <v>757.15</v>
          </cell>
          <cell r="DX15">
            <v>743.5</v>
          </cell>
          <cell r="DZ15">
            <v>739</v>
          </cell>
          <cell r="EG15" t="str">
            <v>กย.</v>
          </cell>
          <cell r="EH15">
            <v>282.64</v>
          </cell>
          <cell r="EI15">
            <v>0</v>
          </cell>
          <cell r="EJ15">
            <v>283.76</v>
          </cell>
          <cell r="EK15">
            <v>281.93</v>
          </cell>
          <cell r="EL15">
            <v>283.23</v>
          </cell>
          <cell r="EN15">
            <v>279.89999999999998</v>
          </cell>
          <cell r="EP15">
            <v>270</v>
          </cell>
          <cell r="ER15" t="str">
            <v>กย.</v>
          </cell>
          <cell r="ES15">
            <v>85.06</v>
          </cell>
          <cell r="EU15">
            <v>78.400000000000006</v>
          </cell>
          <cell r="EV15">
            <v>77.75</v>
          </cell>
          <cell r="EW15">
            <v>91.98</v>
          </cell>
          <cell r="EX15">
            <v>85.6</v>
          </cell>
          <cell r="EY15">
            <v>76</v>
          </cell>
          <cell r="EZ15">
            <v>62</v>
          </cell>
          <cell r="FH15" t="str">
            <v>กย.</v>
          </cell>
          <cell r="FI15">
            <v>101.63</v>
          </cell>
          <cell r="FK15">
            <v>104.46</v>
          </cell>
          <cell r="FL15">
            <v>100.86</v>
          </cell>
          <cell r="FM15">
            <v>96.08</v>
          </cell>
          <cell r="FN15">
            <v>105.01</v>
          </cell>
          <cell r="FO15">
            <v>98.1</v>
          </cell>
          <cell r="FP15">
            <v>83</v>
          </cell>
          <cell r="FQ15">
            <v>105.7</v>
          </cell>
        </row>
      </sheetData>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3">
          <cell r="E3">
            <v>0</v>
          </cell>
        </row>
      </sheetData>
      <sheetData sheetId="36"/>
      <sheetData sheetId="37"/>
      <sheetData sheetId="38"/>
      <sheetData sheetId="39"/>
      <sheetData sheetId="40"/>
      <sheetData sheetId="41"/>
      <sheetData sheetId="42"/>
      <sheetData sheetId="4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Link"/>
      <sheetName val="GSP-SMT LPG Inv."/>
      <sheetName val="CustomerDeli"/>
      <sheetName val="F-Total"/>
      <sheetName val="D-Total"/>
      <sheetName val="Chart5"/>
      <sheetName val="Sheet1"/>
      <sheetName val="-"/>
      <sheetName val="LevelProve"/>
      <sheetName val="Chart1"/>
      <sheetName val="Chart1 (2)"/>
      <sheetName val="--"/>
      <sheetName val="Invent."/>
      <sheetName val="Chart2"/>
      <sheetName val="Chart3"/>
      <sheetName val="DataLink-ManualINV"/>
      <sheetName val="Adj. 2007-06 Rate ให้ จจ.Rev1"/>
    </sheetNames>
    <sheetDataSet>
      <sheetData sheetId="0"/>
      <sheetData sheetId="1" refreshError="1"/>
      <sheetData sheetId="2" refreshError="1"/>
      <sheetData sheetId="3"/>
      <sheetData sheetId="4"/>
      <sheetData sheetId="5" refreshError="1"/>
      <sheetData sheetId="6"/>
      <sheetData sheetId="7"/>
      <sheetData sheetId="8"/>
      <sheetData sheetId="9" refreshError="1"/>
      <sheetData sheetId="10" refreshError="1"/>
      <sheetData sheetId="11"/>
      <sheetData sheetId="12">
        <row r="3">
          <cell r="B3" t="str">
            <v>17/ธ.ค./49.24.00น.</v>
          </cell>
          <cell r="C3">
            <v>12510</v>
          </cell>
          <cell r="D3">
            <v>2829</v>
          </cell>
          <cell r="E3">
            <v>23.5</v>
          </cell>
          <cell r="F3">
            <v>9.7899999999999991</v>
          </cell>
          <cell r="H3">
            <v>8431</v>
          </cell>
          <cell r="I3">
            <v>1613</v>
          </cell>
          <cell r="J3">
            <v>22.6</v>
          </cell>
          <cell r="K3">
            <v>7.77</v>
          </cell>
          <cell r="M3">
            <v>4484</v>
          </cell>
          <cell r="N3">
            <v>510</v>
          </cell>
          <cell r="O3">
            <v>29.6</v>
          </cell>
          <cell r="P3">
            <v>0</v>
          </cell>
          <cell r="R3">
            <v>7146</v>
          </cell>
          <cell r="S3">
            <v>1851</v>
          </cell>
          <cell r="T3">
            <v>21.9</v>
          </cell>
          <cell r="U3">
            <v>0</v>
          </cell>
          <cell r="W3">
            <v>6303</v>
          </cell>
          <cell r="X3">
            <v>1630</v>
          </cell>
          <cell r="Y3">
            <v>25.7</v>
          </cell>
          <cell r="Z3">
            <v>0</v>
          </cell>
          <cell r="AB3">
            <v>9800</v>
          </cell>
          <cell r="AC3">
            <v>2614</v>
          </cell>
          <cell r="AD3">
            <v>23</v>
          </cell>
          <cell r="AE3">
            <v>4.84</v>
          </cell>
          <cell r="AG3">
            <v>12757</v>
          </cell>
          <cell r="AH3">
            <v>3919</v>
          </cell>
          <cell r="AI3">
            <v>24.2</v>
          </cell>
          <cell r="AJ3">
            <v>5.33</v>
          </cell>
          <cell r="AL3">
            <v>0</v>
          </cell>
          <cell r="AM3">
            <v>0</v>
          </cell>
          <cell r="AN3">
            <v>0</v>
          </cell>
          <cell r="AO3">
            <v>0</v>
          </cell>
          <cell r="AQ3">
            <v>5752</v>
          </cell>
          <cell r="AR3">
            <v>1040</v>
          </cell>
          <cell r="AS3">
            <v>20.6</v>
          </cell>
          <cell r="AT3">
            <v>4.67</v>
          </cell>
          <cell r="AV3">
            <v>15257</v>
          </cell>
          <cell r="AW3">
            <v>5003</v>
          </cell>
          <cell r="AX3">
            <v>25.3</v>
          </cell>
          <cell r="AY3">
            <v>5.66</v>
          </cell>
          <cell r="BA3">
            <v>15342</v>
          </cell>
          <cell r="BB3">
            <v>5038</v>
          </cell>
          <cell r="BC3">
            <v>24.3</v>
          </cell>
          <cell r="BD3">
            <v>5.42</v>
          </cell>
          <cell r="BF3">
            <v>5102</v>
          </cell>
          <cell r="BG3">
            <v>836</v>
          </cell>
          <cell r="BH3">
            <v>26.9</v>
          </cell>
          <cell r="BI3">
            <v>5.89</v>
          </cell>
          <cell r="BK3">
            <v>16062</v>
          </cell>
          <cell r="BL3">
            <v>5329</v>
          </cell>
          <cell r="BM3">
            <v>28.7</v>
          </cell>
          <cell r="BN3">
            <v>6.25</v>
          </cell>
          <cell r="BP3">
            <v>7790</v>
          </cell>
          <cell r="BQ3">
            <v>1779</v>
          </cell>
          <cell r="BR3">
            <v>26.6</v>
          </cell>
          <cell r="BS3">
            <v>5.94</v>
          </cell>
        </row>
        <row r="6">
          <cell r="B6" t="str">
            <v>DATE</v>
          </cell>
        </row>
        <row r="7">
          <cell r="B7" t="str">
            <v>1/เม.ย./49.12.00น.</v>
          </cell>
        </row>
        <row r="8">
          <cell r="B8" t="str">
            <v>1/เม.ย./49.24.00น.</v>
          </cell>
        </row>
        <row r="9">
          <cell r="B9" t="str">
            <v>2/เม.ย./49.12.00น.</v>
          </cell>
        </row>
        <row r="10">
          <cell r="B10" t="str">
            <v>2/เม.ย./49.24.00น.</v>
          </cell>
        </row>
        <row r="11">
          <cell r="B11" t="str">
            <v>3/เม.ย./49.12.00น.</v>
          </cell>
        </row>
        <row r="12">
          <cell r="B12" t="str">
            <v>3/เม.ย./49.24.00น.</v>
          </cell>
        </row>
        <row r="13">
          <cell r="B13" t="str">
            <v>4/เม.ย./49.12.00น.</v>
          </cell>
        </row>
        <row r="14">
          <cell r="B14" t="str">
            <v>4/เม.ย./49.24.00น.</v>
          </cell>
        </row>
        <row r="15">
          <cell r="B15" t="str">
            <v>5/เม.ย./49.12.00น.</v>
          </cell>
        </row>
        <row r="16">
          <cell r="B16" t="str">
            <v>5/เม.ย./49.24.00น.</v>
          </cell>
        </row>
        <row r="17">
          <cell r="B17" t="str">
            <v>6/เม.ย./49.12.00น.</v>
          </cell>
        </row>
        <row r="18">
          <cell r="B18" t="str">
            <v>6/เม.ย./49.24.00น.</v>
          </cell>
        </row>
        <row r="19">
          <cell r="B19" t="str">
            <v>7/เม.ย./49.12.00น.</v>
          </cell>
        </row>
        <row r="20">
          <cell r="B20" t="str">
            <v>7/เม.ย./49.24.00น.</v>
          </cell>
        </row>
        <row r="21">
          <cell r="B21" t="str">
            <v>8/เม.ย./49.12.00น.</v>
          </cell>
        </row>
        <row r="22">
          <cell r="B22" t="str">
            <v>8/เม.ย./49.24.00น.</v>
          </cell>
        </row>
        <row r="23">
          <cell r="B23" t="str">
            <v>9/เม.ย./49.12.00น.</v>
          </cell>
        </row>
        <row r="24">
          <cell r="B24" t="str">
            <v>9/เม.ย./49.24.00น.</v>
          </cell>
        </row>
        <row r="25">
          <cell r="B25" t="str">
            <v>10/เม.ย./49.12.00น.</v>
          </cell>
        </row>
        <row r="26">
          <cell r="B26" t="str">
            <v>10/เม.ย./49.24.00น.</v>
          </cell>
        </row>
        <row r="27">
          <cell r="B27" t="str">
            <v>11/เม.ย./49.12.00น.</v>
          </cell>
        </row>
        <row r="28">
          <cell r="B28" t="str">
            <v>11/เม.ย./49.24.00น.</v>
          </cell>
        </row>
        <row r="29">
          <cell r="B29" t="str">
            <v>12/เม.ย./49.12.00น.</v>
          </cell>
        </row>
        <row r="30">
          <cell r="B30" t="str">
            <v>12/เม.ย./49.24.00น.</v>
          </cell>
        </row>
        <row r="31">
          <cell r="B31" t="str">
            <v>13/เม.ย./49.12.00น.</v>
          </cell>
        </row>
        <row r="32">
          <cell r="B32" t="str">
            <v>13/เม.ย./49.24.00น.</v>
          </cell>
        </row>
        <row r="33">
          <cell r="B33" t="str">
            <v>14/เม.ย./49.12.00น.</v>
          </cell>
        </row>
        <row r="34">
          <cell r="B34" t="str">
            <v>14/เม.ย./49.24.00น.</v>
          </cell>
        </row>
        <row r="35">
          <cell r="B35" t="str">
            <v>15/เม.ย./49.12.00น.</v>
          </cell>
        </row>
        <row r="36">
          <cell r="B36" t="str">
            <v>15/เม.ย./49.24.00น.</v>
          </cell>
        </row>
        <row r="37">
          <cell r="B37" t="str">
            <v>16/เม.ย./49.12.00น.</v>
          </cell>
        </row>
        <row r="38">
          <cell r="B38" t="str">
            <v>16/เม.ย./49.24.00น.</v>
          </cell>
        </row>
        <row r="39">
          <cell r="B39" t="str">
            <v>17/เม.ย./49.12.00น.</v>
          </cell>
        </row>
        <row r="40">
          <cell r="B40" t="str">
            <v>17/เม.ย./49.24.00น.</v>
          </cell>
        </row>
        <row r="41">
          <cell r="B41" t="str">
            <v>18/เม.ย./49.12.00น.</v>
          </cell>
        </row>
        <row r="42">
          <cell r="B42" t="str">
            <v>18/เม.ย./49.24.00น.</v>
          </cell>
        </row>
        <row r="43">
          <cell r="B43" t="str">
            <v>19/เม.ย./49.12.00น.</v>
          </cell>
        </row>
        <row r="44">
          <cell r="B44" t="str">
            <v>19/เม.ย./49.24.00น.</v>
          </cell>
        </row>
        <row r="45">
          <cell r="B45" t="str">
            <v>20/เม.ย./49.12.00น.</v>
          </cell>
        </row>
        <row r="46">
          <cell r="B46" t="str">
            <v>20/เม.ย./49.24.00น.</v>
          </cell>
        </row>
        <row r="47">
          <cell r="B47" t="str">
            <v>21/เม.ย./49.12.00น.</v>
          </cell>
        </row>
        <row r="48">
          <cell r="B48" t="str">
            <v>21/เม.ย./49.24.00น.</v>
          </cell>
        </row>
        <row r="49">
          <cell r="B49" t="str">
            <v>22/เม.ย./49.12.00น.</v>
          </cell>
        </row>
        <row r="50">
          <cell r="B50" t="str">
            <v>22/เม.ย./49.24.00น.</v>
          </cell>
        </row>
        <row r="51">
          <cell r="B51" t="str">
            <v>23/เม.ย./49.12.00น.</v>
          </cell>
        </row>
        <row r="52">
          <cell r="B52" t="str">
            <v>23/เม.ย./49.24.00น.</v>
          </cell>
        </row>
        <row r="53">
          <cell r="B53" t="str">
            <v>24/เม.ย./49.12.00น.</v>
          </cell>
        </row>
        <row r="54">
          <cell r="B54" t="str">
            <v>24/เม.ย./49.24.00น.</v>
          </cell>
        </row>
        <row r="55">
          <cell r="B55" t="str">
            <v>25/เม.ย./49.12.00น.</v>
          </cell>
        </row>
        <row r="56">
          <cell r="B56" t="str">
            <v>25/เม.ย./49.24.00น.</v>
          </cell>
        </row>
        <row r="57">
          <cell r="B57" t="str">
            <v>26/เม.ย./49.12.00น.</v>
          </cell>
        </row>
        <row r="58">
          <cell r="B58" t="str">
            <v>26/เม.ย./49.24.00น.</v>
          </cell>
        </row>
        <row r="59">
          <cell r="B59" t="str">
            <v>27/เม.ย./49.12.00น.</v>
          </cell>
        </row>
        <row r="60">
          <cell r="B60" t="str">
            <v>27/เม.ย./49.24.00น.</v>
          </cell>
        </row>
        <row r="61">
          <cell r="B61" t="str">
            <v>28/เม.ย./49.12.00น.</v>
          </cell>
        </row>
        <row r="62">
          <cell r="B62" t="str">
            <v>28/เม.ย./49.24.00น.</v>
          </cell>
        </row>
        <row r="63">
          <cell r="B63" t="str">
            <v>29/เม.ย./49.12.00น.</v>
          </cell>
        </row>
        <row r="64">
          <cell r="B64" t="str">
            <v>29/เม.ย./49.24.00น.</v>
          </cell>
        </row>
        <row r="65">
          <cell r="B65" t="str">
            <v>30/เม.ย./49.12.00น.</v>
          </cell>
        </row>
        <row r="66">
          <cell r="B66" t="str">
            <v>30/เม.ย./49.24.00น.</v>
          </cell>
        </row>
        <row r="67">
          <cell r="B67" t="str">
            <v>1/พ.ค./49.12.00น.</v>
          </cell>
        </row>
        <row r="68">
          <cell r="B68" t="str">
            <v>1/พ.ค./49.24.00น.</v>
          </cell>
        </row>
        <row r="69">
          <cell r="B69" t="str">
            <v>2/พ.ค./49.12.00น.</v>
          </cell>
        </row>
        <row r="70">
          <cell r="B70" t="str">
            <v>2/พ.ค./49.24.00น.</v>
          </cell>
        </row>
        <row r="71">
          <cell r="B71" t="str">
            <v>3/พ.ค./49.12.00น.</v>
          </cell>
        </row>
        <row r="72">
          <cell r="B72" t="str">
            <v>3/พ.ค./49.24.00น.</v>
          </cell>
        </row>
        <row r="73">
          <cell r="B73" t="str">
            <v>4/พ.ค./49.12.00น.</v>
          </cell>
        </row>
        <row r="74">
          <cell r="B74" t="str">
            <v>4/พ.ค./49.24.00น.</v>
          </cell>
        </row>
        <row r="75">
          <cell r="B75" t="str">
            <v>5/พ.ค./49.12.00น.</v>
          </cell>
        </row>
        <row r="76">
          <cell r="B76" t="str">
            <v>5/พ.ค./49.24.00น.</v>
          </cell>
        </row>
        <row r="77">
          <cell r="B77" t="str">
            <v>6/พ.ค./49.12.00น.</v>
          </cell>
        </row>
        <row r="78">
          <cell r="B78" t="str">
            <v>6/พ.ค./49.24.00น.</v>
          </cell>
        </row>
        <row r="79">
          <cell r="B79" t="str">
            <v>7/พ.ค./49.12.00น.</v>
          </cell>
        </row>
        <row r="80">
          <cell r="B80" t="str">
            <v>7/พ.ค./49.24.00น.</v>
          </cell>
        </row>
        <row r="81">
          <cell r="B81" t="str">
            <v>8/พ.ค./49.12.00น.</v>
          </cell>
        </row>
        <row r="82">
          <cell r="B82" t="str">
            <v>8/พ.ค./49.24.00น.</v>
          </cell>
        </row>
        <row r="83">
          <cell r="B83" t="str">
            <v>9/พ.ค./49.12.00น.</v>
          </cell>
        </row>
        <row r="84">
          <cell r="B84" t="str">
            <v>9/พ.ค./49.24.00น.</v>
          </cell>
        </row>
        <row r="85">
          <cell r="B85" t="str">
            <v>10/พ.ค./49.12.00น.</v>
          </cell>
        </row>
        <row r="86">
          <cell r="B86" t="str">
            <v>10/พ.ค./49.24.00น.</v>
          </cell>
        </row>
        <row r="87">
          <cell r="B87" t="str">
            <v>11/พ.ค./49.12.00น.</v>
          </cell>
        </row>
        <row r="88">
          <cell r="B88" t="str">
            <v>11/พ.ค./49.24.00น.</v>
          </cell>
        </row>
        <row r="89">
          <cell r="B89" t="str">
            <v>12/พ.ค./49.12.00น.</v>
          </cell>
        </row>
        <row r="90">
          <cell r="B90" t="str">
            <v>12/พ.ค./49.24.00น.</v>
          </cell>
        </row>
        <row r="91">
          <cell r="B91" t="str">
            <v>13/พ.ค./49.12.00น.</v>
          </cell>
        </row>
        <row r="92">
          <cell r="B92" t="str">
            <v>13/พ.ค./49.24.00น.</v>
          </cell>
        </row>
        <row r="93">
          <cell r="B93" t="str">
            <v>14/พ.ค./49.12.00น.</v>
          </cell>
        </row>
        <row r="94">
          <cell r="B94" t="str">
            <v>14/พ.ค./49.24.00น.</v>
          </cell>
        </row>
        <row r="95">
          <cell r="B95" t="str">
            <v>15/พ.ค./49.12.00น.</v>
          </cell>
        </row>
        <row r="96">
          <cell r="B96" t="str">
            <v>15/พ.ค./49.24.00น.</v>
          </cell>
        </row>
        <row r="97">
          <cell r="B97" t="str">
            <v>16/พ.ค./49.12.00น.</v>
          </cell>
        </row>
        <row r="98">
          <cell r="B98" t="str">
            <v>16/พ.ค./49.24.00น.</v>
          </cell>
        </row>
        <row r="99">
          <cell r="B99" t="str">
            <v>17/พ.ค./49.12.00น.</v>
          </cell>
        </row>
        <row r="100">
          <cell r="B100" t="str">
            <v>17/พ.ค./49.24.00น.</v>
          </cell>
        </row>
        <row r="101">
          <cell r="B101" t="str">
            <v>18/พ.ค./49.12.00น.</v>
          </cell>
        </row>
        <row r="102">
          <cell r="B102" t="str">
            <v>18/พ.ค./49.24.00น.</v>
          </cell>
        </row>
        <row r="103">
          <cell r="B103" t="str">
            <v>19/พ.ค./49.12.00น.</v>
          </cell>
        </row>
        <row r="104">
          <cell r="B104" t="str">
            <v>19/พ.ค./49.24.00น.</v>
          </cell>
        </row>
        <row r="105">
          <cell r="B105" t="str">
            <v>20/พ.ค./49.12.00น.</v>
          </cell>
        </row>
        <row r="106">
          <cell r="B106" t="str">
            <v>20/พ.ค./49.24.00น.</v>
          </cell>
        </row>
        <row r="107">
          <cell r="B107" t="str">
            <v>21/พ.ค./49.12.00น.</v>
          </cell>
        </row>
        <row r="108">
          <cell r="B108" t="str">
            <v>21/พ.ค./49.24.00น.</v>
          </cell>
        </row>
        <row r="109">
          <cell r="B109" t="str">
            <v>22/พ.ค./49.12.00น.</v>
          </cell>
        </row>
        <row r="110">
          <cell r="B110" t="str">
            <v>22/พ.ค./49.24.00น.</v>
          </cell>
        </row>
        <row r="111">
          <cell r="B111" t="str">
            <v>23/พ.ค./49.12.00น.</v>
          </cell>
        </row>
        <row r="112">
          <cell r="B112" t="str">
            <v>23/พ.ค./49.24.00น.</v>
          </cell>
        </row>
        <row r="113">
          <cell r="B113" t="str">
            <v>24/พ.ค./49.12.00น.</v>
          </cell>
        </row>
        <row r="114">
          <cell r="B114" t="str">
            <v>24/พ.ค./49.24.00น.</v>
          </cell>
        </row>
        <row r="115">
          <cell r="B115" t="str">
            <v>25/พ.ค./49.12.00น.</v>
          </cell>
        </row>
        <row r="116">
          <cell r="B116" t="str">
            <v>25/พ.ค./49.24.00น.</v>
          </cell>
        </row>
        <row r="117">
          <cell r="B117" t="str">
            <v>26/พ.ค./49.12.00น.</v>
          </cell>
        </row>
        <row r="118">
          <cell r="B118" t="str">
            <v>26/พ.ค./49.24.00น.</v>
          </cell>
        </row>
        <row r="119">
          <cell r="B119" t="str">
            <v>27/พ.ค./49.12.00น.</v>
          </cell>
        </row>
        <row r="120">
          <cell r="B120" t="str">
            <v>27/พ.ค./49.24.00น.</v>
          </cell>
        </row>
        <row r="121">
          <cell r="B121" t="str">
            <v>28/พ.ค./49.12.00น.</v>
          </cell>
        </row>
        <row r="122">
          <cell r="B122" t="str">
            <v>28/พ.ค./49.24.00น.</v>
          </cell>
        </row>
        <row r="123">
          <cell r="B123" t="str">
            <v>29/พ.ค./49.12.00น.</v>
          </cell>
        </row>
        <row r="124">
          <cell r="B124" t="str">
            <v>29/พ.ค./49.24.00น.</v>
          </cell>
        </row>
        <row r="125">
          <cell r="B125" t="str">
            <v>30/พ.ค./49.12.00น.</v>
          </cell>
        </row>
        <row r="126">
          <cell r="B126" t="str">
            <v>30/พ.ค./49.24.00น.</v>
          </cell>
        </row>
        <row r="127">
          <cell r="B127" t="str">
            <v>31/พ.ค./49.12.00น.</v>
          </cell>
        </row>
        <row r="128">
          <cell r="B128" t="str">
            <v>31/พ.ค./49.24.00น.</v>
          </cell>
        </row>
        <row r="129">
          <cell r="B129" t="str">
            <v>1/มิ.ย./49.12.00น.</v>
          </cell>
        </row>
        <row r="130">
          <cell r="B130" t="str">
            <v>1/มิ.ย./49.24.00น.</v>
          </cell>
        </row>
        <row r="131">
          <cell r="B131" t="str">
            <v>2/มิ.ย./49.12.00น.</v>
          </cell>
        </row>
        <row r="132">
          <cell r="B132" t="str">
            <v>2/มิ.ย./49.24.00น.</v>
          </cell>
        </row>
        <row r="133">
          <cell r="B133" t="str">
            <v>3/มิ.ย./49.12.00น.</v>
          </cell>
        </row>
        <row r="134">
          <cell r="B134" t="str">
            <v>3/มิ.ย./49.24.00น.</v>
          </cell>
        </row>
        <row r="135">
          <cell r="B135" t="str">
            <v>4/มิ.ย./49.12.00น.</v>
          </cell>
        </row>
        <row r="136">
          <cell r="B136" t="str">
            <v>4/มิ.ย./49.24.00น.</v>
          </cell>
        </row>
        <row r="137">
          <cell r="B137" t="str">
            <v>5/มิ.ย./49.12.00น.</v>
          </cell>
        </row>
        <row r="138">
          <cell r="B138" t="str">
            <v>5/มิ.ย./49.24.00น.</v>
          </cell>
        </row>
        <row r="139">
          <cell r="B139" t="str">
            <v>6/มิ.ย./49.12.00น.</v>
          </cell>
        </row>
        <row r="140">
          <cell r="B140" t="str">
            <v>6/มิ.ย./49.24.00น.</v>
          </cell>
        </row>
        <row r="141">
          <cell r="B141" t="str">
            <v>7/มิ.ย./49.12.00น.</v>
          </cell>
        </row>
        <row r="142">
          <cell r="B142" t="str">
            <v>7/มิ.ย./49.24.00น.</v>
          </cell>
        </row>
        <row r="143">
          <cell r="B143" t="str">
            <v>8/มิ.ย./49.12.00น.</v>
          </cell>
        </row>
        <row r="144">
          <cell r="B144" t="str">
            <v>8/มิ.ย./49.24.00น.</v>
          </cell>
        </row>
        <row r="145">
          <cell r="B145" t="str">
            <v>9/มิ.ย./49.12.00น.</v>
          </cell>
        </row>
        <row r="146">
          <cell r="B146" t="str">
            <v>9/มิ.ย./49.24.00น.</v>
          </cell>
        </row>
        <row r="147">
          <cell r="B147" t="str">
            <v>10/มิ.ย./49.12.00น.</v>
          </cell>
        </row>
        <row r="148">
          <cell r="B148" t="str">
            <v>10/มิ.ย./49.24.00น.</v>
          </cell>
        </row>
        <row r="149">
          <cell r="B149" t="str">
            <v>11/มิ.ย./49.12.00น.</v>
          </cell>
        </row>
        <row r="150">
          <cell r="B150" t="str">
            <v>11/มิ.ย./49.24.00น.</v>
          </cell>
        </row>
        <row r="151">
          <cell r="B151" t="str">
            <v>12/มิ.ย./49.24.00น.</v>
          </cell>
        </row>
        <row r="152">
          <cell r="B152" t="str">
            <v>12/มิ.ย./49.12.00น.</v>
          </cell>
        </row>
        <row r="153">
          <cell r="B153" t="str">
            <v>13/มิ.ย./49.12.00น.</v>
          </cell>
        </row>
        <row r="154">
          <cell r="B154" t="str">
            <v>13/มิ.ย./49.24.00น.</v>
          </cell>
        </row>
        <row r="155">
          <cell r="B155" t="str">
            <v>14/มิ.ย./49.12.00น.</v>
          </cell>
        </row>
        <row r="156">
          <cell r="B156" t="str">
            <v>14/มิ.ย./49.24.00น.</v>
          </cell>
        </row>
        <row r="157">
          <cell r="B157" t="str">
            <v>15/มิ.ย./49.12.00น.</v>
          </cell>
        </row>
        <row r="158">
          <cell r="B158" t="str">
            <v>15/มิ.ย./49.24.00น.</v>
          </cell>
        </row>
        <row r="159">
          <cell r="B159" t="str">
            <v>16/มิ.ย./49.12.00น.</v>
          </cell>
        </row>
        <row r="160">
          <cell r="B160" t="str">
            <v>16/มิ.ย./49.24.00น.</v>
          </cell>
        </row>
        <row r="161">
          <cell r="B161" t="str">
            <v>17/มิ.ย./49.12.00น.</v>
          </cell>
        </row>
        <row r="162">
          <cell r="B162" t="str">
            <v>17/มิ.ย./49.24.00น.</v>
          </cell>
        </row>
        <row r="163">
          <cell r="B163" t="str">
            <v>18/มิ.ย./49.12.00น.</v>
          </cell>
        </row>
        <row r="164">
          <cell r="B164" t="str">
            <v>18/มิ.ย./49.24.00น.</v>
          </cell>
        </row>
        <row r="165">
          <cell r="B165" t="str">
            <v>19/มิ.ย./49.12.00น.</v>
          </cell>
        </row>
        <row r="166">
          <cell r="B166" t="str">
            <v>19/มิ.ย./49.24.00น.</v>
          </cell>
        </row>
        <row r="167">
          <cell r="B167" t="str">
            <v>20/มิ.ย./49.12.00น.</v>
          </cell>
        </row>
        <row r="168">
          <cell r="B168" t="str">
            <v>20/มิ.ย./49.24.00น.</v>
          </cell>
        </row>
        <row r="169">
          <cell r="B169" t="str">
            <v>21/มิ.ย./49.12.00น.</v>
          </cell>
        </row>
        <row r="170">
          <cell r="B170" t="str">
            <v>21/มิ.ย./49.24.00น.</v>
          </cell>
        </row>
        <row r="171">
          <cell r="B171" t="str">
            <v>22/มิ.ย./49.12.00น.</v>
          </cell>
        </row>
        <row r="172">
          <cell r="B172" t="str">
            <v>22/มิ.ย./49.24.00น.</v>
          </cell>
        </row>
        <row r="173">
          <cell r="B173" t="str">
            <v>23/มิ.ย./49.12.00น.</v>
          </cell>
        </row>
        <row r="174">
          <cell r="B174" t="str">
            <v>23/มิ.ย./49.24.00น.</v>
          </cell>
        </row>
        <row r="175">
          <cell r="B175" t="str">
            <v>24/มิ.ย./49.12.00น.</v>
          </cell>
        </row>
        <row r="176">
          <cell r="B176" t="str">
            <v>24/มิ.ย./49.24.00น.</v>
          </cell>
        </row>
        <row r="177">
          <cell r="B177" t="str">
            <v>25/มิ.ย./49.12.00น.</v>
          </cell>
        </row>
        <row r="178">
          <cell r="B178" t="str">
            <v>25/มิ.ย./49.24.00น.</v>
          </cell>
        </row>
        <row r="179">
          <cell r="B179" t="str">
            <v>26/มิ.ย./49.12.00น.</v>
          </cell>
        </row>
        <row r="180">
          <cell r="B180" t="str">
            <v>26/มิ.ย./49.24.00น.</v>
          </cell>
        </row>
        <row r="181">
          <cell r="B181" t="str">
            <v>27/มิ.ย./49.12.00น.</v>
          </cell>
        </row>
        <row r="182">
          <cell r="B182" t="str">
            <v>27/มิ.ย./49.24.00น.</v>
          </cell>
        </row>
        <row r="183">
          <cell r="B183" t="str">
            <v>28/มิ.ย./49.12.00น.</v>
          </cell>
        </row>
        <row r="184">
          <cell r="B184" t="str">
            <v>28/มิ.ย./49.24.00น.</v>
          </cell>
        </row>
        <row r="185">
          <cell r="B185" t="str">
            <v>29/มิ.ย./49.12.00น.</v>
          </cell>
        </row>
        <row r="186">
          <cell r="B186" t="str">
            <v>29/มิ.ย./49.24.00น.</v>
          </cell>
        </row>
        <row r="187">
          <cell r="B187" t="str">
            <v>30/มิ.ย./49.12.00น.</v>
          </cell>
        </row>
        <row r="188">
          <cell r="B188" t="str">
            <v>30/มิ.ย./49.24.00น.</v>
          </cell>
        </row>
        <row r="189">
          <cell r="B189" t="str">
            <v>1/ ก.ค./49.12.00น.</v>
          </cell>
        </row>
        <row r="190">
          <cell r="B190" t="str">
            <v>1/ ก.ค./49.24.00น.</v>
          </cell>
        </row>
        <row r="191">
          <cell r="B191" t="str">
            <v>2/ ก.ค./49.12.00น.</v>
          </cell>
        </row>
        <row r="192">
          <cell r="B192" t="str">
            <v>2/ ก.ค./49.24.00น.</v>
          </cell>
        </row>
        <row r="193">
          <cell r="B193" t="str">
            <v>3/ ก.ค./49.12.00น.</v>
          </cell>
        </row>
        <row r="194">
          <cell r="B194" t="str">
            <v>3/ ก.ค./49.24.00น.</v>
          </cell>
        </row>
        <row r="195">
          <cell r="B195" t="str">
            <v>4/ ก.ค./49.12.00น.</v>
          </cell>
        </row>
        <row r="196">
          <cell r="B196" t="str">
            <v>4/ ก.ค./49.24.00น.</v>
          </cell>
        </row>
        <row r="197">
          <cell r="B197" t="str">
            <v>5/ ก.ค./49.12.00น.</v>
          </cell>
        </row>
        <row r="198">
          <cell r="B198" t="str">
            <v>5/ ก.ค./49.24.00น.</v>
          </cell>
        </row>
        <row r="199">
          <cell r="B199" t="str">
            <v>6/ ก.ค./49.12.00น.</v>
          </cell>
        </row>
        <row r="200">
          <cell r="B200" t="str">
            <v>6/ ก.ค./49.24.00น.</v>
          </cell>
        </row>
        <row r="201">
          <cell r="B201" t="str">
            <v>7/ ก.ค./49.12.00น.</v>
          </cell>
        </row>
        <row r="202">
          <cell r="B202" t="str">
            <v>7/ ก.ค./49.24.00น.</v>
          </cell>
        </row>
        <row r="203">
          <cell r="B203" t="str">
            <v>8/ ก.ค./49.12.00น.</v>
          </cell>
        </row>
        <row r="204">
          <cell r="B204" t="str">
            <v>8/ ก.ค./49.24.00น.</v>
          </cell>
        </row>
        <row r="205">
          <cell r="B205" t="str">
            <v>9/ ก.ค./49.12.00น.</v>
          </cell>
        </row>
        <row r="206">
          <cell r="B206" t="str">
            <v>9/ ก.ค./49.24.00น.</v>
          </cell>
        </row>
        <row r="207">
          <cell r="B207" t="str">
            <v>10/ ก.ค./49.12.00น.</v>
          </cell>
        </row>
        <row r="208">
          <cell r="B208" t="str">
            <v>10/ ก.ค./49.24.00น.</v>
          </cell>
        </row>
        <row r="209">
          <cell r="B209" t="str">
            <v>11/ ก.ค./49.12.00น.</v>
          </cell>
        </row>
        <row r="210">
          <cell r="B210" t="str">
            <v>11/ ก.ค./49.24.00น.</v>
          </cell>
        </row>
        <row r="211">
          <cell r="B211" t="str">
            <v>12/ก.ค./49.12.00น.</v>
          </cell>
        </row>
        <row r="212">
          <cell r="B212" t="str">
            <v>12/ก.ค./49.24.00น.</v>
          </cell>
        </row>
        <row r="213">
          <cell r="B213" t="str">
            <v>13/ก.ค./49.12.00น.</v>
          </cell>
        </row>
        <row r="214">
          <cell r="B214" t="str">
            <v>13/ก.ค./49.24.00น.</v>
          </cell>
        </row>
        <row r="215">
          <cell r="B215" t="str">
            <v>14/ก.ค./49.12.00น.</v>
          </cell>
        </row>
        <row r="216">
          <cell r="B216" t="str">
            <v>14/ก.ค./49.24.00น.</v>
          </cell>
        </row>
        <row r="217">
          <cell r="B217" t="str">
            <v>15/ก.ค./49.12.00น.</v>
          </cell>
        </row>
        <row r="218">
          <cell r="B218" t="str">
            <v>15/ก.ค./49.24.00น.</v>
          </cell>
        </row>
        <row r="219">
          <cell r="B219" t="str">
            <v>16/ก.ค./49.12.00น.</v>
          </cell>
        </row>
        <row r="220">
          <cell r="B220" t="str">
            <v>16/ก.ค./49.24.00น.</v>
          </cell>
        </row>
        <row r="221">
          <cell r="B221" t="str">
            <v>17/ก.ค./49.12.00น.</v>
          </cell>
        </row>
        <row r="222">
          <cell r="B222" t="str">
            <v>17/ก.ค./49.24.00น.</v>
          </cell>
        </row>
        <row r="223">
          <cell r="B223" t="str">
            <v>18/ก.ค./49.12.00น.</v>
          </cell>
        </row>
        <row r="224">
          <cell r="B224" t="str">
            <v>18/ก.ค./49.24.00น.</v>
          </cell>
        </row>
        <row r="225">
          <cell r="B225" t="str">
            <v>19/ก.ค./49.12.00น.</v>
          </cell>
        </row>
        <row r="226">
          <cell r="B226" t="str">
            <v>19/ก.ค./49.24.00น.</v>
          </cell>
        </row>
        <row r="227">
          <cell r="B227" t="str">
            <v>20/ก.ค./49.12.00น.</v>
          </cell>
        </row>
        <row r="228">
          <cell r="B228" t="str">
            <v>20/ก.ค./49.24.00น.</v>
          </cell>
        </row>
        <row r="229">
          <cell r="B229" t="str">
            <v>21/ก.ค./49.12.00น.</v>
          </cell>
        </row>
        <row r="230">
          <cell r="B230" t="str">
            <v>21/ก.ค./49.24.00น.</v>
          </cell>
        </row>
        <row r="231">
          <cell r="B231" t="str">
            <v>22/ก.ค./49.12.00น.</v>
          </cell>
        </row>
        <row r="232">
          <cell r="B232" t="str">
            <v>22/ก.ค./49.24.00น.</v>
          </cell>
        </row>
        <row r="233">
          <cell r="B233" t="str">
            <v>23/ก.ค./49.12.00น.</v>
          </cell>
        </row>
        <row r="234">
          <cell r="B234" t="str">
            <v>23/ก.ค./49.24.00น.</v>
          </cell>
        </row>
        <row r="235">
          <cell r="B235" t="str">
            <v>24/ก.ค./49.12.00น.</v>
          </cell>
        </row>
        <row r="236">
          <cell r="B236" t="str">
            <v>24/ก.ค./49.24.00น.</v>
          </cell>
        </row>
        <row r="237">
          <cell r="B237" t="str">
            <v>25/ก.ค./49.12.00น.</v>
          </cell>
        </row>
        <row r="238">
          <cell r="B238" t="str">
            <v>25/ก.ค./49.24.00น.</v>
          </cell>
        </row>
        <row r="239">
          <cell r="B239" t="str">
            <v>26/ก.ค./49.12.00น.</v>
          </cell>
        </row>
        <row r="240">
          <cell r="B240" t="str">
            <v>26/ก.ค./49.24.00น.</v>
          </cell>
        </row>
        <row r="241">
          <cell r="B241" t="str">
            <v>27/ก.ค./49.12.00น.</v>
          </cell>
        </row>
        <row r="242">
          <cell r="B242" t="str">
            <v>27/ก.ค./49.24.00น.</v>
          </cell>
        </row>
        <row r="243">
          <cell r="B243" t="str">
            <v>28/ก.ค./49.12.00น.</v>
          </cell>
        </row>
        <row r="244">
          <cell r="B244" t="str">
            <v>28/ก.ค./49.24.00น.</v>
          </cell>
        </row>
        <row r="245">
          <cell r="B245" t="str">
            <v>29/ก.ค./49.12.00น.</v>
          </cell>
        </row>
        <row r="246">
          <cell r="B246" t="str">
            <v>29/ก.ค./49.24.00น.</v>
          </cell>
        </row>
        <row r="247">
          <cell r="B247" t="str">
            <v>30/ก.ค./49.12.00น.</v>
          </cell>
        </row>
        <row r="248">
          <cell r="B248" t="str">
            <v>30/ก.ค./49.24.00น.</v>
          </cell>
        </row>
        <row r="249">
          <cell r="B249" t="str">
            <v>31/ก.ค./49.12.00น.</v>
          </cell>
        </row>
        <row r="250">
          <cell r="B250" t="str">
            <v>31/ก.ค./49.24.00น.</v>
          </cell>
        </row>
        <row r="251">
          <cell r="B251" t="str">
            <v>1/ส.ค./49.12.00น.</v>
          </cell>
        </row>
        <row r="252">
          <cell r="B252" t="str">
            <v>1/ส.ค./49.24.00น.</v>
          </cell>
        </row>
        <row r="253">
          <cell r="B253" t="str">
            <v>2/ส.ค./49.12.00น.</v>
          </cell>
        </row>
        <row r="254">
          <cell r="B254" t="str">
            <v>2/ส.ค./49.24.00น.</v>
          </cell>
        </row>
        <row r="255">
          <cell r="B255" t="str">
            <v>3/ส.ค./49.12.00น.</v>
          </cell>
        </row>
        <row r="256">
          <cell r="B256" t="str">
            <v>3/ส.ค./49.24.00น.</v>
          </cell>
        </row>
        <row r="257">
          <cell r="B257" t="str">
            <v>4/ส.ค./49.12.00น.</v>
          </cell>
        </row>
        <row r="258">
          <cell r="B258" t="str">
            <v>4/ส.ค./49.24.00น.</v>
          </cell>
        </row>
        <row r="259">
          <cell r="B259" t="str">
            <v>5/ส.ค./49.12.00น.</v>
          </cell>
        </row>
        <row r="260">
          <cell r="B260" t="str">
            <v>5/ส.ค./49.24.00น.</v>
          </cell>
        </row>
        <row r="261">
          <cell r="B261" t="str">
            <v>6/ส.ค./49.12.00น.</v>
          </cell>
        </row>
        <row r="262">
          <cell r="B262" t="str">
            <v>6/ส.ค./49.24.00น.</v>
          </cell>
        </row>
        <row r="263">
          <cell r="B263" t="str">
            <v>7/ส.ค./49.12.00น.</v>
          </cell>
        </row>
        <row r="264">
          <cell r="B264" t="str">
            <v>7/ส.ค./49.24.00น.</v>
          </cell>
        </row>
        <row r="265">
          <cell r="B265" t="str">
            <v>8/ส.ค./49.12.00น.</v>
          </cell>
        </row>
        <row r="266">
          <cell r="B266" t="str">
            <v>8/ส.ค./49.24.00น.</v>
          </cell>
        </row>
        <row r="267">
          <cell r="B267" t="str">
            <v>9/ส.ค./49.12.00น.</v>
          </cell>
        </row>
        <row r="268">
          <cell r="B268" t="str">
            <v>9/ส.ค./49.24.00น.</v>
          </cell>
        </row>
        <row r="269">
          <cell r="B269" t="str">
            <v>10/ส.ค./49.12.00น.</v>
          </cell>
        </row>
        <row r="270">
          <cell r="B270" t="str">
            <v>10/ส.ค./49.24.00น.</v>
          </cell>
        </row>
        <row r="271">
          <cell r="B271" t="str">
            <v>11/ส.ค./49.12.00น.</v>
          </cell>
        </row>
        <row r="272">
          <cell r="B272" t="str">
            <v>11/ส.ค./49.24.00น.</v>
          </cell>
        </row>
        <row r="273">
          <cell r="B273" t="str">
            <v>12/ส.ค./49.12.00น.</v>
          </cell>
        </row>
        <row r="274">
          <cell r="B274" t="str">
            <v>12/ส.ค./49.24.00น.</v>
          </cell>
        </row>
        <row r="275">
          <cell r="B275" t="str">
            <v>13/ส.ค./49.12.00น.</v>
          </cell>
        </row>
        <row r="276">
          <cell r="B276" t="str">
            <v>13/ส.ค./49.24.00น.</v>
          </cell>
        </row>
        <row r="277">
          <cell r="B277" t="str">
            <v>14/ส.ค./49.12.00น.</v>
          </cell>
        </row>
        <row r="278">
          <cell r="B278" t="str">
            <v>14/ส.ค./49.24.00น.</v>
          </cell>
        </row>
        <row r="279">
          <cell r="B279" t="str">
            <v>15/ส.ค./49.12.00น.</v>
          </cell>
        </row>
        <row r="280">
          <cell r="B280" t="str">
            <v>15/ส.ค./49.24.00น.</v>
          </cell>
        </row>
        <row r="281">
          <cell r="B281" t="str">
            <v>16/ส.ค./49.12.00น.</v>
          </cell>
        </row>
        <row r="282">
          <cell r="B282" t="str">
            <v>16/ส.ค./49.24.00น.</v>
          </cell>
        </row>
        <row r="283">
          <cell r="B283" t="str">
            <v>17/ส.ค./49.12.00น.</v>
          </cell>
        </row>
        <row r="284">
          <cell r="B284" t="str">
            <v>17/ส.ค./49.24.00น.</v>
          </cell>
        </row>
        <row r="285">
          <cell r="B285" t="str">
            <v>18/ส.ค./49.12.00น.</v>
          </cell>
        </row>
        <row r="286">
          <cell r="B286" t="str">
            <v>18/ส.ค./49.24.00น.</v>
          </cell>
        </row>
        <row r="287">
          <cell r="B287" t="str">
            <v>19/ส.ค./49.12.00น.</v>
          </cell>
        </row>
        <row r="288">
          <cell r="B288" t="str">
            <v>19/ส.ค./49.24.00น.</v>
          </cell>
        </row>
        <row r="289">
          <cell r="B289" t="str">
            <v>20/ส.ค./49.12.00น.</v>
          </cell>
        </row>
        <row r="290">
          <cell r="B290" t="str">
            <v>20/ส.ค./49.24.00น.</v>
          </cell>
        </row>
        <row r="291">
          <cell r="B291" t="str">
            <v>21/ส.ค./49.12.00น.</v>
          </cell>
        </row>
        <row r="292">
          <cell r="B292" t="str">
            <v>21/ส.ค./49.24.00น.</v>
          </cell>
        </row>
        <row r="293">
          <cell r="B293" t="str">
            <v>22/ส.ค./49.12.00น.</v>
          </cell>
        </row>
        <row r="294">
          <cell r="B294" t="str">
            <v>22/ส.ค./49.24.00น.</v>
          </cell>
        </row>
        <row r="295">
          <cell r="B295" t="str">
            <v>23/ส.ค./49.12.00น.</v>
          </cell>
        </row>
        <row r="296">
          <cell r="B296" t="str">
            <v>23/ส.ค./49.24.00น.</v>
          </cell>
        </row>
        <row r="297">
          <cell r="B297" t="str">
            <v>24/ส.ค./49.12.00น.</v>
          </cell>
        </row>
        <row r="298">
          <cell r="B298" t="str">
            <v>24/ส.ค./49.24.00น.</v>
          </cell>
        </row>
        <row r="299">
          <cell r="B299" t="str">
            <v>25/ส.ค./49.12.00น.</v>
          </cell>
        </row>
        <row r="300">
          <cell r="B300" t="str">
            <v>25/ส.ค./49.24.00น.</v>
          </cell>
        </row>
        <row r="301">
          <cell r="B301" t="str">
            <v>26/ส.ค./49.12.00น.</v>
          </cell>
        </row>
        <row r="302">
          <cell r="B302" t="str">
            <v>26/ส.ค./49.24.00น.</v>
          </cell>
        </row>
        <row r="303">
          <cell r="B303" t="str">
            <v>27/ส.ค./49.12.00น.</v>
          </cell>
        </row>
        <row r="304">
          <cell r="B304" t="str">
            <v>27/ส.ค./49.24.00น.</v>
          </cell>
        </row>
        <row r="305">
          <cell r="B305" t="str">
            <v>28/ส.ค./49.12.00น.</v>
          </cell>
        </row>
        <row r="306">
          <cell r="B306" t="str">
            <v>28/ส.ค./49.24.00น.</v>
          </cell>
        </row>
        <row r="307">
          <cell r="B307" t="str">
            <v>29/ส.ค./49.12.00น.</v>
          </cell>
        </row>
        <row r="308">
          <cell r="B308" t="str">
            <v>29/ส.ค./49.24.00น.</v>
          </cell>
        </row>
        <row r="309">
          <cell r="B309" t="str">
            <v>30/ส.ค./49.12.00น.</v>
          </cell>
        </row>
        <row r="310">
          <cell r="B310" t="str">
            <v>30/ส.ค./49.24.00น.</v>
          </cell>
        </row>
        <row r="311">
          <cell r="B311" t="str">
            <v>31/ส.ค./49.12.00น.</v>
          </cell>
        </row>
        <row r="312">
          <cell r="B312" t="str">
            <v>31/ส.ค./49.24.00น.</v>
          </cell>
        </row>
        <row r="313">
          <cell r="B313" t="str">
            <v>1/ก.ย./49.12.00น.</v>
          </cell>
        </row>
        <row r="314">
          <cell r="B314" t="str">
            <v>1/ก.ย./49.24.00น.</v>
          </cell>
        </row>
        <row r="315">
          <cell r="B315" t="str">
            <v>2/ก.ย./49.12.00น.</v>
          </cell>
        </row>
        <row r="316">
          <cell r="B316" t="str">
            <v>2/ก.ย./49.24.00น.</v>
          </cell>
        </row>
        <row r="317">
          <cell r="B317" t="str">
            <v>3/ก.ย./49.12.00น.</v>
          </cell>
        </row>
        <row r="318">
          <cell r="B318" t="str">
            <v>3/ก.ย./49.24.00น.</v>
          </cell>
        </row>
        <row r="319">
          <cell r="B319" t="str">
            <v>4/ก.ย./49.12.00น.</v>
          </cell>
        </row>
        <row r="320">
          <cell r="B320" t="str">
            <v>4/ก.ย./49.24.00น.</v>
          </cell>
        </row>
        <row r="321">
          <cell r="B321" t="str">
            <v>5/ก.ย./49.12.00น.</v>
          </cell>
        </row>
        <row r="322">
          <cell r="B322" t="str">
            <v>5/ก.ย./49.24.00น.</v>
          </cell>
        </row>
        <row r="323">
          <cell r="B323" t="str">
            <v>6/ก.ย./49.12.00น.</v>
          </cell>
        </row>
        <row r="324">
          <cell r="B324" t="str">
            <v>6/ก.ย./49.24.00น.</v>
          </cell>
        </row>
        <row r="325">
          <cell r="B325" t="str">
            <v>7/ก.ย./49.12.00น.</v>
          </cell>
        </row>
        <row r="326">
          <cell r="B326" t="str">
            <v>7/ก.ย./49.24.00น.</v>
          </cell>
        </row>
        <row r="327">
          <cell r="B327" t="str">
            <v>8/ก.ย./49.12.00น.</v>
          </cell>
        </row>
        <row r="328">
          <cell r="B328" t="str">
            <v>8/ก.ย./49.24.00น.</v>
          </cell>
        </row>
        <row r="329">
          <cell r="B329" t="str">
            <v>9/ก.ย./49.12.00น.</v>
          </cell>
        </row>
        <row r="330">
          <cell r="B330" t="str">
            <v>9/ก.ย./49.24.00น.</v>
          </cell>
        </row>
        <row r="331">
          <cell r="B331" t="str">
            <v>10/ก.ย./49.12.00น.</v>
          </cell>
        </row>
        <row r="332">
          <cell r="B332" t="str">
            <v>10/ก.ย./49.24.00น.</v>
          </cell>
        </row>
        <row r="333">
          <cell r="B333" t="str">
            <v>11/ก.ย./49.12.00น.</v>
          </cell>
        </row>
        <row r="334">
          <cell r="B334" t="str">
            <v>11/ก.ย./49.24.00น.</v>
          </cell>
        </row>
        <row r="335">
          <cell r="B335" t="str">
            <v>12/ก.ย./49.12.00น.</v>
          </cell>
        </row>
        <row r="336">
          <cell r="B336" t="str">
            <v>12/ก.ย./49.24.00น.</v>
          </cell>
        </row>
        <row r="337">
          <cell r="B337" t="str">
            <v>13/ก.ย./49.12.00น.</v>
          </cell>
        </row>
        <row r="338">
          <cell r="B338" t="str">
            <v>13/ก.ย./49.24.00น.</v>
          </cell>
        </row>
        <row r="339">
          <cell r="B339" t="str">
            <v>14/ก.ย./49.12.00น.</v>
          </cell>
        </row>
        <row r="340">
          <cell r="B340" t="str">
            <v>14/ก.ย./49.24.00น.</v>
          </cell>
        </row>
        <row r="341">
          <cell r="B341" t="str">
            <v>15/ก.ย./49.12.00น.</v>
          </cell>
        </row>
        <row r="342">
          <cell r="B342" t="str">
            <v>15/ก.ย./49.24.00น.</v>
          </cell>
        </row>
        <row r="343">
          <cell r="B343" t="str">
            <v>16/ก.ย./49.12.00น.</v>
          </cell>
        </row>
        <row r="344">
          <cell r="B344" t="str">
            <v>16/ก.ย./49.24.00น.</v>
          </cell>
        </row>
        <row r="345">
          <cell r="B345" t="str">
            <v>17/ก.ย./49.12.00น.</v>
          </cell>
        </row>
        <row r="346">
          <cell r="B346" t="str">
            <v>17/ก.ย./49.24.00น.</v>
          </cell>
        </row>
        <row r="347">
          <cell r="B347" t="str">
            <v>18/ก.ย./49.12.00น.</v>
          </cell>
        </row>
        <row r="348">
          <cell r="B348" t="str">
            <v>18/ก.ย./49.24.00น.</v>
          </cell>
        </row>
        <row r="349">
          <cell r="B349" t="str">
            <v>19/ก.ย./49.12.00น.</v>
          </cell>
        </row>
        <row r="350">
          <cell r="B350" t="str">
            <v>19/ก.ย./49.24.00น.</v>
          </cell>
        </row>
        <row r="351">
          <cell r="B351" t="str">
            <v>20/ก.ย./49.12.00น.</v>
          </cell>
        </row>
        <row r="352">
          <cell r="B352" t="str">
            <v>20/ก.ย./49.24.00น.</v>
          </cell>
        </row>
        <row r="353">
          <cell r="B353" t="str">
            <v>21/ก.ย./49.12.00น.</v>
          </cell>
        </row>
        <row r="354">
          <cell r="B354" t="str">
            <v>21/ก.ย./49.24.00น.</v>
          </cell>
        </row>
        <row r="355">
          <cell r="B355" t="str">
            <v>22/ก.ย./49.12.00น.</v>
          </cell>
        </row>
        <row r="356">
          <cell r="B356" t="str">
            <v>22/ก.ย./49.24.00น.</v>
          </cell>
        </row>
        <row r="357">
          <cell r="B357" t="str">
            <v>23/ก.ย./49.12.00น.</v>
          </cell>
        </row>
        <row r="358">
          <cell r="B358" t="str">
            <v>23/ก.ย./49.24.00น.</v>
          </cell>
        </row>
        <row r="359">
          <cell r="B359" t="str">
            <v>24/ก.ย./49.12.00น.</v>
          </cell>
        </row>
        <row r="360">
          <cell r="B360" t="str">
            <v>24/ก.ย./49.24.00น.</v>
          </cell>
        </row>
        <row r="361">
          <cell r="B361" t="str">
            <v>25/ก.ย./49.12.00น.</v>
          </cell>
        </row>
        <row r="362">
          <cell r="B362" t="str">
            <v>25/ก.ย./49.24.00น.</v>
          </cell>
        </row>
        <row r="363">
          <cell r="B363" t="str">
            <v>26/ก.ย./49.12.00น.</v>
          </cell>
        </row>
        <row r="364">
          <cell r="B364" t="str">
            <v>26/ก.ย./49.24.00น.</v>
          </cell>
        </row>
        <row r="365">
          <cell r="B365" t="str">
            <v>27/ก.ย./49.12.00น.</v>
          </cell>
        </row>
        <row r="366">
          <cell r="B366" t="str">
            <v>27/ก.ย./49.24.00น.</v>
          </cell>
        </row>
        <row r="367">
          <cell r="B367" t="str">
            <v>28/ก.ย./49.12.00น.</v>
          </cell>
        </row>
        <row r="368">
          <cell r="B368" t="str">
            <v>28/ก.ย./49.24.00น.</v>
          </cell>
        </row>
        <row r="369">
          <cell r="B369" t="str">
            <v>29/ก.ย./49.12.00น.</v>
          </cell>
        </row>
        <row r="370">
          <cell r="B370" t="str">
            <v>29/ก.ย./49.24.00น.</v>
          </cell>
        </row>
        <row r="371">
          <cell r="B371" t="str">
            <v>30/ก.ย./49.12.00น.</v>
          </cell>
        </row>
        <row r="372">
          <cell r="B372" t="str">
            <v>30/ก.ย./49.24.00น.</v>
          </cell>
        </row>
        <row r="373">
          <cell r="B373" t="str">
            <v>1/ต.ค./49.12.00น.</v>
          </cell>
        </row>
        <row r="374">
          <cell r="B374" t="str">
            <v>1/ต.ค./49.24.00น.</v>
          </cell>
        </row>
        <row r="375">
          <cell r="B375" t="str">
            <v>2/ต.ค./49.12.00น.</v>
          </cell>
        </row>
        <row r="376">
          <cell r="B376" t="str">
            <v>2/ต.ค./49.24.00น.</v>
          </cell>
        </row>
        <row r="377">
          <cell r="B377" t="str">
            <v>3/ต.ค./49.12.00น.</v>
          </cell>
        </row>
        <row r="378">
          <cell r="B378" t="str">
            <v>3/ต.ค./49.24.00น.</v>
          </cell>
        </row>
        <row r="379">
          <cell r="B379" t="str">
            <v>4/ต.ค./49.12.00น.</v>
          </cell>
        </row>
        <row r="380">
          <cell r="B380" t="str">
            <v>4/ต.ค./49.24.00น.</v>
          </cell>
        </row>
        <row r="381">
          <cell r="B381" t="str">
            <v>5/ต.ค./49.12.00น.</v>
          </cell>
        </row>
        <row r="382">
          <cell r="B382" t="str">
            <v>5/ต.ค./49.24.00น.</v>
          </cell>
        </row>
        <row r="383">
          <cell r="B383" t="str">
            <v>6/ต.ค./49.12.00น.</v>
          </cell>
        </row>
        <row r="384">
          <cell r="B384" t="str">
            <v>6/ต.ค./49.24.00น.</v>
          </cell>
        </row>
        <row r="385">
          <cell r="B385" t="str">
            <v>7/ต.ค./49.12.00น.</v>
          </cell>
        </row>
        <row r="386">
          <cell r="B386" t="str">
            <v>7/ต.ค./49.24.00น.</v>
          </cell>
        </row>
        <row r="387">
          <cell r="B387" t="str">
            <v>8/ต.ค./49.12.00น.</v>
          </cell>
        </row>
        <row r="388">
          <cell r="B388" t="str">
            <v>8/ต.ค./49.24.00น.</v>
          </cell>
        </row>
        <row r="389">
          <cell r="B389" t="str">
            <v>9/ต.ค./49.12.00น.</v>
          </cell>
        </row>
        <row r="390">
          <cell r="B390" t="str">
            <v>9/ต.ค./49.24.00น.</v>
          </cell>
        </row>
        <row r="391">
          <cell r="B391" t="str">
            <v>10/ต.ค./49.12.00น.</v>
          </cell>
        </row>
        <row r="392">
          <cell r="B392" t="str">
            <v>10/ต.ค./49.24.00น.</v>
          </cell>
        </row>
        <row r="393">
          <cell r="B393" t="str">
            <v>11/ต.ค./49.12.00น.</v>
          </cell>
        </row>
        <row r="394">
          <cell r="B394" t="str">
            <v>11/ต.ค./49.24.00น.</v>
          </cell>
        </row>
        <row r="395">
          <cell r="B395" t="str">
            <v>12/ต.ค./49.12.00น.</v>
          </cell>
        </row>
        <row r="396">
          <cell r="B396" t="str">
            <v>12/ต.ค./49.24.00น.</v>
          </cell>
        </row>
        <row r="397">
          <cell r="B397" t="str">
            <v>13/ต.ค./49.12.00น.</v>
          </cell>
        </row>
        <row r="398">
          <cell r="B398" t="str">
            <v>13/ต.ค./49.24.00น.</v>
          </cell>
        </row>
        <row r="399">
          <cell r="B399" t="str">
            <v>14/ต.ค./49.12.00น.</v>
          </cell>
        </row>
        <row r="400">
          <cell r="B400" t="str">
            <v>14/ต.ค./49.24.00น.</v>
          </cell>
        </row>
        <row r="401">
          <cell r="B401" t="str">
            <v>15/ต.ค./49.12.00น.</v>
          </cell>
        </row>
        <row r="402">
          <cell r="B402" t="str">
            <v>15/ต.ค./49.24.00น.</v>
          </cell>
        </row>
        <row r="403">
          <cell r="B403" t="str">
            <v>16/ต.ค./49.12.00น.</v>
          </cell>
        </row>
        <row r="404">
          <cell r="B404" t="str">
            <v>16/ต.ค./49.24.00น.</v>
          </cell>
        </row>
        <row r="405">
          <cell r="B405" t="str">
            <v>17/ต.ค./49.12.00น.</v>
          </cell>
        </row>
        <row r="406">
          <cell r="B406" t="str">
            <v>17/ต.ค./49.24.00น.</v>
          </cell>
        </row>
        <row r="407">
          <cell r="B407" t="str">
            <v>18/ต.ค./49.12.00น.</v>
          </cell>
        </row>
        <row r="408">
          <cell r="B408" t="str">
            <v>18/ต.ค./49.24.00น.</v>
          </cell>
        </row>
        <row r="409">
          <cell r="B409" t="str">
            <v>19/ต.ค./49.12.00น.</v>
          </cell>
        </row>
        <row r="410">
          <cell r="B410" t="str">
            <v>19/ต.ค./49.24.00น.</v>
          </cell>
        </row>
        <row r="411">
          <cell r="B411" t="str">
            <v>20/ต.ค./49.12.00น.</v>
          </cell>
        </row>
        <row r="412">
          <cell r="B412" t="str">
            <v>20/ต.ค./49.24.00น.</v>
          </cell>
        </row>
        <row r="413">
          <cell r="B413" t="str">
            <v>21/ต.ค./49.12.00น.</v>
          </cell>
        </row>
        <row r="414">
          <cell r="B414" t="str">
            <v>21/ต.ค./49.24.00น.</v>
          </cell>
        </row>
        <row r="415">
          <cell r="B415" t="str">
            <v>22/ต.ค./49.12.00น.</v>
          </cell>
        </row>
        <row r="416">
          <cell r="B416" t="str">
            <v>22/ต.ค./49.24.00น.</v>
          </cell>
        </row>
        <row r="417">
          <cell r="B417" t="str">
            <v>23/ต.ค./49.12.00น.</v>
          </cell>
        </row>
        <row r="418">
          <cell r="B418" t="str">
            <v>23/ต.ค./49.24.00น.</v>
          </cell>
        </row>
        <row r="419">
          <cell r="B419" t="str">
            <v>24/ต.ค./49.12.00น.</v>
          </cell>
        </row>
        <row r="420">
          <cell r="B420" t="str">
            <v>24/ต.ค./49.24.00น.</v>
          </cell>
        </row>
        <row r="421">
          <cell r="B421" t="str">
            <v>25/ต.ค./49.12.00น.</v>
          </cell>
        </row>
        <row r="422">
          <cell r="B422" t="str">
            <v>25/ต.ค./49.24.00น.</v>
          </cell>
        </row>
        <row r="423">
          <cell r="B423" t="str">
            <v>26/ต.ค./49.12.00น.</v>
          </cell>
        </row>
        <row r="424">
          <cell r="B424" t="str">
            <v>26/ต.ค./49.24.00น.</v>
          </cell>
        </row>
        <row r="425">
          <cell r="B425" t="str">
            <v>27/ต.ค./49.12.00น.</v>
          </cell>
        </row>
        <row r="426">
          <cell r="B426" t="str">
            <v>27/ต.ค./49.24.00น.</v>
          </cell>
        </row>
        <row r="427">
          <cell r="B427" t="str">
            <v>28/ต.ค./49.12.00น.</v>
          </cell>
        </row>
        <row r="428">
          <cell r="B428" t="str">
            <v>28/ต.ค./49.24.00น.</v>
          </cell>
        </row>
        <row r="429">
          <cell r="B429" t="str">
            <v>29/ต.ค./49.12.00น.</v>
          </cell>
        </row>
        <row r="430">
          <cell r="B430" t="str">
            <v>29/ต.ค./49.24.00น.</v>
          </cell>
        </row>
        <row r="431">
          <cell r="B431" t="str">
            <v>30/ต.ค./49.12.00น.</v>
          </cell>
        </row>
        <row r="432">
          <cell r="B432" t="str">
            <v>30/ต.ค./49.24.00น.</v>
          </cell>
        </row>
        <row r="433">
          <cell r="B433" t="str">
            <v>31/ต.ค./49.12.00น.</v>
          </cell>
        </row>
        <row r="434">
          <cell r="B434" t="str">
            <v>31/ต.ค./49.24.00น.</v>
          </cell>
        </row>
        <row r="435">
          <cell r="B435" t="str">
            <v>1/พ.ย./49.12.00น.</v>
          </cell>
        </row>
        <row r="436">
          <cell r="B436" t="str">
            <v>1/พ.ย./49.24.00น.</v>
          </cell>
        </row>
        <row r="437">
          <cell r="B437" t="str">
            <v>2/พ.ย./49.12.00น.</v>
          </cell>
        </row>
        <row r="438">
          <cell r="B438" t="str">
            <v>2/พ.ย./49.24.00น.</v>
          </cell>
        </row>
        <row r="439">
          <cell r="B439" t="str">
            <v>3/พ.ย./49.12.00น.</v>
          </cell>
        </row>
        <row r="440">
          <cell r="B440" t="str">
            <v>3/พ.ย./49.24.00น.</v>
          </cell>
        </row>
        <row r="441">
          <cell r="B441" t="str">
            <v>4/พ.ย./49.12.00น.</v>
          </cell>
        </row>
        <row r="442">
          <cell r="B442" t="str">
            <v>4/พ.ย./49.24.00น.</v>
          </cell>
        </row>
        <row r="443">
          <cell r="B443" t="str">
            <v>5/พ.ย./49.12.00น.</v>
          </cell>
        </row>
        <row r="444">
          <cell r="B444" t="str">
            <v>5/พ.ย./49.24.00น.</v>
          </cell>
        </row>
        <row r="445">
          <cell r="B445" t="str">
            <v>6/พ.ย./49.12.00น.</v>
          </cell>
        </row>
        <row r="446">
          <cell r="B446" t="str">
            <v>6/พ.ย./49.24.00น.</v>
          </cell>
        </row>
        <row r="447">
          <cell r="B447" t="str">
            <v>7/พ.ย./49.12.00น.</v>
          </cell>
        </row>
        <row r="448">
          <cell r="B448" t="str">
            <v>7/พ.ย./49.24.00น.</v>
          </cell>
        </row>
        <row r="449">
          <cell r="B449" t="str">
            <v>8/พ.ย./49.12.00น.</v>
          </cell>
        </row>
        <row r="450">
          <cell r="B450" t="str">
            <v>8/พ.ย./49.24.00น.</v>
          </cell>
        </row>
        <row r="451">
          <cell r="B451" t="str">
            <v>9/พ.ย./49.12.00น.</v>
          </cell>
        </row>
        <row r="452">
          <cell r="B452" t="str">
            <v>9/พ.ย./49.24.00น.</v>
          </cell>
        </row>
        <row r="453">
          <cell r="B453" t="str">
            <v>10/พ.ย./49.12.00น.</v>
          </cell>
        </row>
        <row r="454">
          <cell r="B454" t="str">
            <v>10/พ.ย./49.24.00น.</v>
          </cell>
        </row>
        <row r="455">
          <cell r="B455" t="str">
            <v>11/พ.ย./49.12.00น.</v>
          </cell>
        </row>
        <row r="456">
          <cell r="B456" t="str">
            <v>11/พ.ย./49.24.00น.</v>
          </cell>
        </row>
        <row r="457">
          <cell r="B457" t="str">
            <v>12/พ.ย./49.12.00น.</v>
          </cell>
        </row>
        <row r="458">
          <cell r="B458" t="str">
            <v>12/พ.ย./49.24.00น.</v>
          </cell>
        </row>
        <row r="459">
          <cell r="B459" t="str">
            <v>13/พ.ย./49.12.00น.</v>
          </cell>
        </row>
        <row r="460">
          <cell r="B460" t="str">
            <v>13/พ.ย./49.24.00น.</v>
          </cell>
        </row>
        <row r="461">
          <cell r="B461" t="str">
            <v>14/พ.ย./49.12.00น.</v>
          </cell>
        </row>
        <row r="462">
          <cell r="B462" t="str">
            <v>14/พ.ย./49.24.00น.</v>
          </cell>
        </row>
        <row r="463">
          <cell r="B463" t="str">
            <v>15/พ.ย./49.12.00น.</v>
          </cell>
        </row>
        <row r="464">
          <cell r="B464" t="str">
            <v>15/พ.ย./49.24.00น.</v>
          </cell>
        </row>
        <row r="465">
          <cell r="B465" t="str">
            <v>16/พ.ย./49.12.00น.</v>
          </cell>
        </row>
        <row r="466">
          <cell r="B466" t="str">
            <v>16/พ.ย./49.24.00น.</v>
          </cell>
        </row>
        <row r="467">
          <cell r="B467" t="str">
            <v>17/พ.ย./49.12.00น.</v>
          </cell>
        </row>
        <row r="468">
          <cell r="B468" t="str">
            <v>17/พ.ย./49.24.00น.</v>
          </cell>
        </row>
        <row r="469">
          <cell r="B469" t="str">
            <v>18/พ.ย./49.12.00น.</v>
          </cell>
        </row>
        <row r="470">
          <cell r="B470" t="str">
            <v>18/พ.ย./49.24.00น.</v>
          </cell>
        </row>
        <row r="471">
          <cell r="B471" t="str">
            <v>19/พ.ย./49.12.00น.</v>
          </cell>
        </row>
        <row r="472">
          <cell r="B472" t="str">
            <v>19/พ.ย./49.24.00น.</v>
          </cell>
        </row>
        <row r="473">
          <cell r="B473" t="str">
            <v>20/พ.ย./49.12.00น.</v>
          </cell>
        </row>
        <row r="474">
          <cell r="B474" t="str">
            <v>20/พ.ย./49.24.00น.</v>
          </cell>
        </row>
        <row r="475">
          <cell r="B475" t="str">
            <v>21/พ.ย./49.12.00น.</v>
          </cell>
        </row>
        <row r="476">
          <cell r="B476" t="str">
            <v>21/พ.ย./49.24.00น.</v>
          </cell>
        </row>
        <row r="477">
          <cell r="B477" t="str">
            <v>22/พ.ย./49.12.00น.</v>
          </cell>
        </row>
        <row r="478">
          <cell r="B478" t="str">
            <v>22/พ.ย./49.24.00น.</v>
          </cell>
        </row>
        <row r="479">
          <cell r="B479" t="str">
            <v>23/พ.ย./49.12.00น.</v>
          </cell>
        </row>
        <row r="480">
          <cell r="B480" t="str">
            <v>23/พ.ย./49.24.00น.</v>
          </cell>
        </row>
        <row r="481">
          <cell r="B481" t="str">
            <v>24/พ.ย./49.12.00น.</v>
          </cell>
        </row>
        <row r="482">
          <cell r="B482" t="str">
            <v>24/พ.ย./49.24.00น.</v>
          </cell>
        </row>
        <row r="483">
          <cell r="B483" t="str">
            <v>25/พ.ย./49.12.00น.</v>
          </cell>
        </row>
        <row r="484">
          <cell r="B484" t="str">
            <v>25/พ.ย./49.24.00น.</v>
          </cell>
        </row>
        <row r="485">
          <cell r="B485" t="str">
            <v>26/พ.ย./49.12.00น.</v>
          </cell>
        </row>
        <row r="486">
          <cell r="B486" t="str">
            <v>26/พ.ย./49.24.00น.</v>
          </cell>
        </row>
        <row r="487">
          <cell r="B487" t="str">
            <v>27/พ.ย./49.12.00น.</v>
          </cell>
        </row>
        <row r="488">
          <cell r="B488" t="str">
            <v>27/พ.ย./49.24.00น.</v>
          </cell>
        </row>
        <row r="489">
          <cell r="B489" t="str">
            <v>28/พ.ย./49.12.00น.</v>
          </cell>
        </row>
        <row r="490">
          <cell r="B490" t="str">
            <v>28/พ.ย./49.24.00น.</v>
          </cell>
        </row>
        <row r="491">
          <cell r="B491" t="str">
            <v>29/พ.ย./49.12.00น.</v>
          </cell>
        </row>
        <row r="492">
          <cell r="B492" t="str">
            <v>29/พ.ย./49.24.00น.</v>
          </cell>
        </row>
        <row r="493">
          <cell r="B493" t="str">
            <v>30/พ.ย./49.12.00น.</v>
          </cell>
        </row>
        <row r="494">
          <cell r="B494" t="str">
            <v>30/พ.ย./49.24.00น.</v>
          </cell>
        </row>
        <row r="495">
          <cell r="B495" t="str">
            <v>1/ธ.ค./49.12.00น.</v>
          </cell>
        </row>
        <row r="496">
          <cell r="B496" t="str">
            <v>1/ธ.ค./49.24.00น.</v>
          </cell>
        </row>
        <row r="497">
          <cell r="B497" t="str">
            <v>2/ธ.ค./49.12.00น.</v>
          </cell>
        </row>
        <row r="498">
          <cell r="B498" t="str">
            <v>2/ธ.ค./49.24.00น.</v>
          </cell>
        </row>
        <row r="499">
          <cell r="B499" t="str">
            <v>3/ธ.ค./49.12.00น.</v>
          </cell>
        </row>
        <row r="500">
          <cell r="B500" t="str">
            <v>3/ธ.ค./49.24.00น.</v>
          </cell>
        </row>
        <row r="501">
          <cell r="B501" t="str">
            <v>4/ธ.ค./49.12.00น.</v>
          </cell>
        </row>
        <row r="502">
          <cell r="B502" t="str">
            <v>4/ธ.ค./49.24.00น.</v>
          </cell>
        </row>
        <row r="503">
          <cell r="B503" t="str">
            <v>5/ธ.ค./49.12.00น.</v>
          </cell>
        </row>
        <row r="504">
          <cell r="B504" t="str">
            <v>5/ธ.ค./49.24.00น.</v>
          </cell>
        </row>
        <row r="505">
          <cell r="B505" t="str">
            <v>6/ธ.ค./49.12.00น.</v>
          </cell>
        </row>
        <row r="506">
          <cell r="B506" t="str">
            <v>6/ธ.ค./49.24.00น.</v>
          </cell>
        </row>
        <row r="507">
          <cell r="B507" t="str">
            <v>7/ธ.ค./49.12.00น.</v>
          </cell>
        </row>
        <row r="508">
          <cell r="B508" t="str">
            <v>7/ธ.ค./49.24.00น.</v>
          </cell>
        </row>
        <row r="509">
          <cell r="B509" t="str">
            <v>8/ธ.ค./49.12.00น.</v>
          </cell>
        </row>
        <row r="510">
          <cell r="B510" t="str">
            <v>8/ธ.ค./49.24.00น.</v>
          </cell>
        </row>
        <row r="511">
          <cell r="B511" t="str">
            <v>9/ธ.ค./49.12.00น.</v>
          </cell>
        </row>
        <row r="512">
          <cell r="B512" t="str">
            <v>9/ธ.ค./49.24.00น.</v>
          </cell>
        </row>
        <row r="513">
          <cell r="B513" t="str">
            <v>10/ธ.ค./49.12.00น.</v>
          </cell>
        </row>
        <row r="514">
          <cell r="B514" t="str">
            <v>10/ธ.ค./49.24.00น.</v>
          </cell>
        </row>
        <row r="515">
          <cell r="B515" t="str">
            <v>11/ธ.ค./49.12.00น.</v>
          </cell>
        </row>
        <row r="516">
          <cell r="B516" t="str">
            <v>11/ธ.ค./49.24.00น.</v>
          </cell>
        </row>
        <row r="517">
          <cell r="B517" t="str">
            <v>12/ธ.ค./49.12.00น.</v>
          </cell>
        </row>
        <row r="518">
          <cell r="B518" t="str">
            <v>12/ธ.ค./49.24.00น.</v>
          </cell>
        </row>
        <row r="519">
          <cell r="B519" t="str">
            <v>13/ธ.ค./49.12.00น.</v>
          </cell>
        </row>
        <row r="520">
          <cell r="B520" t="str">
            <v>13/ธ.ค./49.24.00น.</v>
          </cell>
        </row>
        <row r="521">
          <cell r="B521" t="str">
            <v>14/ธ.ค./49.12.00น.</v>
          </cell>
        </row>
        <row r="522">
          <cell r="B522" t="str">
            <v>14/ธ.ค./49.24.00น.</v>
          </cell>
        </row>
        <row r="523">
          <cell r="B523" t="str">
            <v>15/ธ.ค./49.12.00น.</v>
          </cell>
        </row>
        <row r="524">
          <cell r="B524" t="str">
            <v>15/ธ.ค./49.24.00น.</v>
          </cell>
        </row>
        <row r="525">
          <cell r="B525" t="str">
            <v>16/ธ.ค./49.12.00น.</v>
          </cell>
        </row>
        <row r="526">
          <cell r="B526" t="str">
            <v>16/ธ.ค./49.24.00น.</v>
          </cell>
        </row>
        <row r="527">
          <cell r="B527" t="str">
            <v>17/ธ.ค./49.12.00น.</v>
          </cell>
        </row>
        <row r="528">
          <cell r="B528" t="str">
            <v>17/ธ.ค./49.24.00น.</v>
          </cell>
        </row>
        <row r="529">
          <cell r="B529" t="str">
            <v>18/ธ.ค./49.12.00น.</v>
          </cell>
        </row>
        <row r="530">
          <cell r="B530" t="str">
            <v>18/ธ.ค./49.24.00น.</v>
          </cell>
        </row>
        <row r="531">
          <cell r="B531" t="str">
            <v>19/ธ.ค./49.12.00น.</v>
          </cell>
        </row>
        <row r="532">
          <cell r="B532" t="str">
            <v>19/ธ.ค./49.24.00น.</v>
          </cell>
        </row>
        <row r="533">
          <cell r="B533" t="str">
            <v>20/ธ.ค./49.12.00น.</v>
          </cell>
        </row>
        <row r="534">
          <cell r="B534" t="str">
            <v>20/ธ.ค./49.24.00น.</v>
          </cell>
        </row>
        <row r="535">
          <cell r="B535" t="str">
            <v>21/ธ.ค./49.12.00น.</v>
          </cell>
        </row>
        <row r="536">
          <cell r="B536" t="str">
            <v>21/ธ.ค./49.24.00น.</v>
          </cell>
        </row>
        <row r="537">
          <cell r="B537" t="str">
            <v>22/ธ.ค./49.12.00น.</v>
          </cell>
        </row>
        <row r="538">
          <cell r="B538" t="str">
            <v>22/ธ.ค./49.24.00น.</v>
          </cell>
        </row>
        <row r="539">
          <cell r="B539" t="str">
            <v>23/ธ.ค./49.12.00น.</v>
          </cell>
        </row>
        <row r="540">
          <cell r="B540" t="str">
            <v>23/ธ.ค./49.24.00น.</v>
          </cell>
        </row>
        <row r="541">
          <cell r="B541" t="str">
            <v>24/ธ.ค./49.12.00น.</v>
          </cell>
        </row>
        <row r="542">
          <cell r="B542" t="str">
            <v>24/ธ.ค./49.24.00น.</v>
          </cell>
        </row>
        <row r="543">
          <cell r="B543" t="str">
            <v>25/ธ.ค./49.12.00น.</v>
          </cell>
        </row>
        <row r="544">
          <cell r="B544" t="str">
            <v>25/ธ.ค./49.24.00น.</v>
          </cell>
        </row>
        <row r="545">
          <cell r="B545" t="str">
            <v>26/ธ.ค./49.12.00น.</v>
          </cell>
        </row>
        <row r="546">
          <cell r="B546" t="str">
            <v>26/ธ.ค./49.24.00น.</v>
          </cell>
        </row>
        <row r="547">
          <cell r="B547" t="str">
            <v>27/ธ.ค./49.12.00น.</v>
          </cell>
        </row>
        <row r="548">
          <cell r="B548" t="str">
            <v>27/ธ.ค./49.24.00น.</v>
          </cell>
        </row>
        <row r="549">
          <cell r="B549" t="str">
            <v>28/ธ.ค./49.12.00น.</v>
          </cell>
        </row>
        <row r="550">
          <cell r="B550" t="str">
            <v>28/ธ.ค./49.24.00น.</v>
          </cell>
        </row>
        <row r="551">
          <cell r="B551" t="str">
            <v>29/ธ.ค./49.12.00น.</v>
          </cell>
        </row>
        <row r="552">
          <cell r="B552" t="str">
            <v>29/ธ.ค./49.24.00น.</v>
          </cell>
        </row>
        <row r="553">
          <cell r="B553" t="str">
            <v>30/ธ.ค./49.12.00น.</v>
          </cell>
        </row>
        <row r="554">
          <cell r="B554" t="str">
            <v>30/ธ.ค./49.24.00น.</v>
          </cell>
        </row>
        <row r="555">
          <cell r="B555" t="str">
            <v>31/ธ.ค./49.12.00น.</v>
          </cell>
        </row>
        <row r="556">
          <cell r="B556" t="str">
            <v>31/ธ.ค./49.24.00น.</v>
          </cell>
        </row>
        <row r="557">
          <cell r="B557" t="str">
            <v>1/ม.ค./50.12.00น.</v>
          </cell>
        </row>
        <row r="558">
          <cell r="B558" t="str">
            <v>1/ม.ค./50.24.00น.</v>
          </cell>
        </row>
        <row r="559">
          <cell r="B559" t="str">
            <v>2/ม.ค./50.12.00น.</v>
          </cell>
        </row>
        <row r="560">
          <cell r="B560" t="str">
            <v>2/ม.ค./50.24.00น.</v>
          </cell>
        </row>
        <row r="561">
          <cell r="B561" t="str">
            <v>3/ม.ค./50.12.00น.</v>
          </cell>
        </row>
        <row r="562">
          <cell r="B562" t="str">
            <v>3/ม.ค./50.24.00น.</v>
          </cell>
        </row>
        <row r="563">
          <cell r="B563" t="str">
            <v>4/ม.ค./50.12.00น.</v>
          </cell>
        </row>
        <row r="564">
          <cell r="B564" t="str">
            <v>4/ม.ค./50.24.00น.</v>
          </cell>
        </row>
        <row r="565">
          <cell r="B565" t="str">
            <v>5/ม.ค./50.12.00น.</v>
          </cell>
        </row>
        <row r="566">
          <cell r="B566" t="str">
            <v>5/ม.ค./50.24.00น.</v>
          </cell>
        </row>
        <row r="567">
          <cell r="B567" t="str">
            <v>6/ม.ค./50.12.00น.</v>
          </cell>
        </row>
        <row r="568">
          <cell r="B568" t="str">
            <v>6/ม.ค./50.24.00น.</v>
          </cell>
        </row>
        <row r="569">
          <cell r="B569" t="str">
            <v>7/ม.ค./50.12.00น.</v>
          </cell>
        </row>
        <row r="570">
          <cell r="B570" t="str">
            <v>7/ม.ค./50.24.00น.</v>
          </cell>
        </row>
        <row r="571">
          <cell r="B571" t="str">
            <v>8/ม.ค./50.12.00น.</v>
          </cell>
        </row>
        <row r="572">
          <cell r="B572" t="str">
            <v>8/ม.ค./50.24.00น.</v>
          </cell>
        </row>
        <row r="573">
          <cell r="B573" t="str">
            <v>9/ม.ค./50.12.00น.</v>
          </cell>
        </row>
        <row r="574">
          <cell r="B574" t="str">
            <v>9/ม.ค./50.24.00น.</v>
          </cell>
        </row>
        <row r="575">
          <cell r="B575" t="str">
            <v>10/ม.ค./50.12.00น.</v>
          </cell>
        </row>
        <row r="576">
          <cell r="B576" t="str">
            <v>10/ม.ค./50.24.00น.</v>
          </cell>
        </row>
        <row r="577">
          <cell r="B577" t="str">
            <v>11/ม.ค./50.12.00น.</v>
          </cell>
        </row>
        <row r="578">
          <cell r="B578" t="str">
            <v>11/ม.ค./50.24.00น.</v>
          </cell>
        </row>
        <row r="579">
          <cell r="B579" t="str">
            <v>12/ม.ค./50.12.00น.</v>
          </cell>
        </row>
        <row r="580">
          <cell r="B580" t="str">
            <v>12/ม.ค./50.24.00น.</v>
          </cell>
        </row>
        <row r="581">
          <cell r="B581" t="str">
            <v>13/ม.ค./50.12.00น.</v>
          </cell>
        </row>
        <row r="582">
          <cell r="B582" t="str">
            <v>13/ม.ค./50.24.00น.</v>
          </cell>
        </row>
        <row r="583">
          <cell r="B583" t="str">
            <v>14/ม.ค./50.12.00น.</v>
          </cell>
        </row>
        <row r="584">
          <cell r="B584" t="str">
            <v>14/ม.ค./50.24.00น.</v>
          </cell>
        </row>
        <row r="585">
          <cell r="B585" t="str">
            <v>15/ม.ค./50.12.00น.</v>
          </cell>
        </row>
        <row r="586">
          <cell r="B586" t="str">
            <v>15/ม.ค./50.24.00น.</v>
          </cell>
        </row>
        <row r="587">
          <cell r="B587" t="str">
            <v>16/ม.ค./50.12.00น.</v>
          </cell>
        </row>
        <row r="588">
          <cell r="B588" t="str">
            <v>16/ม.ค./50.24.00น.</v>
          </cell>
        </row>
        <row r="589">
          <cell r="B589" t="str">
            <v>17/ม.ค./50.12.00น.</v>
          </cell>
        </row>
        <row r="590">
          <cell r="B590" t="str">
            <v>17/ม.ค./50.24.00น.</v>
          </cell>
        </row>
        <row r="591">
          <cell r="B591" t="str">
            <v>18/ม.ค./50.12.00น.</v>
          </cell>
        </row>
        <row r="592">
          <cell r="B592" t="str">
            <v>18/ม.ค./50.24.00น.</v>
          </cell>
        </row>
        <row r="593">
          <cell r="B593" t="str">
            <v>19/ม.ค./50.12.00น.</v>
          </cell>
        </row>
        <row r="594">
          <cell r="B594" t="str">
            <v>19/ม.ค./50.24.00น.</v>
          </cell>
        </row>
        <row r="595">
          <cell r="B595" t="str">
            <v>20/ม.ค./50.12.00น.</v>
          </cell>
        </row>
        <row r="596">
          <cell r="B596" t="str">
            <v>20/ม.ค./50.24.00น.</v>
          </cell>
        </row>
        <row r="597">
          <cell r="B597" t="str">
            <v>21/ม.ค./50.12.00น.</v>
          </cell>
        </row>
        <row r="598">
          <cell r="B598" t="str">
            <v>21/ม.ค./50.24.00น.</v>
          </cell>
        </row>
        <row r="599">
          <cell r="B599" t="str">
            <v>22/ม.ค./50.12.00น.</v>
          </cell>
        </row>
        <row r="600">
          <cell r="B600" t="str">
            <v>22/ม.ค./50.24.00น.</v>
          </cell>
        </row>
        <row r="601">
          <cell r="B601" t="str">
            <v>23/ม.ค./50.12.00น.</v>
          </cell>
        </row>
        <row r="602">
          <cell r="B602" t="str">
            <v>23/ม.ค./50.24.00น.</v>
          </cell>
        </row>
        <row r="603">
          <cell r="B603" t="str">
            <v>24/ม.ค./50.12.00น.</v>
          </cell>
        </row>
        <row r="604">
          <cell r="B604" t="str">
            <v>24/ม.ค./50.24.00น.</v>
          </cell>
        </row>
        <row r="605">
          <cell r="B605" t="str">
            <v>25/ม.ค./50.12.00น.</v>
          </cell>
        </row>
        <row r="606">
          <cell r="B606" t="str">
            <v>25/ม.ค./50.24.00น.</v>
          </cell>
        </row>
        <row r="607">
          <cell r="B607" t="str">
            <v>26/ม.ค./50.12.00น.</v>
          </cell>
        </row>
        <row r="608">
          <cell r="B608" t="str">
            <v>26/ม.ค./50.24.00น.</v>
          </cell>
        </row>
        <row r="609">
          <cell r="B609" t="str">
            <v>27/ม.ค./50.12.00น.</v>
          </cell>
        </row>
        <row r="610">
          <cell r="B610" t="str">
            <v>27/ม.ค./50.24.00น.</v>
          </cell>
        </row>
        <row r="611">
          <cell r="B611" t="str">
            <v>28/ม.ค./50.12.00น.</v>
          </cell>
        </row>
        <row r="612">
          <cell r="B612" t="str">
            <v>28/ม.ค./50.24.00น.</v>
          </cell>
        </row>
        <row r="613">
          <cell r="B613" t="str">
            <v>29/ม.ค./50.12.00น.</v>
          </cell>
        </row>
        <row r="614">
          <cell r="B614" t="str">
            <v>29/ม.ค./50.24.00น.</v>
          </cell>
        </row>
        <row r="615">
          <cell r="B615" t="str">
            <v>30/ม.ค./50.12.00น.</v>
          </cell>
        </row>
        <row r="616">
          <cell r="B616" t="str">
            <v>30/ม.ค./50.24.00น.</v>
          </cell>
        </row>
        <row r="617">
          <cell r="B617" t="str">
            <v>31/ม.ค./50.12.00น.</v>
          </cell>
        </row>
        <row r="618">
          <cell r="B618" t="str">
            <v>31/ม.ค./50.24.00น.</v>
          </cell>
        </row>
        <row r="619">
          <cell r="B619" t="str">
            <v>1/ก.พ./50.12.00น.</v>
          </cell>
        </row>
        <row r="620">
          <cell r="B620" t="str">
            <v>1/ก.พ./50.24.00น.</v>
          </cell>
        </row>
        <row r="621">
          <cell r="B621" t="str">
            <v>2/ก.พ/50.12.00น.</v>
          </cell>
        </row>
        <row r="622">
          <cell r="B622" t="str">
            <v>2/ก.พ/50.24.00น.</v>
          </cell>
        </row>
        <row r="623">
          <cell r="B623" t="str">
            <v>3/ก.พ/50.12.00น.</v>
          </cell>
        </row>
        <row r="624">
          <cell r="B624" t="str">
            <v>3/ก.พ/50.24.00น.</v>
          </cell>
        </row>
        <row r="625">
          <cell r="B625" t="str">
            <v>4/ก.พ/50.12.00น.</v>
          </cell>
        </row>
        <row r="626">
          <cell r="B626" t="str">
            <v>4/ก.พ/50.24.00น.</v>
          </cell>
        </row>
        <row r="627">
          <cell r="B627" t="str">
            <v>5/ก.พ/50.12.00น.</v>
          </cell>
        </row>
        <row r="628">
          <cell r="B628" t="str">
            <v>5/ก.พ/50.24.00น.</v>
          </cell>
        </row>
        <row r="629">
          <cell r="B629" t="str">
            <v>6/ก.พ/50.12.00น.</v>
          </cell>
        </row>
        <row r="630">
          <cell r="B630" t="str">
            <v>6/ก.พ/50.24.00น.</v>
          </cell>
        </row>
        <row r="631">
          <cell r="B631" t="str">
            <v>7/ก.พ/50.12.00น.</v>
          </cell>
        </row>
        <row r="632">
          <cell r="B632" t="str">
            <v>7/ก.พ/50.24.00น.</v>
          </cell>
        </row>
        <row r="633">
          <cell r="B633" t="str">
            <v>8ก.พ/50.12.00น.</v>
          </cell>
        </row>
        <row r="634">
          <cell r="B634" t="str">
            <v>8ก.พ/50.24.00น.</v>
          </cell>
        </row>
        <row r="635">
          <cell r="B635" t="str">
            <v>9ก.พ/50.12.00น.</v>
          </cell>
        </row>
        <row r="636">
          <cell r="B636" t="str">
            <v>9ก.พ/50.24.00น.</v>
          </cell>
        </row>
        <row r="637">
          <cell r="B637" t="str">
            <v>10/ก.พ/50.12.00น.</v>
          </cell>
        </row>
        <row r="638">
          <cell r="B638" t="str">
            <v>10/ก.พ/50.24.00น.</v>
          </cell>
        </row>
        <row r="639">
          <cell r="B639" t="str">
            <v>11/ก.พ/50.12.00น.</v>
          </cell>
        </row>
        <row r="640">
          <cell r="B640" t="str">
            <v>11/ก.พ/50.24.00น.</v>
          </cell>
        </row>
        <row r="641">
          <cell r="B641" t="str">
            <v>12/ก.พ/50.12.00น.</v>
          </cell>
        </row>
        <row r="642">
          <cell r="B642" t="str">
            <v>12/ก.พ/50.24.00น.</v>
          </cell>
        </row>
        <row r="643">
          <cell r="B643" t="str">
            <v>13/ก.พ/50.12.00น.</v>
          </cell>
        </row>
        <row r="644">
          <cell r="B644" t="str">
            <v>13/ก.พ/50.24.00น.</v>
          </cell>
        </row>
        <row r="645">
          <cell r="B645" t="str">
            <v>14/ก.พ/50.12.00น.</v>
          </cell>
        </row>
        <row r="646">
          <cell r="B646" t="str">
            <v>14/ก.พ/50.24.00น.</v>
          </cell>
        </row>
        <row r="647">
          <cell r="B647" t="str">
            <v>15/ก.พ/50.12.00น.</v>
          </cell>
        </row>
        <row r="648">
          <cell r="B648" t="str">
            <v>15/ก.พ/50.24.00น.</v>
          </cell>
        </row>
        <row r="649">
          <cell r="B649" t="str">
            <v>16ก.พ/50.12.00น.</v>
          </cell>
        </row>
        <row r="650">
          <cell r="B650" t="str">
            <v>16ก.พ/50.24.00น.</v>
          </cell>
        </row>
        <row r="651">
          <cell r="B651" t="str">
            <v>17ก.พ/50.12.00น.</v>
          </cell>
        </row>
        <row r="652">
          <cell r="B652" t="str">
            <v>17ก.พ/50.24.00น.</v>
          </cell>
        </row>
        <row r="653">
          <cell r="B653" t="str">
            <v>18/ก.พ/50.12.00น.</v>
          </cell>
        </row>
        <row r="654">
          <cell r="B654" t="str">
            <v>18/ก.พ/50.24.00น.</v>
          </cell>
        </row>
        <row r="655">
          <cell r="B655" t="str">
            <v>19/ก.พ/50.12.00น.</v>
          </cell>
        </row>
        <row r="656">
          <cell r="B656" t="str">
            <v>19/ก.พ/50.24.00น.</v>
          </cell>
        </row>
        <row r="657">
          <cell r="B657" t="str">
            <v>20ก.พ/50.12.00น.</v>
          </cell>
        </row>
        <row r="658">
          <cell r="B658" t="str">
            <v>20ก.พ/50.24.00น.</v>
          </cell>
        </row>
        <row r="659">
          <cell r="B659" t="str">
            <v>21/ก.พ/50.12.00น.</v>
          </cell>
        </row>
        <row r="660">
          <cell r="B660" t="str">
            <v>21/ก.พ/50.24.00น.</v>
          </cell>
        </row>
        <row r="661">
          <cell r="B661" t="str">
            <v>22/ก.พ/50.12.00น.</v>
          </cell>
        </row>
        <row r="662">
          <cell r="B662" t="str">
            <v>22/ก.พ/50.24.00น.</v>
          </cell>
        </row>
        <row r="663">
          <cell r="B663" t="str">
            <v>23/ก.พ/50.12.00น.</v>
          </cell>
        </row>
        <row r="664">
          <cell r="B664" t="str">
            <v>23/ก.พ/50.24.00น.</v>
          </cell>
        </row>
        <row r="665">
          <cell r="B665" t="str">
            <v>24/ก.พ/50.12.00น.</v>
          </cell>
        </row>
        <row r="666">
          <cell r="B666" t="str">
            <v>24/ก.พ/50.24.00น.</v>
          </cell>
        </row>
        <row r="667">
          <cell r="B667" t="str">
            <v>25/ก.พ/50.12.00น.</v>
          </cell>
        </row>
        <row r="668">
          <cell r="B668" t="str">
            <v>25/ก.พ/50.24.00น.</v>
          </cell>
        </row>
        <row r="669">
          <cell r="B669" t="str">
            <v>26/ก.พ/50.12.00น.</v>
          </cell>
        </row>
        <row r="670">
          <cell r="B670" t="str">
            <v>26/ก.พ/50.24.00น.</v>
          </cell>
        </row>
        <row r="671">
          <cell r="B671" t="str">
            <v>27/ก.พ/50.12.00น.</v>
          </cell>
        </row>
        <row r="672">
          <cell r="B672" t="str">
            <v>27/ก.พ/50.24.00น.</v>
          </cell>
        </row>
        <row r="673">
          <cell r="B673" t="str">
            <v>28/ก.พ/50.12.00น.</v>
          </cell>
        </row>
        <row r="674">
          <cell r="B674" t="str">
            <v>28/ก.พ/50.24.00น.</v>
          </cell>
        </row>
        <row r="675">
          <cell r="B675" t="str">
            <v>1/มี.ค./50.12.00น.</v>
          </cell>
        </row>
        <row r="676">
          <cell r="B676" t="str">
            <v>1/มี.ค./50.24.00น.</v>
          </cell>
        </row>
        <row r="677">
          <cell r="B677" t="str">
            <v>2/มี.ค./50.12.00น.</v>
          </cell>
        </row>
        <row r="678">
          <cell r="B678" t="str">
            <v>2/มี.ค./50.24.00น.</v>
          </cell>
        </row>
        <row r="679">
          <cell r="B679" t="str">
            <v>3/มี.ค./50.12.00น.</v>
          </cell>
        </row>
        <row r="680">
          <cell r="B680" t="str">
            <v>3/มี.ค./50.24.00น.</v>
          </cell>
        </row>
        <row r="681">
          <cell r="B681" t="str">
            <v>4/มี.ค./50.12.00น.</v>
          </cell>
        </row>
        <row r="682">
          <cell r="B682" t="str">
            <v>4/มี.ค./50.24.00น.</v>
          </cell>
        </row>
        <row r="683">
          <cell r="B683" t="str">
            <v>5/มี.ค./50.12.00น.</v>
          </cell>
        </row>
        <row r="684">
          <cell r="B684" t="str">
            <v>5/มี.ค./50.24.00น.</v>
          </cell>
        </row>
        <row r="685">
          <cell r="B685" t="str">
            <v>6/มี.ค./50.12.00น.</v>
          </cell>
        </row>
        <row r="686">
          <cell r="B686" t="str">
            <v>6/มี.ค./50.24.00น.</v>
          </cell>
        </row>
        <row r="687">
          <cell r="B687" t="str">
            <v>7/มี.ค./50.12.00น.</v>
          </cell>
        </row>
        <row r="688">
          <cell r="B688" t="str">
            <v>7/มี.ค./50.24.00น.</v>
          </cell>
        </row>
        <row r="689">
          <cell r="B689" t="str">
            <v>8/มี.ค./50.12.00น.</v>
          </cell>
        </row>
        <row r="690">
          <cell r="B690" t="str">
            <v>8/มี.ค./50.24.00น.</v>
          </cell>
        </row>
        <row r="691">
          <cell r="B691" t="str">
            <v>9/มี.ค./50.12.00น.</v>
          </cell>
        </row>
        <row r="692">
          <cell r="B692" t="str">
            <v>9/มี.ค./50.24.00น.</v>
          </cell>
        </row>
        <row r="693">
          <cell r="B693" t="str">
            <v>10/มี.ค./50.12.00น.</v>
          </cell>
        </row>
        <row r="694">
          <cell r="B694" t="str">
            <v>10/มี.ค./50.24.00น.</v>
          </cell>
        </row>
        <row r="695">
          <cell r="B695" t="str">
            <v>11/มี.ค./50.12.00น.</v>
          </cell>
        </row>
        <row r="696">
          <cell r="B696" t="str">
            <v>11/มี.ค./50.24.00น.</v>
          </cell>
        </row>
        <row r="697">
          <cell r="B697" t="str">
            <v>12/มี.ค./50.12.00น.</v>
          </cell>
        </row>
        <row r="698">
          <cell r="B698" t="str">
            <v>12/มี.ค./50.24.00น.</v>
          </cell>
        </row>
        <row r="699">
          <cell r="B699" t="str">
            <v>13/มี.ค./50.12.00น.</v>
          </cell>
        </row>
        <row r="700">
          <cell r="B700" t="str">
            <v>13/มี.ค./50.24.00น.</v>
          </cell>
        </row>
        <row r="701">
          <cell r="B701" t="str">
            <v>14/มี.ค./50.12.00น.</v>
          </cell>
        </row>
        <row r="702">
          <cell r="B702" t="str">
            <v>14/มี.ค./50.24.00น.</v>
          </cell>
        </row>
        <row r="703">
          <cell r="B703" t="str">
            <v>15/มี.ค./50.12.00น.</v>
          </cell>
        </row>
        <row r="704">
          <cell r="B704" t="str">
            <v>15/มี.ค./50.24.00น.</v>
          </cell>
        </row>
        <row r="705">
          <cell r="B705" t="str">
            <v>16/มี.ค./50.12.00น.</v>
          </cell>
        </row>
        <row r="706">
          <cell r="B706" t="str">
            <v>16/มี.ค./50.24.00น.</v>
          </cell>
        </row>
        <row r="707">
          <cell r="B707" t="str">
            <v>17/มี.ค./50.12.00น.</v>
          </cell>
        </row>
        <row r="708">
          <cell r="B708" t="str">
            <v>17/มี.ค./50.24.00น.</v>
          </cell>
        </row>
        <row r="709">
          <cell r="B709" t="str">
            <v>18/มี.ค./50.12.00น.</v>
          </cell>
        </row>
        <row r="710">
          <cell r="B710" t="str">
            <v>18/มี.ค./50.24.00น.</v>
          </cell>
        </row>
        <row r="711">
          <cell r="B711" t="str">
            <v>19/มี.ค./50.12.00น.</v>
          </cell>
        </row>
        <row r="712">
          <cell r="B712" t="str">
            <v>19/มี.ค./50.24.00น.</v>
          </cell>
        </row>
        <row r="713">
          <cell r="B713" t="str">
            <v>20/มี.ค./50.12.00น.</v>
          </cell>
        </row>
        <row r="714">
          <cell r="B714" t="str">
            <v>20/มี.ค./50.24.00น.</v>
          </cell>
        </row>
        <row r="715">
          <cell r="B715" t="str">
            <v>21/มี.ค./50.12.00น.</v>
          </cell>
        </row>
        <row r="716">
          <cell r="B716" t="str">
            <v>21/มี.ค./50.24.00น.</v>
          </cell>
        </row>
        <row r="717">
          <cell r="B717" t="str">
            <v>22/มี.ค./50.12.00น.</v>
          </cell>
        </row>
        <row r="718">
          <cell r="B718" t="str">
            <v>22/มี.ค./50.24.00น.</v>
          </cell>
        </row>
        <row r="719">
          <cell r="B719" t="str">
            <v>23/มี.ค./50.12.00น.</v>
          </cell>
        </row>
        <row r="720">
          <cell r="B720" t="str">
            <v>23/มี.ค./50.24.00น.</v>
          </cell>
        </row>
        <row r="721">
          <cell r="B721" t="str">
            <v>24/มี.ค./50.12.00น.</v>
          </cell>
        </row>
        <row r="722">
          <cell r="B722" t="str">
            <v>24/มี.ค./50.24.00น.</v>
          </cell>
        </row>
        <row r="723">
          <cell r="B723" t="str">
            <v>25/มี.ค./50.12.00น.</v>
          </cell>
        </row>
        <row r="724">
          <cell r="B724" t="str">
            <v>25/มี.ค./50.24.00น.</v>
          </cell>
        </row>
        <row r="725">
          <cell r="B725" t="str">
            <v>26/มี.ค./50.12.00น.</v>
          </cell>
        </row>
        <row r="726">
          <cell r="B726" t="str">
            <v>26/มี.ค./50.24.00น.</v>
          </cell>
        </row>
        <row r="727">
          <cell r="B727" t="str">
            <v>27/มี.ค./50.12.00น.</v>
          </cell>
        </row>
        <row r="728">
          <cell r="B728" t="str">
            <v>27/มี.ค./50.24.00น.</v>
          </cell>
        </row>
        <row r="729">
          <cell r="B729" t="str">
            <v>28/มี.ค./50.12.00น.</v>
          </cell>
        </row>
        <row r="730">
          <cell r="B730" t="str">
            <v>28/มี.ค./50.24.00น.</v>
          </cell>
        </row>
        <row r="731">
          <cell r="B731" t="str">
            <v>29/มี.ค./50.12.00น.</v>
          </cell>
        </row>
        <row r="732">
          <cell r="B732" t="str">
            <v>29/มี.ค./50.24.00น.</v>
          </cell>
        </row>
        <row r="733">
          <cell r="B733" t="str">
            <v>30/มี.ค./50.12.00น.</v>
          </cell>
        </row>
        <row r="734">
          <cell r="B734" t="str">
            <v>30/มี.ค./50.24.00น.</v>
          </cell>
        </row>
        <row r="735">
          <cell r="B735" t="str">
            <v>31/มี.ค./50.12.00น.</v>
          </cell>
        </row>
        <row r="736">
          <cell r="B736" t="str">
            <v>31/มี.ค./50.24.00น.</v>
          </cell>
        </row>
        <row r="737">
          <cell r="B737" t="str">
            <v>1/เม.ย./50.12.00น.</v>
          </cell>
        </row>
        <row r="738">
          <cell r="B738" t="str">
            <v>1/เม.ย./50.24.00น.</v>
          </cell>
        </row>
        <row r="739">
          <cell r="B739" t="str">
            <v>2/เม.ย./50.12.00น.</v>
          </cell>
        </row>
        <row r="740">
          <cell r="B740" t="str">
            <v>2/เม.ย./50.24.00น.</v>
          </cell>
        </row>
        <row r="741">
          <cell r="B741" t="str">
            <v>3/เม.ย./50.12.00น.</v>
          </cell>
        </row>
        <row r="742">
          <cell r="B742" t="str">
            <v>3/เม.ย./50.24.00น.</v>
          </cell>
        </row>
        <row r="743">
          <cell r="B743" t="str">
            <v>4/เม.ย./50.12.00น.</v>
          </cell>
        </row>
        <row r="744">
          <cell r="B744" t="str">
            <v>4/เม.ย./50.24.00น.</v>
          </cell>
        </row>
        <row r="745">
          <cell r="B745" t="str">
            <v>5/เม.ย./50.12.00น.</v>
          </cell>
        </row>
        <row r="746">
          <cell r="B746" t="str">
            <v>5/เม.ย./50.24.00น.</v>
          </cell>
        </row>
        <row r="747">
          <cell r="B747" t="str">
            <v>6/เม.ย./50.12.00น.</v>
          </cell>
        </row>
        <row r="748">
          <cell r="B748" t="str">
            <v>6/เม.ย./50.24.00น.</v>
          </cell>
        </row>
        <row r="749">
          <cell r="B749" t="str">
            <v>7/เม.ย./50.12.00น.</v>
          </cell>
        </row>
        <row r="750">
          <cell r="B750" t="str">
            <v>7/เม.ย./50.24.00น.</v>
          </cell>
        </row>
        <row r="751">
          <cell r="B751" t="str">
            <v>8/เม.ย./50.12.00น.</v>
          </cell>
        </row>
        <row r="752">
          <cell r="B752" t="str">
            <v>8/เม.ย./50.24.00น.</v>
          </cell>
        </row>
        <row r="753">
          <cell r="B753" t="str">
            <v>9/เม.ย./50.12.00น.</v>
          </cell>
        </row>
        <row r="754">
          <cell r="B754" t="str">
            <v>9/เม.ย./50.24.00น.</v>
          </cell>
        </row>
        <row r="755">
          <cell r="B755" t="str">
            <v>10/เม.ย./50.12.00น.</v>
          </cell>
        </row>
        <row r="756">
          <cell r="B756" t="str">
            <v>10/เม.ย./50.24.00น.</v>
          </cell>
        </row>
        <row r="757">
          <cell r="B757" t="str">
            <v>11/เม.ย./50.12.00น.</v>
          </cell>
        </row>
        <row r="758">
          <cell r="B758" t="str">
            <v>11/เม.ย./50.24.00น.</v>
          </cell>
        </row>
        <row r="759">
          <cell r="B759" t="str">
            <v>12/เม.ย./50.12.00น.</v>
          </cell>
        </row>
        <row r="760">
          <cell r="B760" t="str">
            <v>12/เม.ย./50.24.00น.</v>
          </cell>
        </row>
        <row r="761">
          <cell r="B761" t="str">
            <v>13/เม.ย./50.12.00น.</v>
          </cell>
        </row>
        <row r="762">
          <cell r="B762" t="str">
            <v>13/เม.ย./50.24.00น.</v>
          </cell>
        </row>
        <row r="763">
          <cell r="B763" t="str">
            <v>14/เม.ย./50.12.00น.</v>
          </cell>
        </row>
        <row r="764">
          <cell r="B764" t="str">
            <v>14/เม.ย./50.24.00น.</v>
          </cell>
        </row>
        <row r="765">
          <cell r="B765" t="str">
            <v>15/เม.ย./50.12.00น.</v>
          </cell>
        </row>
        <row r="766">
          <cell r="B766" t="str">
            <v>15/เม.ย./50.24.00น.</v>
          </cell>
        </row>
        <row r="767">
          <cell r="B767" t="str">
            <v>16/เม.ย./50.12.00น.</v>
          </cell>
        </row>
        <row r="768">
          <cell r="B768" t="str">
            <v>16/เม.ย./50.24.00น.</v>
          </cell>
        </row>
        <row r="769">
          <cell r="B769" t="str">
            <v>17/เม.ย./50.12.00น.</v>
          </cell>
        </row>
        <row r="770">
          <cell r="B770" t="str">
            <v>17/เม.ย./50.24.00น.</v>
          </cell>
        </row>
        <row r="771">
          <cell r="B771" t="str">
            <v>18/เม.ย./50.12.00น.</v>
          </cell>
        </row>
        <row r="772">
          <cell r="B772" t="str">
            <v>18/เม.ย./50.24.00น.</v>
          </cell>
        </row>
        <row r="773">
          <cell r="B773" t="str">
            <v>19/เม.ย./50.12.00น.</v>
          </cell>
        </row>
        <row r="774">
          <cell r="B774" t="str">
            <v>19/เม.ย./50.24.00น.</v>
          </cell>
        </row>
        <row r="775">
          <cell r="B775" t="str">
            <v>20/เม.ย./50.12.00น.</v>
          </cell>
        </row>
        <row r="776">
          <cell r="B776" t="str">
            <v>20/เม.ย./50.24.00น.</v>
          </cell>
        </row>
        <row r="777">
          <cell r="B777" t="str">
            <v>21/เม.ย./50.12.00น.</v>
          </cell>
        </row>
        <row r="778">
          <cell r="B778" t="str">
            <v>21/เม.ย./50.24.00น.</v>
          </cell>
        </row>
        <row r="779">
          <cell r="B779" t="str">
            <v>22/เม.ย./50.12.00น.</v>
          </cell>
        </row>
        <row r="780">
          <cell r="B780" t="str">
            <v>22/เม.ย./50.24.00น.</v>
          </cell>
        </row>
        <row r="781">
          <cell r="B781" t="str">
            <v>23/เม.ย./50.12.00น.</v>
          </cell>
        </row>
        <row r="782">
          <cell r="B782" t="str">
            <v>23/เม.ย./50.24.00น.</v>
          </cell>
        </row>
        <row r="783">
          <cell r="B783" t="str">
            <v>24/เม.ย./50.12.00น.</v>
          </cell>
        </row>
        <row r="784">
          <cell r="B784" t="str">
            <v>24/เม.ย./50.24.00น.</v>
          </cell>
        </row>
        <row r="785">
          <cell r="B785" t="str">
            <v>25/เม.ย./50.12.00น.</v>
          </cell>
        </row>
        <row r="786">
          <cell r="B786" t="str">
            <v>25/เม.ย./50.24.00น.</v>
          </cell>
        </row>
        <row r="787">
          <cell r="B787" t="str">
            <v>26/เม.ย./50.12.00น.</v>
          </cell>
        </row>
        <row r="788">
          <cell r="B788" t="str">
            <v>26/เม.ย./50.24.00น.</v>
          </cell>
        </row>
        <row r="789">
          <cell r="B789" t="str">
            <v>27/เม.ย./50.12.00น.</v>
          </cell>
        </row>
        <row r="790">
          <cell r="B790" t="str">
            <v>27/เม.ย./50.24.00น.</v>
          </cell>
        </row>
        <row r="791">
          <cell r="B791" t="str">
            <v>28/เม.ย./50.12.00น.</v>
          </cell>
        </row>
        <row r="792">
          <cell r="B792" t="str">
            <v>28/เม.ย./50.24.00น.</v>
          </cell>
        </row>
        <row r="793">
          <cell r="B793" t="str">
            <v>29/เม.ย./50.12.00น.</v>
          </cell>
        </row>
        <row r="794">
          <cell r="B794" t="str">
            <v>29/เม.ย./50.24.00น.</v>
          </cell>
        </row>
        <row r="795">
          <cell r="B795" t="str">
            <v>30/เม.ย./50.12.00น.</v>
          </cell>
        </row>
        <row r="796">
          <cell r="B796" t="str">
            <v>30/เม.ย./50.24.00น.</v>
          </cell>
        </row>
        <row r="797">
          <cell r="B797" t="str">
            <v>1/พ.ค./50.12.00น.</v>
          </cell>
        </row>
        <row r="798">
          <cell r="B798" t="str">
            <v>1/พ.ค./50.24.00น.</v>
          </cell>
        </row>
        <row r="799">
          <cell r="B799" t="str">
            <v>2/พ.ค./50.12.00น.</v>
          </cell>
        </row>
        <row r="800">
          <cell r="B800" t="str">
            <v>2/พ.ค./50.24.00น.</v>
          </cell>
        </row>
        <row r="801">
          <cell r="B801" t="str">
            <v>3/พ.ค./50.12.00น.</v>
          </cell>
        </row>
        <row r="802">
          <cell r="B802" t="str">
            <v>3 พ.ค. 50.24.00น.</v>
          </cell>
        </row>
        <row r="803">
          <cell r="B803" t="str">
            <v>4 พ.ค. 50.12.00น.</v>
          </cell>
        </row>
        <row r="804">
          <cell r="B804" t="str">
            <v>4 พ.ค. 50.24.00น.</v>
          </cell>
        </row>
        <row r="805">
          <cell r="B805" t="str">
            <v>5 พ.ค. 50.12.00น.</v>
          </cell>
        </row>
        <row r="806">
          <cell r="B806" t="str">
            <v>5 พ.ค. 50.24.00น.</v>
          </cell>
        </row>
        <row r="807">
          <cell r="B807" t="str">
            <v>6 พ.ค. 50.12.00น.</v>
          </cell>
        </row>
        <row r="808">
          <cell r="B808" t="str">
            <v>6 พ.ค. 50.24.00น.</v>
          </cell>
        </row>
        <row r="809">
          <cell r="B809" t="str">
            <v>7 พ.ค. 50.12.00น.</v>
          </cell>
        </row>
        <row r="810">
          <cell r="B810" t="str">
            <v>7 พ.ค. 50.24.00น.</v>
          </cell>
        </row>
        <row r="811">
          <cell r="B811" t="str">
            <v>8 พ.ค. 50.12.00น.</v>
          </cell>
        </row>
        <row r="812">
          <cell r="B812" t="str">
            <v>8 พ.ค. 50.24.00น.</v>
          </cell>
        </row>
        <row r="813">
          <cell r="B813" t="str">
            <v>9 พ.ค. 50.12.00น.</v>
          </cell>
        </row>
        <row r="814">
          <cell r="B814" t="str">
            <v>9 พ.ค. 50.24.00น.</v>
          </cell>
        </row>
        <row r="815">
          <cell r="B815" t="str">
            <v>10 พ.ค. 50.12.00น.</v>
          </cell>
        </row>
        <row r="816">
          <cell r="B816" t="str">
            <v>10 พ.ค. 50.24.00น.</v>
          </cell>
        </row>
        <row r="817">
          <cell r="B817" t="str">
            <v>11 พ.ค. 50.12.00น.</v>
          </cell>
        </row>
        <row r="818">
          <cell r="B818" t="str">
            <v>11 พ.ค. 50.24.00น.</v>
          </cell>
        </row>
        <row r="819">
          <cell r="B819" t="str">
            <v>12 พ.ค. 50.12.00น.</v>
          </cell>
        </row>
        <row r="820">
          <cell r="B820" t="str">
            <v>12 พ.ค. 50.24.00น.</v>
          </cell>
        </row>
        <row r="821">
          <cell r="B821" t="str">
            <v>13 พ.ค. 50.12.00น.</v>
          </cell>
        </row>
        <row r="822">
          <cell r="B822" t="str">
            <v>13 พ.ค. 50.24.00น.</v>
          </cell>
        </row>
        <row r="823">
          <cell r="B823" t="str">
            <v>14 พ.ค. 50.12.00น.</v>
          </cell>
        </row>
        <row r="824">
          <cell r="B824" t="str">
            <v>14 พ.ค. 50.24.00น.</v>
          </cell>
        </row>
        <row r="825">
          <cell r="B825" t="str">
            <v>15 พ.ค. 50.12.00น.</v>
          </cell>
        </row>
        <row r="826">
          <cell r="B826" t="str">
            <v>15 พ.ค. 50.24.00น.</v>
          </cell>
        </row>
        <row r="827">
          <cell r="B827" t="str">
            <v>16 พ.ค. 50.12.00น.</v>
          </cell>
        </row>
        <row r="828">
          <cell r="B828" t="str">
            <v>16 พ.ค. 50.24.00น.</v>
          </cell>
        </row>
        <row r="829">
          <cell r="B829" t="str">
            <v>17 พ.ค. 50.12.00น.</v>
          </cell>
        </row>
        <row r="830">
          <cell r="B830" t="str">
            <v>17 พ.ค. 50.24.00น.</v>
          </cell>
        </row>
        <row r="831">
          <cell r="B831" t="str">
            <v>18 พ.ค. 50.12.00น.</v>
          </cell>
        </row>
        <row r="832">
          <cell r="B832" t="str">
            <v>18 พ.ค. 50.24.00น.</v>
          </cell>
        </row>
        <row r="833">
          <cell r="B833" t="str">
            <v>19 พ.ค. 50.12.00น.</v>
          </cell>
        </row>
        <row r="834">
          <cell r="B834" t="str">
            <v>19 พ.ค. 50.24.00น.</v>
          </cell>
        </row>
        <row r="835">
          <cell r="B835" t="str">
            <v>20 พ.ค. 50.12.00น.</v>
          </cell>
        </row>
        <row r="836">
          <cell r="B836" t="str">
            <v>20 พ.ค. 50.24.00น.</v>
          </cell>
        </row>
        <row r="837">
          <cell r="B837" t="str">
            <v>21 พ.ค. 50.12.00น.</v>
          </cell>
        </row>
        <row r="838">
          <cell r="B838" t="str">
            <v>21 พ.ค. 50.24.00น.</v>
          </cell>
        </row>
        <row r="839">
          <cell r="B839" t="str">
            <v>22 พ.ค. 50.12.00น.</v>
          </cell>
        </row>
        <row r="840">
          <cell r="B840" t="str">
            <v>22 พ.ค. 50.24.00น.</v>
          </cell>
        </row>
        <row r="841">
          <cell r="B841" t="str">
            <v>23 พ.ค. 50.12.00น.</v>
          </cell>
        </row>
        <row r="842">
          <cell r="B842" t="str">
            <v>23 พ.ค. 50.24.00น.</v>
          </cell>
        </row>
        <row r="843">
          <cell r="B843" t="str">
            <v>24 พ.ค. 50.12.00น.</v>
          </cell>
        </row>
        <row r="844">
          <cell r="B844" t="str">
            <v>24 พ.ค. 50.24.00น.</v>
          </cell>
        </row>
        <row r="845">
          <cell r="B845" t="str">
            <v>25 พ.ค. 50.12.00น.</v>
          </cell>
        </row>
        <row r="846">
          <cell r="B846" t="str">
            <v>25 พ.ค. 50.24.00น.</v>
          </cell>
        </row>
        <row r="847">
          <cell r="B847" t="str">
            <v>26 พ.ค. 50.12.00น.</v>
          </cell>
        </row>
        <row r="848">
          <cell r="B848" t="str">
            <v>26 พ.ค. 50.24.00น.</v>
          </cell>
        </row>
        <row r="849">
          <cell r="B849" t="str">
            <v>27 พ.ค. 50.12.00น.</v>
          </cell>
        </row>
        <row r="850">
          <cell r="B850" t="str">
            <v>27 พ.ค. 50.24.00น.</v>
          </cell>
        </row>
        <row r="851">
          <cell r="B851" t="str">
            <v>28 พ.ค. 50.12.00น.</v>
          </cell>
        </row>
        <row r="852">
          <cell r="B852" t="str">
            <v>28 พ.ค. 50.24.00น.</v>
          </cell>
        </row>
        <row r="853">
          <cell r="B853" t="str">
            <v>29 พ.ค. 50.12.00น.</v>
          </cell>
        </row>
        <row r="854">
          <cell r="B854" t="str">
            <v>29 พ.ค. 50.24.00น.</v>
          </cell>
        </row>
        <row r="855">
          <cell r="B855" t="str">
            <v>30 พ.ค. 50.12.00น.</v>
          </cell>
        </row>
        <row r="856">
          <cell r="B856" t="str">
            <v>30 พ.ค. 50.24.00น.</v>
          </cell>
        </row>
        <row r="857">
          <cell r="B857" t="str">
            <v>31 พ.ค. 50.12.00น.</v>
          </cell>
        </row>
        <row r="858">
          <cell r="B858" t="str">
            <v>31 พ.ค. 50.24.00น.</v>
          </cell>
        </row>
        <row r="859">
          <cell r="B859" t="str">
            <v>1 มิ.ย. 50.12.00น.</v>
          </cell>
        </row>
        <row r="860">
          <cell r="B860" t="str">
            <v>1 มิ.ย. 50.24.00น.</v>
          </cell>
        </row>
        <row r="861">
          <cell r="B861" t="str">
            <v>2 มิ.ย. 50.12.00น.</v>
          </cell>
        </row>
        <row r="862">
          <cell r="B862" t="str">
            <v>2 มิ.ย. 50.24.00น.</v>
          </cell>
        </row>
        <row r="863">
          <cell r="B863" t="str">
            <v>3 มิ.ย. 50.12.00น.</v>
          </cell>
        </row>
        <row r="864">
          <cell r="B864" t="str">
            <v>3 มิ.ย. 50.24.00น.</v>
          </cell>
        </row>
        <row r="865">
          <cell r="B865" t="str">
            <v>4 มิ.ย. 50.12.00น.</v>
          </cell>
        </row>
        <row r="866">
          <cell r="B866" t="str">
            <v>4 มิ.ย. 50.24.00น.</v>
          </cell>
        </row>
        <row r="867">
          <cell r="B867" t="str">
            <v>5 มิ.ย. 50.12.00น.</v>
          </cell>
        </row>
        <row r="868">
          <cell r="B868" t="str">
            <v>5 มิ.ย. 50.24.00น.</v>
          </cell>
        </row>
        <row r="869">
          <cell r="B869" t="str">
            <v>6 มิ.ย. 50.12.00น.</v>
          </cell>
        </row>
        <row r="870">
          <cell r="B870" t="str">
            <v>6 มิ.ย. 50.24.00น.</v>
          </cell>
        </row>
        <row r="871">
          <cell r="B871" t="str">
            <v>7 มิ.ย. 50.12.00น.</v>
          </cell>
        </row>
        <row r="872">
          <cell r="B872" t="str">
            <v>7 มิ.ย. 50.24.00น.</v>
          </cell>
        </row>
        <row r="873">
          <cell r="B873" t="str">
            <v>8 มิ.ย. 50.12.00น.</v>
          </cell>
        </row>
        <row r="874">
          <cell r="B874" t="str">
            <v>8 มิ.ย. 50.24.00น.</v>
          </cell>
        </row>
        <row r="875">
          <cell r="B875" t="str">
            <v>9 มิ.ย. 50.12.00น.</v>
          </cell>
        </row>
        <row r="876">
          <cell r="B876" t="str">
            <v>9 มิ.ย. 50.24.00น.</v>
          </cell>
        </row>
        <row r="877">
          <cell r="B877" t="str">
            <v>10 มิ.ย. 50.12.00น.</v>
          </cell>
        </row>
        <row r="878">
          <cell r="B878" t="str">
            <v>10 มิ.ย. 50.24.00น.</v>
          </cell>
        </row>
        <row r="879">
          <cell r="B879" t="str">
            <v>11 มิ.ย. 50.12.00น.</v>
          </cell>
        </row>
        <row r="880">
          <cell r="B880" t="str">
            <v>11 มิ.ย. 50.24.00น.</v>
          </cell>
        </row>
        <row r="881">
          <cell r="B881" t="str">
            <v>12 มิ.ย. 50.12.00น.</v>
          </cell>
        </row>
        <row r="882">
          <cell r="B882" t="str">
            <v>12 มิ.ย. 50.24.00น.</v>
          </cell>
        </row>
        <row r="883">
          <cell r="B883" t="str">
            <v>13 มิ.ย. 50.12.00น.</v>
          </cell>
        </row>
        <row r="884">
          <cell r="B884" t="str">
            <v>13 มิ.ย. 50.24.00น.</v>
          </cell>
        </row>
        <row r="885">
          <cell r="B885" t="str">
            <v>14 มิ.ย. 50.12.00น.</v>
          </cell>
        </row>
        <row r="886">
          <cell r="B886" t="str">
            <v>14 มิ.ย. 50.24.00น.</v>
          </cell>
        </row>
        <row r="887">
          <cell r="B887" t="str">
            <v>15 มิ.ย. 50.12.00น.</v>
          </cell>
        </row>
        <row r="888">
          <cell r="B888" t="str">
            <v>15 มิ.ย. 50.24.00น.</v>
          </cell>
        </row>
        <row r="889">
          <cell r="B889" t="str">
            <v>16 มิ.ย. 50.12.00น.</v>
          </cell>
        </row>
        <row r="890">
          <cell r="B890" t="str">
            <v>16 มิ.ย. 50.24.00น.</v>
          </cell>
        </row>
        <row r="891">
          <cell r="B891" t="str">
            <v>17 มิ.ย. 50.12.00น.</v>
          </cell>
        </row>
        <row r="892">
          <cell r="B892" t="str">
            <v>17 มิ.ย. 50.24.00น.</v>
          </cell>
        </row>
      </sheetData>
      <sheetData sheetId="13" refreshError="1"/>
      <sheetData sheetId="14" refreshError="1"/>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T"/>
    </sheetNames>
    <definedNames>
      <definedName name="OneStepChart"/>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U44"/>
  <sheetViews>
    <sheetView tabSelected="1" zoomScale="70" zoomScaleNormal="70" workbookViewId="0">
      <pane xSplit="2" ySplit="6" topLeftCell="G13" activePane="bottomRight" state="frozen"/>
      <selection pane="topRight" activeCell="C1" sqref="C1"/>
      <selection pane="bottomLeft" activeCell="A7" sqref="A7"/>
      <selection pane="bottomRight" activeCell="K41" sqref="K41"/>
    </sheetView>
  </sheetViews>
  <sheetFormatPr defaultRowHeight="14.4"/>
  <cols>
    <col min="1" max="1" width="38.77734375" style="492" customWidth="1"/>
    <col min="3" max="3" width="10.33203125" customWidth="1"/>
    <col min="4" max="5" width="10.44140625" customWidth="1"/>
    <col min="6" max="19" width="10.44140625" bestFit="1" customWidth="1"/>
    <col min="20" max="20" width="10.5546875" style="3" bestFit="1" customWidth="1"/>
    <col min="21" max="21" width="15.88671875" bestFit="1" customWidth="1"/>
  </cols>
  <sheetData>
    <row r="1" spans="1:21">
      <c r="A1" s="492" t="s">
        <v>214</v>
      </c>
      <c r="B1" s="2" t="s">
        <v>43</v>
      </c>
      <c r="C1" s="297">
        <v>200.00475408799599</v>
      </c>
      <c r="D1" s="297">
        <v>180.7371222570533</v>
      </c>
      <c r="E1" s="297">
        <v>202.46136608303385</v>
      </c>
      <c r="F1" s="297">
        <v>187.53</v>
      </c>
      <c r="G1" s="297">
        <v>203.11200000000002</v>
      </c>
      <c r="H1" s="297">
        <v>196.56</v>
      </c>
      <c r="I1" s="297">
        <v>150.69829090909093</v>
      </c>
      <c r="J1" s="297">
        <v>203.11200000000002</v>
      </c>
      <c r="K1" s="297">
        <v>184.72800000000001</v>
      </c>
      <c r="L1" s="297">
        <v>159.51758748120392</v>
      </c>
      <c r="M1" s="297">
        <v>197.83230445752736</v>
      </c>
      <c r="N1" s="297">
        <v>201.4497760022428</v>
      </c>
      <c r="O1" s="297">
        <v>204.88926380712081</v>
      </c>
      <c r="P1" s="297">
        <v>185.06127053546396</v>
      </c>
      <c r="Q1" s="297">
        <v>203.24626380712081</v>
      </c>
      <c r="R1" s="297">
        <v>196.68993271656853</v>
      </c>
      <c r="S1" s="297">
        <v>196.68993271656853</v>
      </c>
      <c r="T1" s="498"/>
    </row>
    <row r="2" spans="1:21">
      <c r="A2" s="492" t="s">
        <v>176</v>
      </c>
      <c r="B2" s="2" t="s">
        <v>43</v>
      </c>
      <c r="C2" s="210">
        <f t="shared" ref="C2:Q2" si="0">C7-C1</f>
        <v>-0.99693893053157012</v>
      </c>
      <c r="D2" s="210">
        <f t="shared" si="0"/>
        <v>1.5036723472260292</v>
      </c>
      <c r="E2" s="210">
        <f t="shared" si="0"/>
        <v>1.4694360233963266</v>
      </c>
      <c r="F2" s="210">
        <f t="shared" si="0"/>
        <v>-3.1503056426332421</v>
      </c>
      <c r="G2" s="210">
        <f t="shared" si="0"/>
        <v>0.50199999999998113</v>
      </c>
      <c r="H2" s="210">
        <f t="shared" si="0"/>
        <v>0</v>
      </c>
      <c r="I2" s="210">
        <f t="shared" si="0"/>
        <v>4.7709090909080487E-2</v>
      </c>
      <c r="J2" s="210">
        <f t="shared" si="0"/>
        <v>0</v>
      </c>
      <c r="K2" s="210">
        <f t="shared" si="0"/>
        <v>-1.103999999999985</v>
      </c>
      <c r="L2" s="210">
        <f t="shared" si="0"/>
        <v>0</v>
      </c>
      <c r="M2" s="210">
        <f t="shared" si="0"/>
        <v>0</v>
      </c>
      <c r="N2" s="210">
        <f t="shared" si="0"/>
        <v>0</v>
      </c>
      <c r="O2" s="210">
        <f t="shared" si="0"/>
        <v>-16.586764227642249</v>
      </c>
      <c r="P2" s="210">
        <f t="shared" si="0"/>
        <v>-14.981593495934959</v>
      </c>
      <c r="Q2" s="210">
        <f t="shared" si="0"/>
        <v>-14.943764227642248</v>
      </c>
      <c r="R2" s="210">
        <f t="shared" ref="R2:S2" si="1">R7-R1</f>
        <v>-19.080243902439008</v>
      </c>
      <c r="S2" s="210">
        <f t="shared" si="1"/>
        <v>-13.159920941968011</v>
      </c>
      <c r="T2" s="498"/>
    </row>
    <row r="3" spans="1:21">
      <c r="A3" s="492" t="s">
        <v>171</v>
      </c>
      <c r="B3" s="2" t="s">
        <v>43</v>
      </c>
      <c r="C3" s="297">
        <v>46.417000000000002</v>
      </c>
      <c r="D3" s="297">
        <v>44.466758620689653</v>
      </c>
      <c r="E3" s="297">
        <v>48.368068965517239</v>
      </c>
      <c r="F3" s="297">
        <v>45.692999999999998</v>
      </c>
      <c r="G3" s="297">
        <v>48.36</v>
      </c>
      <c r="H3" s="297">
        <v>46.8</v>
      </c>
      <c r="I3" s="297">
        <v>48.36</v>
      </c>
      <c r="J3" s="297">
        <v>48.36</v>
      </c>
      <c r="K3" s="297">
        <v>46.8</v>
      </c>
      <c r="L3" s="297">
        <v>46.692413793103455</v>
      </c>
      <c r="M3" s="297">
        <v>45.186206896551731</v>
      </c>
      <c r="N3" s="297">
        <v>47.526206896551727</v>
      </c>
      <c r="O3" s="297">
        <v>47.526206896551727</v>
      </c>
      <c r="P3" s="297">
        <v>42.926896551724141</v>
      </c>
      <c r="Q3" s="297">
        <v>47.526206896551727</v>
      </c>
      <c r="R3" s="297">
        <v>45.993103448275861</v>
      </c>
      <c r="S3" s="297">
        <v>45.993103448275861</v>
      </c>
    </row>
    <row r="4" spans="1:21">
      <c r="A4" s="492" t="s">
        <v>176</v>
      </c>
      <c r="B4" s="2" t="s">
        <v>43</v>
      </c>
      <c r="C4" s="210">
        <f>C9-C3</f>
        <v>-0.28151834684843635</v>
      </c>
      <c r="D4" s="210">
        <f t="shared" ref="D4:Q4" si="2">D9-D3</f>
        <v>-1.0419212381248784</v>
      </c>
      <c r="E4" s="210">
        <f t="shared" si="2"/>
        <v>1.4799310344827603</v>
      </c>
      <c r="F4" s="210">
        <f t="shared" si="2"/>
        <v>-0.23889655172413882</v>
      </c>
      <c r="G4" s="210">
        <f t="shared" si="2"/>
        <v>0.11599999999999966</v>
      </c>
      <c r="H4" s="210">
        <f t="shared" si="2"/>
        <v>0</v>
      </c>
      <c r="I4" s="210">
        <f t="shared" si="2"/>
        <v>0</v>
      </c>
      <c r="J4" s="210">
        <f t="shared" si="2"/>
        <v>0</v>
      </c>
      <c r="K4" s="210">
        <f t="shared" si="2"/>
        <v>0</v>
      </c>
      <c r="L4" s="210">
        <f t="shared" si="2"/>
        <v>0</v>
      </c>
      <c r="M4" s="210">
        <f t="shared" si="2"/>
        <v>0</v>
      </c>
      <c r="N4" s="210">
        <f t="shared" si="2"/>
        <v>0</v>
      </c>
      <c r="O4" s="210">
        <f t="shared" si="2"/>
        <v>0</v>
      </c>
      <c r="P4" s="210">
        <f t="shared" si="2"/>
        <v>0</v>
      </c>
      <c r="Q4" s="210">
        <f t="shared" si="2"/>
        <v>0</v>
      </c>
      <c r="R4" s="210">
        <f t="shared" ref="R4:S4" si="3">R9-R3</f>
        <v>0</v>
      </c>
      <c r="S4" s="210">
        <f t="shared" si="3"/>
        <v>1.5331034482758668</v>
      </c>
    </row>
    <row r="5" spans="1:21">
      <c r="A5" s="479"/>
      <c r="B5" s="212"/>
      <c r="C5" s="480">
        <v>31</v>
      </c>
      <c r="D5" s="551">
        <v>28</v>
      </c>
      <c r="E5" s="551">
        <v>31</v>
      </c>
      <c r="F5" s="551">
        <v>30</v>
      </c>
      <c r="G5" s="551">
        <v>31</v>
      </c>
      <c r="H5" s="551">
        <v>30</v>
      </c>
      <c r="I5" s="551">
        <v>31</v>
      </c>
      <c r="J5" s="551">
        <v>31</v>
      </c>
      <c r="K5" s="551">
        <v>30</v>
      </c>
      <c r="L5" s="551">
        <v>31</v>
      </c>
      <c r="M5" s="551">
        <v>30</v>
      </c>
      <c r="N5" s="551">
        <v>31</v>
      </c>
      <c r="O5" s="551">
        <v>31</v>
      </c>
      <c r="P5" s="551">
        <v>28</v>
      </c>
      <c r="Q5" s="551">
        <v>31</v>
      </c>
      <c r="R5" s="551">
        <v>30</v>
      </c>
      <c r="S5" s="551">
        <v>31</v>
      </c>
      <c r="T5" s="499"/>
      <c r="U5" s="480"/>
    </row>
    <row r="6" spans="1:21">
      <c r="A6" s="481" t="s">
        <v>169</v>
      </c>
      <c r="B6" s="481" t="s">
        <v>72</v>
      </c>
      <c r="C6" s="482">
        <v>44198</v>
      </c>
      <c r="D6" s="482">
        <v>44229</v>
      </c>
      <c r="E6" s="482">
        <v>44257</v>
      </c>
      <c r="F6" s="482">
        <v>44288</v>
      </c>
      <c r="G6" s="482">
        <v>44318</v>
      </c>
      <c r="H6" s="482">
        <v>44349</v>
      </c>
      <c r="I6" s="483">
        <v>44379</v>
      </c>
      <c r="J6" s="483">
        <v>44410</v>
      </c>
      <c r="K6" s="483">
        <v>44441</v>
      </c>
      <c r="L6" s="483">
        <v>44471</v>
      </c>
      <c r="M6" s="483">
        <v>44502</v>
      </c>
      <c r="N6" s="483">
        <v>44532</v>
      </c>
      <c r="O6" s="483">
        <v>44563</v>
      </c>
      <c r="P6" s="483">
        <v>44594</v>
      </c>
      <c r="Q6" s="483">
        <v>44622</v>
      </c>
      <c r="R6" s="483">
        <v>44653</v>
      </c>
      <c r="S6" s="483">
        <v>44683</v>
      </c>
      <c r="T6" s="495"/>
      <c r="U6" s="484" t="s">
        <v>125</v>
      </c>
    </row>
    <row r="7" spans="1:21">
      <c r="A7" s="485" t="s">
        <v>219</v>
      </c>
      <c r="B7" s="486" t="s">
        <v>43</v>
      </c>
      <c r="C7" s="493">
        <v>199.00781515746442</v>
      </c>
      <c r="D7" s="487">
        <v>182.24079460427933</v>
      </c>
      <c r="E7" s="487">
        <v>203.93080210643018</v>
      </c>
      <c r="F7" s="487">
        <v>184.37969435736676</v>
      </c>
      <c r="G7" s="487">
        <v>203.614</v>
      </c>
      <c r="H7" s="487">
        <v>196.56</v>
      </c>
      <c r="I7" s="487">
        <v>150.74600000000001</v>
      </c>
      <c r="J7" s="487">
        <v>203.11200000000002</v>
      </c>
      <c r="K7" s="487">
        <v>183.62400000000002</v>
      </c>
      <c r="L7" s="487">
        <v>159.51758748120392</v>
      </c>
      <c r="M7" s="487">
        <v>197.83230445752736</v>
      </c>
      <c r="N7" s="487">
        <v>201.4497760022428</v>
      </c>
      <c r="O7" s="487">
        <v>188.30249957947856</v>
      </c>
      <c r="P7" s="487">
        <v>170.079677039529</v>
      </c>
      <c r="Q7" s="487">
        <v>188.30249957947856</v>
      </c>
      <c r="R7" s="487">
        <v>177.60968881412953</v>
      </c>
      <c r="S7" s="487">
        <v>183.53001177460052</v>
      </c>
      <c r="T7" s="494"/>
      <c r="U7" s="592">
        <f>SUM(C7:N7)</f>
        <v>2266.0147741665151</v>
      </c>
    </row>
    <row r="8" spans="1:21">
      <c r="A8" s="479" t="str">
        <f>A7</f>
        <v>Total C2 (Ability 6rev0_7May'21) (ฉบับแก้ไข)</v>
      </c>
      <c r="B8" s="486" t="s">
        <v>170</v>
      </c>
      <c r="C8" s="488">
        <f>C7/24/C5*1000</f>
        <v>267.48362252347368</v>
      </c>
      <c r="D8" s="488">
        <f t="shared" ref="D8:Q8" si="4">D7/24/D5*1000</f>
        <v>271.19165863732042</v>
      </c>
      <c r="E8" s="488">
        <f t="shared" si="4"/>
        <v>274.10054046563198</v>
      </c>
      <c r="F8" s="488">
        <f t="shared" si="4"/>
        <v>256.08290882967606</v>
      </c>
      <c r="G8" s="488">
        <f t="shared" si="4"/>
        <v>273.67473118279571</v>
      </c>
      <c r="H8" s="488">
        <f t="shared" si="4"/>
        <v>272.99999999999994</v>
      </c>
      <c r="I8" s="488">
        <f t="shared" si="4"/>
        <v>202.6155913978495</v>
      </c>
      <c r="J8" s="488">
        <f t="shared" si="4"/>
        <v>273</v>
      </c>
      <c r="K8" s="488">
        <f t="shared" si="4"/>
        <v>255.03333333333333</v>
      </c>
      <c r="L8" s="488">
        <f t="shared" si="4"/>
        <v>214.4053595177472</v>
      </c>
      <c r="M8" s="488">
        <f t="shared" si="4"/>
        <v>274.76708952434353</v>
      </c>
      <c r="N8" s="488">
        <f t="shared" si="4"/>
        <v>270.76582796000378</v>
      </c>
      <c r="O8" s="488">
        <f t="shared" si="4"/>
        <v>253.09475749929916</v>
      </c>
      <c r="P8" s="488">
        <f t="shared" si="4"/>
        <v>253.09475749929911</v>
      </c>
      <c r="Q8" s="488">
        <f t="shared" si="4"/>
        <v>253.09475749929916</v>
      </c>
      <c r="R8" s="488">
        <f t="shared" ref="R8:S8" si="5">R7/24/R5*1000</f>
        <v>246.68012335295765</v>
      </c>
      <c r="S8" s="488">
        <f t="shared" si="5"/>
        <v>246.68012335295768</v>
      </c>
      <c r="T8" s="429"/>
      <c r="U8" s="593"/>
    </row>
    <row r="9" spans="1:21">
      <c r="A9" s="515" t="s">
        <v>171</v>
      </c>
      <c r="B9" s="486" t="s">
        <v>43</v>
      </c>
      <c r="C9" s="493">
        <v>46.135481653151565</v>
      </c>
      <c r="D9" s="493">
        <v>43.424837382564775</v>
      </c>
      <c r="E9" s="493">
        <v>49.847999999999999</v>
      </c>
      <c r="F9" s="493">
        <v>45.454103448275859</v>
      </c>
      <c r="G9" s="493">
        <v>48.475999999999999</v>
      </c>
      <c r="H9" s="493">
        <v>46.8</v>
      </c>
      <c r="I9" s="493">
        <v>48.36</v>
      </c>
      <c r="J9" s="493">
        <v>48.36</v>
      </c>
      <c r="K9" s="493">
        <v>46.8</v>
      </c>
      <c r="L9" s="493">
        <v>46.692413793103455</v>
      </c>
      <c r="M9" s="493">
        <v>45.186206896551731</v>
      </c>
      <c r="N9" s="493">
        <v>47.526206896551727</v>
      </c>
      <c r="O9" s="493">
        <v>47.526206896551727</v>
      </c>
      <c r="P9" s="493">
        <v>42.926896551724141</v>
      </c>
      <c r="Q9" s="493">
        <v>47.526206896551727</v>
      </c>
      <c r="R9" s="493">
        <v>45.993103448275861</v>
      </c>
      <c r="S9" s="493">
        <v>47.526206896551727</v>
      </c>
      <c r="T9" s="415"/>
      <c r="U9" s="592">
        <f>SUM(C9:N9)</f>
        <v>563.06325007019916</v>
      </c>
    </row>
    <row r="10" spans="1:21">
      <c r="A10" s="479" t="s">
        <v>171</v>
      </c>
      <c r="B10" s="486" t="s">
        <v>170</v>
      </c>
      <c r="C10" s="489">
        <f>C9/24/C5*1000</f>
        <v>62.010055985418774</v>
      </c>
      <c r="D10" s="489">
        <f t="shared" ref="D10:Q10" si="6">D9/24/D5*1000</f>
        <v>64.620293724054733</v>
      </c>
      <c r="E10" s="489">
        <f t="shared" si="6"/>
        <v>67</v>
      </c>
      <c r="F10" s="489">
        <f t="shared" si="6"/>
        <v>63.130699233716477</v>
      </c>
      <c r="G10" s="489">
        <f t="shared" si="6"/>
        <v>65.15591397849461</v>
      </c>
      <c r="H10" s="489">
        <f t="shared" si="6"/>
        <v>65</v>
      </c>
      <c r="I10" s="489">
        <f t="shared" si="6"/>
        <v>65</v>
      </c>
      <c r="J10" s="489">
        <f t="shared" si="6"/>
        <v>65</v>
      </c>
      <c r="K10" s="489">
        <f t="shared" si="6"/>
        <v>65</v>
      </c>
      <c r="L10" s="489">
        <f t="shared" si="6"/>
        <v>62.758620689655181</v>
      </c>
      <c r="M10" s="489">
        <f t="shared" si="6"/>
        <v>62.758620689655181</v>
      </c>
      <c r="N10" s="489">
        <f t="shared" si="6"/>
        <v>63.879310344827594</v>
      </c>
      <c r="O10" s="489">
        <f t="shared" si="6"/>
        <v>63.879310344827594</v>
      </c>
      <c r="P10" s="489">
        <f t="shared" si="6"/>
        <v>63.879310344827594</v>
      </c>
      <c r="Q10" s="489">
        <f t="shared" si="6"/>
        <v>63.879310344827594</v>
      </c>
      <c r="R10" s="489">
        <f t="shared" ref="R10:S10" si="7">R9/24/R5*1000</f>
        <v>63.87931034482758</v>
      </c>
      <c r="S10" s="489">
        <f t="shared" si="7"/>
        <v>63.879310344827594</v>
      </c>
      <c r="T10" s="500"/>
      <c r="U10" s="593"/>
    </row>
    <row r="11" spans="1:21">
      <c r="A11" s="479"/>
      <c r="B11" s="486"/>
      <c r="C11" s="489"/>
      <c r="D11" s="489"/>
      <c r="E11" s="489"/>
      <c r="F11" s="489"/>
      <c r="G11" s="489"/>
      <c r="H11" s="489"/>
      <c r="I11" s="489"/>
      <c r="J11" s="489"/>
      <c r="K11" s="489"/>
      <c r="L11" s="489"/>
      <c r="M11" s="489"/>
      <c r="N11" s="489"/>
      <c r="O11" s="489"/>
      <c r="P11" s="489"/>
      <c r="Q11" s="489"/>
      <c r="R11" s="489"/>
      <c r="S11" s="489"/>
      <c r="T11" s="500"/>
      <c r="U11" s="593"/>
    </row>
    <row r="12" spans="1:21">
      <c r="A12" s="479" t="s">
        <v>172</v>
      </c>
      <c r="B12" s="486"/>
      <c r="C12" s="489"/>
      <c r="D12" s="489"/>
      <c r="E12" s="489"/>
      <c r="F12" s="489"/>
      <c r="G12" s="489"/>
      <c r="H12" s="489"/>
      <c r="I12" s="489"/>
      <c r="J12" s="489"/>
      <c r="K12" s="489"/>
      <c r="L12" s="489"/>
      <c r="M12" s="489"/>
      <c r="N12" s="489"/>
      <c r="O12" s="489"/>
      <c r="P12" s="489"/>
      <c r="Q12" s="489"/>
      <c r="R12" s="489"/>
      <c r="S12" s="489"/>
      <c r="T12" s="500"/>
      <c r="U12" s="593"/>
    </row>
    <row r="13" spans="1:21">
      <c r="A13" s="479" t="s">
        <v>202</v>
      </c>
      <c r="B13" s="486" t="s">
        <v>170</v>
      </c>
      <c r="C13" s="489"/>
      <c r="D13" s="210">
        <v>260</v>
      </c>
      <c r="E13" s="210">
        <v>260</v>
      </c>
      <c r="F13" s="210">
        <v>260</v>
      </c>
      <c r="G13" s="210">
        <v>260</v>
      </c>
      <c r="H13" s="210">
        <v>260</v>
      </c>
      <c r="I13" s="210">
        <v>260</v>
      </c>
      <c r="J13" s="210">
        <v>260</v>
      </c>
      <c r="K13" s="210">
        <v>260</v>
      </c>
      <c r="L13" s="210">
        <v>260</v>
      </c>
      <c r="M13" s="210">
        <v>260</v>
      </c>
      <c r="N13" s="210">
        <v>260</v>
      </c>
      <c r="O13" s="210">
        <v>260</v>
      </c>
      <c r="P13" s="210">
        <v>260</v>
      </c>
      <c r="Q13" s="210">
        <v>260</v>
      </c>
      <c r="R13" s="210">
        <v>260</v>
      </c>
      <c r="S13" s="210">
        <v>260</v>
      </c>
      <c r="T13" s="498"/>
      <c r="U13" s="593"/>
    </row>
    <row r="14" spans="1:21">
      <c r="A14" s="479" t="s">
        <v>208</v>
      </c>
      <c r="B14" s="486" t="s">
        <v>170</v>
      </c>
      <c r="C14" s="489"/>
      <c r="D14" s="210">
        <v>15</v>
      </c>
      <c r="E14" s="210">
        <v>15</v>
      </c>
      <c r="F14" s="210">
        <v>15</v>
      </c>
      <c r="G14" s="210">
        <v>15</v>
      </c>
      <c r="H14" s="210">
        <v>15</v>
      </c>
      <c r="I14" s="210">
        <v>15</v>
      </c>
      <c r="J14" s="210">
        <v>15</v>
      </c>
      <c r="K14" s="210">
        <v>15</v>
      </c>
      <c r="L14" s="210">
        <v>15</v>
      </c>
      <c r="M14" s="210">
        <v>15</v>
      </c>
      <c r="N14" s="210">
        <v>15</v>
      </c>
      <c r="O14" s="210">
        <v>15</v>
      </c>
      <c r="P14" s="210">
        <v>15</v>
      </c>
      <c r="Q14" s="210">
        <v>15</v>
      </c>
      <c r="R14" s="210">
        <v>15</v>
      </c>
      <c r="S14" s="210">
        <v>15</v>
      </c>
      <c r="T14" s="498"/>
      <c r="U14" s="593"/>
    </row>
    <row r="15" spans="1:21">
      <c r="A15" s="479"/>
      <c r="B15" s="486"/>
      <c r="C15" s="489"/>
      <c r="D15" s="489"/>
      <c r="E15" s="489"/>
      <c r="F15" s="489"/>
      <c r="G15" s="489"/>
      <c r="H15" s="489"/>
      <c r="I15" s="489"/>
      <c r="J15" s="489"/>
      <c r="K15" s="489"/>
      <c r="L15" s="489"/>
      <c r="M15" s="489"/>
      <c r="N15" s="489"/>
      <c r="O15" s="489"/>
      <c r="P15" s="489"/>
      <c r="Q15" s="489"/>
      <c r="R15" s="489"/>
      <c r="S15" s="489"/>
      <c r="T15" s="500"/>
      <c r="U15" s="593"/>
    </row>
    <row r="16" spans="1:21">
      <c r="A16" s="479" t="s">
        <v>201</v>
      </c>
      <c r="B16" s="486" t="s">
        <v>170</v>
      </c>
      <c r="C16" s="490"/>
      <c r="D16" s="490"/>
      <c r="E16" s="490">
        <f t="shared" ref="E16:P16" si="8">E8-275</f>
        <v>-0.89945953436802029</v>
      </c>
      <c r="F16" s="490">
        <f t="shared" si="8"/>
        <v>-18.917091170323943</v>
      </c>
      <c r="G16" s="490">
        <f t="shared" si="8"/>
        <v>-1.3252688172042895</v>
      </c>
      <c r="H16" s="490">
        <f t="shared" si="8"/>
        <v>-2.0000000000000568</v>
      </c>
      <c r="I16" s="490">
        <f t="shared" si="8"/>
        <v>-72.384408602150501</v>
      </c>
      <c r="J16" s="490">
        <f t="shared" si="8"/>
        <v>-2</v>
      </c>
      <c r="K16" s="490">
        <f t="shared" si="8"/>
        <v>-19.966666666666669</v>
      </c>
      <c r="L16" s="490">
        <f t="shared" si="8"/>
        <v>-60.5946404822528</v>
      </c>
      <c r="M16" s="490">
        <f t="shared" si="8"/>
        <v>-0.2329104756564675</v>
      </c>
      <c r="N16" s="490">
        <f t="shared" si="8"/>
        <v>-4.2341720399962242</v>
      </c>
      <c r="O16" s="490">
        <f t="shared" si="8"/>
        <v>-21.905242500700837</v>
      </c>
      <c r="P16" s="490">
        <f t="shared" si="8"/>
        <v>-21.905242500700894</v>
      </c>
      <c r="Q16" s="490">
        <f t="shared" ref="Q16:R16" si="9">Q8-275</f>
        <v>-21.905242500700837</v>
      </c>
      <c r="R16" s="490">
        <f t="shared" si="9"/>
        <v>-28.319876647042349</v>
      </c>
      <c r="S16" s="490">
        <f t="shared" ref="S16" si="10">S8-275</f>
        <v>-28.319876647042321</v>
      </c>
      <c r="T16" s="501"/>
      <c r="U16" s="593"/>
    </row>
    <row r="17" spans="1:21">
      <c r="A17" s="479" t="s">
        <v>173</v>
      </c>
      <c r="B17" s="486"/>
      <c r="C17" s="212"/>
      <c r="D17" s="212"/>
      <c r="E17" s="408"/>
      <c r="F17" s="408"/>
      <c r="G17" s="408"/>
      <c r="H17" s="408"/>
      <c r="I17" s="408"/>
      <c r="J17" s="408"/>
      <c r="K17" s="408"/>
      <c r="L17" s="408"/>
      <c r="M17" s="408"/>
      <c r="N17" s="408"/>
      <c r="O17" s="408"/>
      <c r="P17" s="408"/>
      <c r="Q17" s="408"/>
      <c r="R17" s="408"/>
      <c r="S17" s="408"/>
      <c r="T17" s="501"/>
      <c r="U17" s="593"/>
    </row>
    <row r="18" spans="1:21">
      <c r="A18" s="479" t="s">
        <v>0</v>
      </c>
      <c r="B18" s="486" t="s">
        <v>170</v>
      </c>
      <c r="C18" s="212"/>
      <c r="D18" s="490"/>
      <c r="E18" s="490">
        <f t="shared" ref="E18:P18" si="11">E13/(E13+E14)*E16</f>
        <v>-0.85039810522067372</v>
      </c>
      <c r="F18" s="490">
        <f t="shared" si="11"/>
        <v>-17.885249833760817</v>
      </c>
      <c r="G18" s="490">
        <f t="shared" si="11"/>
        <v>-1.2529814271749646</v>
      </c>
      <c r="H18" s="490">
        <f t="shared" si="11"/>
        <v>-1.8909090909091446</v>
      </c>
      <c r="I18" s="490">
        <f t="shared" si="11"/>
        <v>-68.436168132942285</v>
      </c>
      <c r="J18" s="490">
        <f t="shared" si="11"/>
        <v>-1.8909090909090909</v>
      </c>
      <c r="K18" s="490">
        <f t="shared" si="11"/>
        <v>-18.877575757575759</v>
      </c>
      <c r="L18" s="490">
        <f t="shared" si="11"/>
        <v>-57.28947827412992</v>
      </c>
      <c r="M18" s="490">
        <f t="shared" si="11"/>
        <v>-0.22020626789338746</v>
      </c>
      <c r="N18" s="490">
        <f t="shared" si="11"/>
        <v>-4.0032172014509753</v>
      </c>
      <c r="O18" s="490">
        <f t="shared" si="11"/>
        <v>-20.7104110915717</v>
      </c>
      <c r="P18" s="490">
        <f t="shared" si="11"/>
        <v>-20.710411091571753</v>
      </c>
      <c r="Q18" s="490">
        <f>Q13/(Q13+Q14)*Q16</f>
        <v>-20.7104110915717</v>
      </c>
      <c r="R18" s="490">
        <f>R13/(R13+R14)*R16</f>
        <v>-26.775156102658222</v>
      </c>
      <c r="S18" s="490">
        <f>S13/(S13+S14)*S16</f>
        <v>-26.775156102658194</v>
      </c>
      <c r="T18" s="501"/>
      <c r="U18" s="593"/>
    </row>
    <row r="19" spans="1:21">
      <c r="A19" s="479" t="s">
        <v>118</v>
      </c>
      <c r="B19" s="486" t="s">
        <v>170</v>
      </c>
      <c r="C19" s="212"/>
      <c r="D19" s="490"/>
      <c r="E19" s="490">
        <f t="shared" ref="E19:P19" si="12">E14/(E13+E14)*E16</f>
        <v>-4.9061429147346555E-2</v>
      </c>
      <c r="F19" s="490">
        <f t="shared" si="12"/>
        <v>-1.031841336563124</v>
      </c>
      <c r="G19" s="490">
        <f t="shared" si="12"/>
        <v>-7.2287390029324883E-2</v>
      </c>
      <c r="H19" s="490">
        <f t="shared" si="12"/>
        <v>-0.10909090909091218</v>
      </c>
      <c r="I19" s="490">
        <f t="shared" si="12"/>
        <v>-3.9482404692082089</v>
      </c>
      <c r="J19" s="490">
        <f t="shared" si="12"/>
        <v>-0.10909090909090909</v>
      </c>
      <c r="K19" s="490">
        <f t="shared" si="12"/>
        <v>-1.0890909090909091</v>
      </c>
      <c r="L19" s="490">
        <f t="shared" si="12"/>
        <v>-3.30516220812288</v>
      </c>
      <c r="M19" s="490">
        <f t="shared" si="12"/>
        <v>-1.2704207763080044E-2</v>
      </c>
      <c r="N19" s="490">
        <f t="shared" si="12"/>
        <v>-0.23095483854524859</v>
      </c>
      <c r="O19" s="490">
        <f t="shared" si="12"/>
        <v>-1.1948314091291365</v>
      </c>
      <c r="P19" s="490">
        <f t="shared" si="12"/>
        <v>-1.1948314091291397</v>
      </c>
      <c r="Q19" s="490">
        <f>Q14/(Q13+Q14)*Q16</f>
        <v>-1.1948314091291365</v>
      </c>
      <c r="R19" s="490">
        <f>R14/(R13+R14)*R16</f>
        <v>-1.5447205443841281</v>
      </c>
      <c r="S19" s="490">
        <f>S14/(S13+S14)*S16</f>
        <v>-1.5447205443841265</v>
      </c>
      <c r="T19" s="501"/>
      <c r="U19" s="593"/>
    </row>
    <row r="20" spans="1:21">
      <c r="A20" s="479"/>
      <c r="B20" s="486"/>
      <c r="C20" s="212"/>
      <c r="D20" s="212"/>
      <c r="E20" s="408"/>
      <c r="F20" s="408"/>
      <c r="G20" s="408"/>
      <c r="H20" s="408"/>
      <c r="I20" s="490"/>
      <c r="J20" s="490"/>
      <c r="K20" s="490"/>
      <c r="L20" s="490"/>
      <c r="M20" s="490"/>
      <c r="N20" s="490"/>
      <c r="O20" s="490"/>
      <c r="P20" s="490"/>
      <c r="Q20" s="490"/>
      <c r="R20" s="490"/>
      <c r="S20" s="490"/>
      <c r="T20" s="501"/>
      <c r="U20" s="593"/>
    </row>
    <row r="21" spans="1:21">
      <c r="A21" s="481" t="s">
        <v>175</v>
      </c>
      <c r="B21" s="481" t="s">
        <v>72</v>
      </c>
      <c r="C21" s="482">
        <f t="shared" ref="C21:Q21" si="13">C6</f>
        <v>44198</v>
      </c>
      <c r="D21" s="482">
        <f t="shared" si="13"/>
        <v>44229</v>
      </c>
      <c r="E21" s="482">
        <f t="shared" si="13"/>
        <v>44257</v>
      </c>
      <c r="F21" s="482">
        <f t="shared" si="13"/>
        <v>44288</v>
      </c>
      <c r="G21" s="482">
        <f t="shared" si="13"/>
        <v>44318</v>
      </c>
      <c r="H21" s="482">
        <f t="shared" si="13"/>
        <v>44349</v>
      </c>
      <c r="I21" s="483">
        <f t="shared" si="13"/>
        <v>44379</v>
      </c>
      <c r="J21" s="483">
        <f t="shared" si="13"/>
        <v>44410</v>
      </c>
      <c r="K21" s="483">
        <f t="shared" si="13"/>
        <v>44441</v>
      </c>
      <c r="L21" s="483">
        <f t="shared" si="13"/>
        <v>44471</v>
      </c>
      <c r="M21" s="483">
        <f t="shared" si="13"/>
        <v>44502</v>
      </c>
      <c r="N21" s="483">
        <f t="shared" si="13"/>
        <v>44532</v>
      </c>
      <c r="O21" s="483">
        <f t="shared" si="13"/>
        <v>44563</v>
      </c>
      <c r="P21" s="483">
        <f t="shared" si="13"/>
        <v>44594</v>
      </c>
      <c r="Q21" s="483">
        <f t="shared" si="13"/>
        <v>44622</v>
      </c>
      <c r="R21" s="483">
        <f t="shared" ref="R21:S21" si="14">R6</f>
        <v>44653</v>
      </c>
      <c r="S21" s="483">
        <f t="shared" si="14"/>
        <v>44683</v>
      </c>
      <c r="T21" s="501"/>
      <c r="U21" s="593"/>
    </row>
    <row r="22" spans="1:21" s="632" customFormat="1">
      <c r="A22" s="626" t="s">
        <v>207</v>
      </c>
      <c r="B22" s="627" t="s">
        <v>44</v>
      </c>
      <c r="C22" s="628">
        <v>0</v>
      </c>
      <c r="D22" s="628">
        <v>0</v>
      </c>
      <c r="E22" s="629">
        <v>5040</v>
      </c>
      <c r="F22" s="629">
        <v>5760</v>
      </c>
      <c r="G22" s="629">
        <v>11160</v>
      </c>
      <c r="H22" s="629">
        <v>11664</v>
      </c>
      <c r="I22" s="629">
        <v>11160</v>
      </c>
      <c r="J22" s="629">
        <v>11160</v>
      </c>
      <c r="K22" s="629">
        <v>10800</v>
      </c>
      <c r="L22" s="629">
        <v>11160</v>
      </c>
      <c r="M22" s="629">
        <v>10800</v>
      </c>
      <c r="N22" s="629">
        <v>11160</v>
      </c>
      <c r="O22" s="629">
        <v>11160</v>
      </c>
      <c r="P22" s="629">
        <v>10080</v>
      </c>
      <c r="Q22" s="629">
        <v>11160</v>
      </c>
      <c r="R22" s="629">
        <v>10800</v>
      </c>
      <c r="S22" s="629">
        <v>11160</v>
      </c>
      <c r="T22" s="630"/>
      <c r="U22" s="631"/>
    </row>
    <row r="23" spans="1:21">
      <c r="A23" s="584" t="str">
        <f>A22</f>
        <v>SCG Demand (Updated on 31/3/64)</v>
      </c>
      <c r="B23" s="585" t="s">
        <v>43</v>
      </c>
      <c r="C23" s="588">
        <v>0</v>
      </c>
      <c r="D23" s="589">
        <v>0</v>
      </c>
      <c r="E23" s="589">
        <f>E22/1000</f>
        <v>5.04</v>
      </c>
      <c r="F23" s="589">
        <f t="shared" ref="F23:Q23" si="15">F22/1000</f>
        <v>5.76</v>
      </c>
      <c r="G23" s="589">
        <f t="shared" si="15"/>
        <v>11.16</v>
      </c>
      <c r="H23" s="589">
        <f t="shared" si="15"/>
        <v>11.664</v>
      </c>
      <c r="I23" s="589">
        <f t="shared" si="15"/>
        <v>11.16</v>
      </c>
      <c r="J23" s="589">
        <f t="shared" si="15"/>
        <v>11.16</v>
      </c>
      <c r="K23" s="589">
        <f t="shared" si="15"/>
        <v>10.8</v>
      </c>
      <c r="L23" s="589">
        <f t="shared" si="15"/>
        <v>11.16</v>
      </c>
      <c r="M23" s="589">
        <f t="shared" si="15"/>
        <v>10.8</v>
      </c>
      <c r="N23" s="589">
        <f t="shared" si="15"/>
        <v>11.16</v>
      </c>
      <c r="O23" s="589">
        <f t="shared" si="15"/>
        <v>11.16</v>
      </c>
      <c r="P23" s="589">
        <f t="shared" si="15"/>
        <v>10.08</v>
      </c>
      <c r="Q23" s="589">
        <f t="shared" si="15"/>
        <v>11.16</v>
      </c>
      <c r="R23" s="589">
        <f t="shared" ref="R23:S23" si="16">R22/1000</f>
        <v>10.8</v>
      </c>
      <c r="S23" s="589">
        <f t="shared" si="16"/>
        <v>11.16</v>
      </c>
      <c r="T23" s="501"/>
      <c r="U23" s="593"/>
    </row>
    <row r="24" spans="1:21">
      <c r="A24" s="584" t="str">
        <f>A23</f>
        <v>SCG Demand (Updated on 31/3/64)</v>
      </c>
      <c r="B24" s="585" t="s">
        <v>170</v>
      </c>
      <c r="C24" s="586">
        <f t="shared" ref="C24:Q24" si="17">C23/24/C5*1000</f>
        <v>0</v>
      </c>
      <c r="D24" s="587">
        <f t="shared" si="17"/>
        <v>0</v>
      </c>
      <c r="E24" s="587">
        <f t="shared" si="17"/>
        <v>6.774193548387097</v>
      </c>
      <c r="F24" s="587">
        <f t="shared" si="17"/>
        <v>8</v>
      </c>
      <c r="G24" s="587">
        <f t="shared" si="17"/>
        <v>15.000000000000002</v>
      </c>
      <c r="H24" s="608">
        <f t="shared" si="17"/>
        <v>16.2</v>
      </c>
      <c r="I24" s="608">
        <f t="shared" si="17"/>
        <v>15.000000000000002</v>
      </c>
      <c r="J24" s="587">
        <f t="shared" si="17"/>
        <v>15.000000000000002</v>
      </c>
      <c r="K24" s="587">
        <f t="shared" si="17"/>
        <v>15.000000000000002</v>
      </c>
      <c r="L24" s="587">
        <f t="shared" si="17"/>
        <v>15.000000000000002</v>
      </c>
      <c r="M24" s="587">
        <f t="shared" si="17"/>
        <v>15.000000000000002</v>
      </c>
      <c r="N24" s="587">
        <f t="shared" si="17"/>
        <v>15.000000000000002</v>
      </c>
      <c r="O24" s="587">
        <f t="shared" si="17"/>
        <v>15.000000000000002</v>
      </c>
      <c r="P24" s="587">
        <f t="shared" si="17"/>
        <v>15</v>
      </c>
      <c r="Q24" s="587">
        <f t="shared" si="17"/>
        <v>15.000000000000002</v>
      </c>
      <c r="R24" s="587">
        <f t="shared" ref="R24:S24" si="18">R23/24/R5*1000</f>
        <v>15.000000000000002</v>
      </c>
      <c r="S24" s="587">
        <f t="shared" si="18"/>
        <v>15.000000000000002</v>
      </c>
      <c r="T24" s="501"/>
      <c r="U24" s="593" t="s">
        <v>216</v>
      </c>
    </row>
    <row r="25" spans="1:21">
      <c r="A25" s="584" t="str">
        <f>A23</f>
        <v>SCG Demand (Updated on 31/3/64)</v>
      </c>
      <c r="B25" s="585" t="s">
        <v>185</v>
      </c>
      <c r="C25" s="586"/>
      <c r="D25" s="587">
        <f>D24*24</f>
        <v>0</v>
      </c>
      <c r="E25" s="580">
        <f t="shared" ref="E25:Q25" si="19">E24*24</f>
        <v>162.58064516129033</v>
      </c>
      <c r="F25" s="580">
        <f t="shared" si="19"/>
        <v>192</v>
      </c>
      <c r="G25" s="580">
        <f t="shared" si="19"/>
        <v>360.00000000000006</v>
      </c>
      <c r="H25" s="580">
        <f t="shared" si="19"/>
        <v>388.79999999999995</v>
      </c>
      <c r="I25" s="580">
        <f t="shared" si="19"/>
        <v>360.00000000000006</v>
      </c>
      <c r="J25" s="580">
        <f t="shared" si="19"/>
        <v>360.00000000000006</v>
      </c>
      <c r="K25" s="580">
        <f t="shared" si="19"/>
        <v>360.00000000000006</v>
      </c>
      <c r="L25" s="580">
        <f t="shared" si="19"/>
        <v>360.00000000000006</v>
      </c>
      <c r="M25" s="580">
        <f t="shared" si="19"/>
        <v>360.00000000000006</v>
      </c>
      <c r="N25" s="580">
        <f t="shared" si="19"/>
        <v>360.00000000000006</v>
      </c>
      <c r="O25" s="580">
        <f t="shared" si="19"/>
        <v>360.00000000000006</v>
      </c>
      <c r="P25" s="580">
        <f t="shared" si="19"/>
        <v>360</v>
      </c>
      <c r="Q25" s="580">
        <f t="shared" si="19"/>
        <v>360.00000000000006</v>
      </c>
      <c r="R25" s="580">
        <f t="shared" ref="R25:S25" si="20">R24*24</f>
        <v>360.00000000000006</v>
      </c>
      <c r="S25" s="580">
        <f t="shared" si="20"/>
        <v>360.00000000000006</v>
      </c>
      <c r="T25" s="501"/>
      <c r="U25" s="593"/>
    </row>
    <row r="26" spans="1:21" s="625" customFormat="1">
      <c r="A26" s="515" t="s">
        <v>177</v>
      </c>
      <c r="B26" s="620" t="s">
        <v>44</v>
      </c>
      <c r="C26" s="621"/>
      <c r="D26" s="622">
        <f>D28*24*D5</f>
        <v>0</v>
      </c>
      <c r="E26" s="622">
        <f t="shared" ref="E26:Q26" si="21">E28*24*E5</f>
        <v>5040</v>
      </c>
      <c r="F26" s="622">
        <f t="shared" si="21"/>
        <v>5760</v>
      </c>
      <c r="G26" s="622">
        <f t="shared" si="21"/>
        <v>11160.000000000002</v>
      </c>
      <c r="H26" s="622">
        <f t="shared" si="21"/>
        <v>11663.999999999998</v>
      </c>
      <c r="I26" s="622">
        <f t="shared" si="21"/>
        <v>8222.5090909090941</v>
      </c>
      <c r="J26" s="622">
        <f t="shared" si="21"/>
        <v>11078.836363636365</v>
      </c>
      <c r="K26" s="622">
        <f t="shared" si="21"/>
        <v>10015.854545454546</v>
      </c>
      <c r="L26" s="622">
        <f t="shared" si="21"/>
        <v>8700.9593171565793</v>
      </c>
      <c r="M26" s="622">
        <f t="shared" si="21"/>
        <v>10790.852970410582</v>
      </c>
      <c r="N26" s="622">
        <f t="shared" si="21"/>
        <v>10988.169600122337</v>
      </c>
      <c r="O26" s="622">
        <f t="shared" si="21"/>
        <v>10271.045431607925</v>
      </c>
      <c r="P26" s="622">
        <f t="shared" si="21"/>
        <v>9277.0732930652175</v>
      </c>
      <c r="Q26" s="622">
        <f t="shared" si="21"/>
        <v>10271.045431607925</v>
      </c>
      <c r="R26" s="622">
        <f t="shared" ref="R26:S26" si="22">R28*24*R5</f>
        <v>9687.8012080434291</v>
      </c>
      <c r="S26" s="622">
        <f t="shared" si="22"/>
        <v>10010.727914978212</v>
      </c>
      <c r="T26" s="623"/>
      <c r="U26" s="624">
        <f>SUM(C26:N26)</f>
        <v>93421.181887689498</v>
      </c>
    </row>
    <row r="27" spans="1:21">
      <c r="A27" s="496" t="s">
        <v>177</v>
      </c>
      <c r="B27" s="585" t="s">
        <v>43</v>
      </c>
      <c r="C27" s="586"/>
      <c r="D27" s="587">
        <f>D26/10^3</f>
        <v>0</v>
      </c>
      <c r="E27" s="587">
        <f t="shared" ref="E27:Q27" si="23">E26/10^3</f>
        <v>5.04</v>
      </c>
      <c r="F27" s="587">
        <f t="shared" si="23"/>
        <v>5.76</v>
      </c>
      <c r="G27" s="587">
        <f t="shared" si="23"/>
        <v>11.160000000000002</v>
      </c>
      <c r="H27" s="587">
        <f t="shared" si="23"/>
        <v>11.663999999999998</v>
      </c>
      <c r="I27" s="587">
        <f t="shared" si="23"/>
        <v>8.2225090909090941</v>
      </c>
      <c r="J27" s="587">
        <f t="shared" si="23"/>
        <v>11.078836363636364</v>
      </c>
      <c r="K27" s="587">
        <f t="shared" si="23"/>
        <v>10.015854545454546</v>
      </c>
      <c r="L27" s="587">
        <f t="shared" si="23"/>
        <v>8.7009593171565793</v>
      </c>
      <c r="M27" s="587">
        <f t="shared" si="23"/>
        <v>10.790852970410581</v>
      </c>
      <c r="N27" s="587">
        <f t="shared" si="23"/>
        <v>10.988169600122337</v>
      </c>
      <c r="O27" s="587">
        <f t="shared" si="23"/>
        <v>10.271045431607925</v>
      </c>
      <c r="P27" s="587">
        <f t="shared" si="23"/>
        <v>9.277073293065218</v>
      </c>
      <c r="Q27" s="587">
        <f t="shared" si="23"/>
        <v>10.271045431607925</v>
      </c>
      <c r="R27" s="587">
        <f t="shared" ref="R27:S27" si="24">R26/10^3</f>
        <v>9.6878012080434299</v>
      </c>
      <c r="S27" s="587">
        <f t="shared" si="24"/>
        <v>10.010727914978212</v>
      </c>
      <c r="T27" s="501"/>
      <c r="U27" s="593"/>
    </row>
    <row r="28" spans="1:21">
      <c r="A28" s="479" t="s">
        <v>177</v>
      </c>
      <c r="B28" s="491" t="s">
        <v>170</v>
      </c>
      <c r="C28" s="582"/>
      <c r="D28" s="583">
        <f>D24</f>
        <v>0</v>
      </c>
      <c r="E28" s="583">
        <f t="shared" ref="E28:H28" si="25">E24</f>
        <v>6.774193548387097</v>
      </c>
      <c r="F28" s="583">
        <f t="shared" si="25"/>
        <v>8</v>
      </c>
      <c r="G28" s="583">
        <f t="shared" si="25"/>
        <v>15.000000000000002</v>
      </c>
      <c r="H28" s="583">
        <f t="shared" si="25"/>
        <v>16.2</v>
      </c>
      <c r="I28" s="583">
        <f>I24+I19</f>
        <v>11.051759530791793</v>
      </c>
      <c r="J28" s="583">
        <f t="shared" ref="J28:Q28" si="26">J24+J19</f>
        <v>14.890909090909092</v>
      </c>
      <c r="K28" s="583">
        <f t="shared" si="26"/>
        <v>13.910909090909092</v>
      </c>
      <c r="L28" s="583">
        <f t="shared" si="26"/>
        <v>11.694837791877122</v>
      </c>
      <c r="M28" s="583">
        <f t="shared" si="26"/>
        <v>14.987295792236921</v>
      </c>
      <c r="N28" s="583">
        <f t="shared" si="26"/>
        <v>14.769045161454754</v>
      </c>
      <c r="O28" s="583">
        <f t="shared" si="26"/>
        <v>13.805168590870865</v>
      </c>
      <c r="P28" s="583">
        <f t="shared" si="26"/>
        <v>13.80516859087086</v>
      </c>
      <c r="Q28" s="583">
        <f t="shared" si="26"/>
        <v>13.805168590870865</v>
      </c>
      <c r="R28" s="583">
        <f t="shared" ref="R28:S28" si="27">R24+R19</f>
        <v>13.455279455615873</v>
      </c>
      <c r="S28" s="583">
        <f t="shared" si="27"/>
        <v>13.455279455615875</v>
      </c>
      <c r="T28" s="501"/>
      <c r="U28" s="593"/>
    </row>
    <row r="29" spans="1:21">
      <c r="A29" s="479" t="s">
        <v>177</v>
      </c>
      <c r="B29" s="491" t="s">
        <v>185</v>
      </c>
      <c r="C29" s="603">
        <f>C28*24</f>
        <v>0</v>
      </c>
      <c r="D29" s="603">
        <f>D28*24</f>
        <v>0</v>
      </c>
      <c r="E29" s="603">
        <f t="shared" ref="E29:R29" si="28">E28*24</f>
        <v>162.58064516129033</v>
      </c>
      <c r="F29" s="603">
        <f t="shared" si="28"/>
        <v>192</v>
      </c>
      <c r="G29" s="603">
        <f t="shared" si="28"/>
        <v>360.00000000000006</v>
      </c>
      <c r="H29" s="603">
        <f t="shared" si="28"/>
        <v>388.79999999999995</v>
      </c>
      <c r="I29" s="603">
        <f t="shared" si="28"/>
        <v>265.24222873900305</v>
      </c>
      <c r="J29" s="603">
        <f t="shared" si="28"/>
        <v>357.38181818181823</v>
      </c>
      <c r="K29" s="603">
        <f t="shared" si="28"/>
        <v>333.86181818181819</v>
      </c>
      <c r="L29" s="603">
        <f t="shared" si="28"/>
        <v>280.67610700505094</v>
      </c>
      <c r="M29" s="603">
        <f t="shared" si="28"/>
        <v>359.6950990136861</v>
      </c>
      <c r="N29" s="603">
        <f t="shared" si="28"/>
        <v>354.45708387491408</v>
      </c>
      <c r="O29" s="603">
        <f t="shared" si="28"/>
        <v>331.32404618090078</v>
      </c>
      <c r="P29" s="603">
        <f t="shared" si="28"/>
        <v>331.32404618090061</v>
      </c>
      <c r="Q29" s="603">
        <f t="shared" si="28"/>
        <v>331.32404618090078</v>
      </c>
      <c r="R29" s="603">
        <f t="shared" si="28"/>
        <v>322.92670693478095</v>
      </c>
      <c r="S29" s="603">
        <f t="shared" ref="S29" si="29">S28*24</f>
        <v>322.92670693478101</v>
      </c>
      <c r="T29" s="501"/>
      <c r="U29" s="593"/>
    </row>
    <row r="30" spans="1:21">
      <c r="A30" s="479"/>
      <c r="B30" s="491"/>
      <c r="C30" s="582"/>
      <c r="D30" s="583"/>
      <c r="E30" s="583"/>
      <c r="F30" s="583"/>
      <c r="G30" s="583"/>
      <c r="H30" s="583"/>
      <c r="I30" s="583"/>
      <c r="J30" s="583"/>
      <c r="K30" s="583"/>
      <c r="L30" s="583"/>
      <c r="M30" s="583"/>
      <c r="N30" s="583"/>
      <c r="O30" s="583"/>
      <c r="P30" s="583"/>
      <c r="Q30" s="583"/>
      <c r="R30" s="583"/>
      <c r="S30" s="583"/>
      <c r="T30" s="501"/>
      <c r="U30" s="593"/>
    </row>
    <row r="31" spans="1:21">
      <c r="A31" s="481" t="s">
        <v>174</v>
      </c>
      <c r="B31" s="481" t="s">
        <v>72</v>
      </c>
      <c r="C31" s="482">
        <f>C12</f>
        <v>0</v>
      </c>
      <c r="D31" s="482">
        <f>D6</f>
        <v>44229</v>
      </c>
      <c r="E31" s="482">
        <f t="shared" ref="E31:Q31" si="30">E6</f>
        <v>44257</v>
      </c>
      <c r="F31" s="482">
        <f t="shared" si="30"/>
        <v>44288</v>
      </c>
      <c r="G31" s="482">
        <f t="shared" si="30"/>
        <v>44318</v>
      </c>
      <c r="H31" s="482">
        <f t="shared" si="30"/>
        <v>44349</v>
      </c>
      <c r="I31" s="483">
        <f t="shared" si="30"/>
        <v>44379</v>
      </c>
      <c r="J31" s="483">
        <f t="shared" si="30"/>
        <v>44410</v>
      </c>
      <c r="K31" s="483">
        <f t="shared" si="30"/>
        <v>44441</v>
      </c>
      <c r="L31" s="483">
        <f t="shared" si="30"/>
        <v>44471</v>
      </c>
      <c r="M31" s="483">
        <f t="shared" si="30"/>
        <v>44502</v>
      </c>
      <c r="N31" s="483">
        <f t="shared" si="30"/>
        <v>44532</v>
      </c>
      <c r="O31" s="483">
        <f t="shared" si="30"/>
        <v>44563</v>
      </c>
      <c r="P31" s="483">
        <f t="shared" si="30"/>
        <v>44594</v>
      </c>
      <c r="Q31" s="483">
        <f t="shared" si="30"/>
        <v>44622</v>
      </c>
      <c r="R31" s="483">
        <f t="shared" ref="R31:S31" si="31">R6</f>
        <v>44653</v>
      </c>
      <c r="S31" s="483">
        <f t="shared" si="31"/>
        <v>44683</v>
      </c>
      <c r="T31" s="501"/>
      <c r="U31" s="593"/>
    </row>
    <row r="32" spans="1:21">
      <c r="A32" s="590" t="s">
        <v>178</v>
      </c>
      <c r="B32" s="581" t="s">
        <v>44</v>
      </c>
      <c r="C32" s="604"/>
      <c r="D32" s="605">
        <f>D37*24*D5</f>
        <v>43424.83738256478</v>
      </c>
      <c r="E32" s="605">
        <f t="shared" ref="E32:Q32" si="32">E37*24*E5</f>
        <v>44808</v>
      </c>
      <c r="F32" s="605">
        <f t="shared" si="32"/>
        <v>39694.103448275862</v>
      </c>
      <c r="G32" s="605">
        <f t="shared" si="32"/>
        <v>37315.999999999993</v>
      </c>
      <c r="H32" s="605">
        <f t="shared" si="32"/>
        <v>35135.999999999993</v>
      </c>
      <c r="I32" s="605">
        <f t="shared" si="32"/>
        <v>40137.490909090906</v>
      </c>
      <c r="J32" s="605">
        <f t="shared" si="32"/>
        <v>37281.163636363635</v>
      </c>
      <c r="K32" s="605">
        <f t="shared" si="32"/>
        <v>36784.145454545447</v>
      </c>
      <c r="L32" s="605">
        <f t="shared" si="32"/>
        <v>37991.454475946877</v>
      </c>
      <c r="M32" s="605">
        <f t="shared" si="32"/>
        <v>34395.35392614115</v>
      </c>
      <c r="N32" s="605">
        <f t="shared" si="32"/>
        <v>36538.037296429393</v>
      </c>
      <c r="O32" s="605">
        <f t="shared" si="32"/>
        <v>37255.161464943812</v>
      </c>
      <c r="P32" s="605">
        <f t="shared" si="32"/>
        <v>33649.823258658929</v>
      </c>
      <c r="Q32" s="605">
        <f t="shared" si="32"/>
        <v>37255.161464943812</v>
      </c>
      <c r="R32" s="605">
        <f t="shared" ref="R32:S32" si="33">R37*24*R5</f>
        <v>36305.302240232428</v>
      </c>
      <c r="S32" s="605">
        <f t="shared" si="33"/>
        <v>37515.47898157352</v>
      </c>
      <c r="T32" s="501"/>
      <c r="U32" s="593"/>
    </row>
    <row r="33" spans="1:21">
      <c r="A33" s="590" t="s">
        <v>179</v>
      </c>
      <c r="B33" s="581" t="s">
        <v>44</v>
      </c>
      <c r="C33" s="604"/>
      <c r="D33" s="605">
        <f>D38*24*D5</f>
        <v>138815.95722171455</v>
      </c>
      <c r="E33" s="605">
        <f t="shared" ref="E33:Q33" si="34">E38*24*E5</f>
        <v>154082.8021064302</v>
      </c>
      <c r="F33" s="605">
        <f t="shared" si="34"/>
        <v>138925.59090909088</v>
      </c>
      <c r="G33" s="605">
        <f t="shared" si="34"/>
        <v>155138.00000000006</v>
      </c>
      <c r="H33" s="605">
        <f t="shared" si="34"/>
        <v>149759.99999999994</v>
      </c>
      <c r="I33" s="605">
        <f t="shared" si="34"/>
        <v>102386.00000000003</v>
      </c>
      <c r="J33" s="605">
        <f t="shared" si="34"/>
        <v>154752</v>
      </c>
      <c r="K33" s="605">
        <f t="shared" si="34"/>
        <v>136824</v>
      </c>
      <c r="L33" s="605">
        <f t="shared" si="34"/>
        <v>112825.17368810048</v>
      </c>
      <c r="M33" s="605">
        <f t="shared" si="34"/>
        <v>152646.09756097564</v>
      </c>
      <c r="N33" s="605">
        <f t="shared" si="34"/>
        <v>153923.56910569107</v>
      </c>
      <c r="O33" s="605">
        <f t="shared" si="34"/>
        <v>140776.29268292684</v>
      </c>
      <c r="P33" s="605">
        <f t="shared" si="34"/>
        <v>127152.78048780485</v>
      </c>
      <c r="Q33" s="605">
        <f t="shared" si="34"/>
        <v>140776.29268292684</v>
      </c>
      <c r="R33" s="605">
        <f t="shared" ref="R33:S33" si="35">R38*24*R5</f>
        <v>131616.58536585365</v>
      </c>
      <c r="S33" s="605">
        <f t="shared" si="35"/>
        <v>136003.8048780488</v>
      </c>
      <c r="T33" s="501"/>
      <c r="U33" s="593"/>
    </row>
    <row r="34" spans="1:21">
      <c r="A34" s="590" t="s">
        <v>205</v>
      </c>
      <c r="B34" s="607" t="s">
        <v>44</v>
      </c>
      <c r="C34" s="604"/>
      <c r="D34" s="605"/>
      <c r="E34" s="606">
        <f>E32+E33</f>
        <v>198890.8021064302</v>
      </c>
      <c r="F34" s="606">
        <f t="shared" ref="F34:Q34" si="36">F32+F33</f>
        <v>178619.69435736674</v>
      </c>
      <c r="G34" s="606">
        <f t="shared" si="36"/>
        <v>192454.00000000006</v>
      </c>
      <c r="H34" s="606">
        <f t="shared" si="36"/>
        <v>184895.99999999994</v>
      </c>
      <c r="I34" s="606">
        <f t="shared" si="36"/>
        <v>142523.49090909094</v>
      </c>
      <c r="J34" s="606">
        <f t="shared" si="36"/>
        <v>192033.16363636364</v>
      </c>
      <c r="K34" s="606">
        <f t="shared" si="36"/>
        <v>173608.14545454545</v>
      </c>
      <c r="L34" s="606">
        <f t="shared" si="36"/>
        <v>150816.62816404735</v>
      </c>
      <c r="M34" s="606">
        <f t="shared" si="36"/>
        <v>187041.45148711681</v>
      </c>
      <c r="N34" s="606">
        <f t="shared" si="36"/>
        <v>190461.60640212047</v>
      </c>
      <c r="O34" s="606">
        <f t="shared" si="36"/>
        <v>178031.45414787065</v>
      </c>
      <c r="P34" s="606">
        <f t="shared" si="36"/>
        <v>160802.60374646378</v>
      </c>
      <c r="Q34" s="606">
        <f t="shared" si="36"/>
        <v>178031.45414787065</v>
      </c>
      <c r="R34" s="606">
        <f t="shared" ref="R34:S34" si="37">R32+R33</f>
        <v>167921.88760608609</v>
      </c>
      <c r="S34" s="606">
        <f t="shared" si="37"/>
        <v>173519.28385962232</v>
      </c>
      <c r="T34" s="501"/>
      <c r="U34" s="593"/>
    </row>
    <row r="35" spans="1:21">
      <c r="A35" s="496" t="s">
        <v>178</v>
      </c>
      <c r="B35" s="585" t="s">
        <v>43</v>
      </c>
      <c r="C35" s="586"/>
      <c r="D35" s="591">
        <f t="shared" ref="D35:Q35" si="38">D32/1000</f>
        <v>43.424837382564782</v>
      </c>
      <c r="E35" s="591">
        <f t="shared" si="38"/>
        <v>44.808</v>
      </c>
      <c r="F35" s="591">
        <f t="shared" si="38"/>
        <v>39.694103448275861</v>
      </c>
      <c r="G35" s="591">
        <f t="shared" si="38"/>
        <v>37.315999999999995</v>
      </c>
      <c r="H35" s="591">
        <f t="shared" si="38"/>
        <v>35.135999999999996</v>
      </c>
      <c r="I35" s="591">
        <f t="shared" si="38"/>
        <v>40.137490909090907</v>
      </c>
      <c r="J35" s="591">
        <f t="shared" si="38"/>
        <v>37.281163636363637</v>
      </c>
      <c r="K35" s="591">
        <f t="shared" si="38"/>
        <v>36.784145454545445</v>
      </c>
      <c r="L35" s="591">
        <f t="shared" si="38"/>
        <v>37.991454475946874</v>
      </c>
      <c r="M35" s="591">
        <f t="shared" si="38"/>
        <v>34.395353926141148</v>
      </c>
      <c r="N35" s="591">
        <f t="shared" si="38"/>
        <v>36.538037296429394</v>
      </c>
      <c r="O35" s="591">
        <f t="shared" si="38"/>
        <v>37.255161464943811</v>
      </c>
      <c r="P35" s="591">
        <f t="shared" si="38"/>
        <v>33.649823258658927</v>
      </c>
      <c r="Q35" s="591">
        <f t="shared" si="38"/>
        <v>37.255161464943811</v>
      </c>
      <c r="R35" s="591">
        <f t="shared" ref="R35:S35" si="39">R32/1000</f>
        <v>36.305302240232429</v>
      </c>
      <c r="S35" s="591">
        <f t="shared" si="39"/>
        <v>37.515478981573523</v>
      </c>
      <c r="T35" s="501"/>
      <c r="U35" s="212"/>
    </row>
    <row r="36" spans="1:21">
      <c r="A36" s="496" t="s">
        <v>179</v>
      </c>
      <c r="B36" s="585" t="s">
        <v>43</v>
      </c>
      <c r="D36" s="580">
        <f t="shared" ref="D36:Q36" si="40">D33/1000</f>
        <v>138.81595722171454</v>
      </c>
      <c r="E36" s="580">
        <f t="shared" si="40"/>
        <v>154.08280210643019</v>
      </c>
      <c r="F36" s="580">
        <f t="shared" si="40"/>
        <v>138.92559090909089</v>
      </c>
      <c r="G36" s="580">
        <f t="shared" si="40"/>
        <v>155.13800000000006</v>
      </c>
      <c r="H36" s="580">
        <f t="shared" si="40"/>
        <v>149.75999999999993</v>
      </c>
      <c r="I36" s="580">
        <f t="shared" si="40"/>
        <v>102.38600000000002</v>
      </c>
      <c r="J36" s="580">
        <f t="shared" si="40"/>
        <v>154.75200000000001</v>
      </c>
      <c r="K36" s="580">
        <f t="shared" si="40"/>
        <v>136.82400000000001</v>
      </c>
      <c r="L36" s="580">
        <f t="shared" si="40"/>
        <v>112.82517368810048</v>
      </c>
      <c r="M36" s="580">
        <f t="shared" si="40"/>
        <v>152.64609756097565</v>
      </c>
      <c r="N36" s="580">
        <f t="shared" si="40"/>
        <v>153.92356910569109</v>
      </c>
      <c r="O36" s="580">
        <f t="shared" si="40"/>
        <v>140.77629268292685</v>
      </c>
      <c r="P36" s="580">
        <f t="shared" si="40"/>
        <v>127.15278048780485</v>
      </c>
      <c r="Q36" s="580">
        <f t="shared" si="40"/>
        <v>140.77629268292685</v>
      </c>
      <c r="R36" s="580">
        <f t="shared" ref="R36:S36" si="41">R33/1000</f>
        <v>131.61658536585364</v>
      </c>
      <c r="S36" s="580">
        <f t="shared" si="41"/>
        <v>136.00380487804881</v>
      </c>
      <c r="T36" s="501"/>
      <c r="U36" s="212"/>
    </row>
    <row r="37" spans="1:21">
      <c r="A37" s="590" t="s">
        <v>178</v>
      </c>
      <c r="B37" s="581" t="s">
        <v>170</v>
      </c>
      <c r="C37" s="497"/>
      <c r="D37" s="579">
        <f t="shared" ref="D37:Q37" si="42">D10-D28</f>
        <v>64.620293724054733</v>
      </c>
      <c r="E37" s="579">
        <f t="shared" si="42"/>
        <v>60.225806451612904</v>
      </c>
      <c r="F37" s="579">
        <f t="shared" si="42"/>
        <v>55.130699233716477</v>
      </c>
      <c r="G37" s="579">
        <f t="shared" si="42"/>
        <v>50.15591397849461</v>
      </c>
      <c r="H37" s="579">
        <f t="shared" si="42"/>
        <v>48.8</v>
      </c>
      <c r="I37" s="579">
        <f t="shared" si="42"/>
        <v>53.948240469208208</v>
      </c>
      <c r="J37" s="579">
        <f t="shared" si="42"/>
        <v>50.109090909090909</v>
      </c>
      <c r="K37" s="579">
        <f t="shared" si="42"/>
        <v>51.089090909090906</v>
      </c>
      <c r="L37" s="579">
        <f t="shared" si="42"/>
        <v>51.063782897778061</v>
      </c>
      <c r="M37" s="579">
        <f t="shared" si="42"/>
        <v>47.77132489741826</v>
      </c>
      <c r="N37" s="579">
        <f t="shared" si="42"/>
        <v>49.110265183372839</v>
      </c>
      <c r="O37" s="579">
        <f t="shared" si="42"/>
        <v>50.074141753956731</v>
      </c>
      <c r="P37" s="579">
        <f t="shared" si="42"/>
        <v>50.074141753956738</v>
      </c>
      <c r="Q37" s="579">
        <f t="shared" si="42"/>
        <v>50.074141753956731</v>
      </c>
      <c r="R37" s="579">
        <f t="shared" ref="R37:S37" si="43">R10-R28</f>
        <v>50.424030889211707</v>
      </c>
      <c r="S37" s="579">
        <f t="shared" si="43"/>
        <v>50.424030889211721</v>
      </c>
      <c r="T37" s="501"/>
      <c r="U37" s="212"/>
    </row>
    <row r="38" spans="1:21">
      <c r="A38" s="590" t="s">
        <v>179</v>
      </c>
      <c r="B38" s="581" t="s">
        <v>170</v>
      </c>
      <c r="C38" s="497"/>
      <c r="D38" s="579">
        <f>D8-D10</f>
        <v>206.57136491326568</v>
      </c>
      <c r="E38" s="579">
        <f t="shared" ref="E38:Q38" si="44">E8-E10</f>
        <v>207.10054046563198</v>
      </c>
      <c r="F38" s="579">
        <f t="shared" si="44"/>
        <v>192.95220959595957</v>
      </c>
      <c r="G38" s="579">
        <f t="shared" si="44"/>
        <v>208.51881720430111</v>
      </c>
      <c r="H38" s="579">
        <f t="shared" si="44"/>
        <v>207.99999999999994</v>
      </c>
      <c r="I38" s="579">
        <f t="shared" si="44"/>
        <v>137.6155913978495</v>
      </c>
      <c r="J38" s="579">
        <f t="shared" si="44"/>
        <v>208</v>
      </c>
      <c r="K38" s="579">
        <f t="shared" si="44"/>
        <v>190.03333333333333</v>
      </c>
      <c r="L38" s="579">
        <f t="shared" si="44"/>
        <v>151.64673882809203</v>
      </c>
      <c r="M38" s="579">
        <f t="shared" si="44"/>
        <v>212.00846883468836</v>
      </c>
      <c r="N38" s="579">
        <f t="shared" si="44"/>
        <v>206.88651761517619</v>
      </c>
      <c r="O38" s="579">
        <f t="shared" si="44"/>
        <v>189.21544715447158</v>
      </c>
      <c r="P38" s="579">
        <f t="shared" si="44"/>
        <v>189.21544715447152</v>
      </c>
      <c r="Q38" s="579">
        <f t="shared" si="44"/>
        <v>189.21544715447158</v>
      </c>
      <c r="R38" s="579">
        <f t="shared" ref="R38:S38" si="45">R8-R10</f>
        <v>182.80081300813006</v>
      </c>
      <c r="S38" s="579">
        <f t="shared" si="45"/>
        <v>182.80081300813009</v>
      </c>
      <c r="T38" s="501"/>
      <c r="U38" s="212"/>
    </row>
    <row r="39" spans="1:21">
      <c r="A39" s="584" t="s">
        <v>202</v>
      </c>
      <c r="B39" s="585" t="s">
        <v>170</v>
      </c>
      <c r="C39" s="586"/>
      <c r="D39" s="580">
        <f>D37+D38</f>
        <v>271.19165863732042</v>
      </c>
      <c r="E39" s="580">
        <f t="shared" ref="E39:P39" si="46">E37+E38</f>
        <v>267.3263469172449</v>
      </c>
      <c r="F39" s="580">
        <f t="shared" si="46"/>
        <v>248.08290882967606</v>
      </c>
      <c r="G39" s="580">
        <f t="shared" si="46"/>
        <v>258.67473118279571</v>
      </c>
      <c r="H39" s="580">
        <f t="shared" si="46"/>
        <v>256.79999999999995</v>
      </c>
      <c r="I39" s="580">
        <f t="shared" si="46"/>
        <v>191.5638318670577</v>
      </c>
      <c r="J39" s="580">
        <f t="shared" si="46"/>
        <v>258.10909090909092</v>
      </c>
      <c r="K39" s="580">
        <f t="shared" si="46"/>
        <v>241.12242424242424</v>
      </c>
      <c r="L39" s="580">
        <f t="shared" si="46"/>
        <v>202.71052172587008</v>
      </c>
      <c r="M39" s="580">
        <f t="shared" si="46"/>
        <v>259.77979373210661</v>
      </c>
      <c r="N39" s="580">
        <f t="shared" si="46"/>
        <v>255.99678279854902</v>
      </c>
      <c r="O39" s="580">
        <f t="shared" si="46"/>
        <v>239.2895889084283</v>
      </c>
      <c r="P39" s="580">
        <f t="shared" si="46"/>
        <v>239.28958890842824</v>
      </c>
      <c r="Q39" s="580">
        <f>Q37+Q38</f>
        <v>239.2895889084283</v>
      </c>
      <c r="R39" s="580">
        <f>R37+R38</f>
        <v>233.22484389734177</v>
      </c>
      <c r="S39" s="580">
        <f>S37+S38</f>
        <v>233.22484389734183</v>
      </c>
      <c r="T39" s="501"/>
      <c r="U39" s="212"/>
    </row>
    <row r="40" spans="1:21">
      <c r="A40" s="584"/>
      <c r="B40" s="585"/>
      <c r="C40" s="586"/>
      <c r="D40" s="580"/>
      <c r="E40" s="580"/>
      <c r="F40" s="580"/>
      <c r="G40" s="580"/>
      <c r="H40" s="580"/>
      <c r="I40" s="580"/>
      <c r="J40" s="580"/>
      <c r="K40" s="580"/>
      <c r="L40" s="580"/>
      <c r="M40" s="580"/>
      <c r="N40" s="580"/>
      <c r="O40" s="580"/>
      <c r="P40" s="580"/>
      <c r="Q40" s="580"/>
      <c r="R40" s="580"/>
      <c r="S40" s="580"/>
      <c r="T40" s="501"/>
      <c r="U40" s="212"/>
    </row>
    <row r="41" spans="1:21">
      <c r="A41" s="594" t="s">
        <v>203</v>
      </c>
      <c r="B41" s="595" t="s">
        <v>43</v>
      </c>
      <c r="C41" s="586"/>
      <c r="D41" s="587">
        <f>D7-D35-D36-D27</f>
        <v>0</v>
      </c>
      <c r="E41" s="587">
        <f t="shared" ref="E41:Q41" si="47">E7-E35-E36-E27</f>
        <v>-7.9936057773011271E-15</v>
      </c>
      <c r="F41" s="587">
        <f t="shared" si="47"/>
        <v>1.9539925233402755E-14</v>
      </c>
      <c r="G41" s="587">
        <f t="shared" si="47"/>
        <v>-6.2172489379008766E-14</v>
      </c>
      <c r="H41" s="587">
        <f t="shared" si="47"/>
        <v>7.460698725481052E-14</v>
      </c>
      <c r="I41" s="587">
        <f t="shared" si="47"/>
        <v>0</v>
      </c>
      <c r="J41" s="587">
        <f t="shared" si="47"/>
        <v>1.9539925233402755E-14</v>
      </c>
      <c r="K41" s="587">
        <f t="shared" si="47"/>
        <v>2.6645352591003757E-14</v>
      </c>
      <c r="L41" s="587">
        <f t="shared" si="47"/>
        <v>-1.9539925233402755E-14</v>
      </c>
      <c r="M41" s="587">
        <f t="shared" si="47"/>
        <v>-2.6645352591003757E-14</v>
      </c>
      <c r="N41" s="587">
        <f t="shared" si="47"/>
        <v>-1.7763568394002505E-14</v>
      </c>
      <c r="O41" s="587">
        <f t="shared" si="47"/>
        <v>-3.730349362740526E-14</v>
      </c>
      <c r="P41" s="587">
        <f t="shared" si="47"/>
        <v>0</v>
      </c>
      <c r="Q41" s="587">
        <f t="shared" si="47"/>
        <v>-3.730349362740526E-14</v>
      </c>
      <c r="R41" s="587">
        <f t="shared" ref="R41:S41" si="48">R7-R35-R36-R27</f>
        <v>2.3092638912203256E-14</v>
      </c>
      <c r="S41" s="587">
        <f t="shared" si="48"/>
        <v>-2.1316282072803006E-14</v>
      </c>
      <c r="T41" s="501"/>
      <c r="U41" s="212"/>
    </row>
    <row r="42" spans="1:21">
      <c r="A42" s="594" t="s">
        <v>204</v>
      </c>
      <c r="B42" s="595" t="s">
        <v>43</v>
      </c>
      <c r="C42" s="586"/>
      <c r="D42" s="587"/>
      <c r="E42" s="580">
        <f>E9-E27-E35</f>
        <v>0</v>
      </c>
      <c r="F42" s="580">
        <f t="shared" ref="F42:Q42" si="49">F9-F27-F35</f>
        <v>0</v>
      </c>
      <c r="G42" s="580">
        <f t="shared" si="49"/>
        <v>0</v>
      </c>
      <c r="H42" s="580">
        <f>H9-H27-H35</f>
        <v>0</v>
      </c>
      <c r="I42" s="580">
        <f t="shared" si="49"/>
        <v>0</v>
      </c>
      <c r="J42" s="580">
        <f t="shared" si="49"/>
        <v>0</v>
      </c>
      <c r="K42" s="580">
        <f t="shared" si="49"/>
        <v>0</v>
      </c>
      <c r="L42" s="580">
        <f t="shared" si="49"/>
        <v>0</v>
      </c>
      <c r="M42" s="580">
        <f t="shared" si="49"/>
        <v>0</v>
      </c>
      <c r="N42" s="580">
        <f t="shared" si="49"/>
        <v>0</v>
      </c>
      <c r="O42" s="580">
        <f t="shared" si="49"/>
        <v>0</v>
      </c>
      <c r="P42" s="580">
        <f t="shared" si="49"/>
        <v>0</v>
      </c>
      <c r="Q42" s="580">
        <f t="shared" si="49"/>
        <v>0</v>
      </c>
      <c r="R42" s="580">
        <f t="shared" ref="R42:S42" si="50">R9-R27-R35</f>
        <v>0</v>
      </c>
      <c r="S42" s="580">
        <f t="shared" si="50"/>
        <v>0</v>
      </c>
      <c r="T42" s="501"/>
      <c r="U42" s="212"/>
    </row>
    <row r="43" spans="1:21">
      <c r="A43" s="584"/>
      <c r="B43" s="585"/>
      <c r="C43" s="586"/>
      <c r="D43" s="587"/>
      <c r="E43" s="580"/>
      <c r="F43" s="580"/>
      <c r="G43" s="580"/>
      <c r="H43" s="580"/>
      <c r="I43" s="580"/>
      <c r="J43" s="580"/>
      <c r="K43" s="580"/>
      <c r="L43" s="580"/>
      <c r="M43" s="580"/>
      <c r="N43" s="580"/>
      <c r="O43" s="580"/>
      <c r="P43" s="580"/>
      <c r="Q43" s="580"/>
      <c r="R43" s="580"/>
      <c r="S43" s="580"/>
      <c r="T43" s="501"/>
      <c r="U43" s="212"/>
    </row>
    <row r="44" spans="1:21">
      <c r="A44" s="584"/>
      <c r="B44" s="585"/>
      <c r="C44" s="586"/>
      <c r="D44" s="587"/>
      <c r="E44" s="580"/>
      <c r="F44" s="580"/>
      <c r="G44" s="580"/>
      <c r="H44" s="580"/>
      <c r="I44" s="580"/>
      <c r="J44" s="580"/>
      <c r="K44" s="580"/>
      <c r="L44" s="580"/>
      <c r="M44" s="580"/>
      <c r="N44" s="580"/>
      <c r="O44" s="580"/>
      <c r="P44" s="580"/>
      <c r="Q44" s="580"/>
      <c r="R44" s="580"/>
      <c r="S44" s="580"/>
      <c r="T44" s="501"/>
      <c r="U44" s="212"/>
    </row>
  </sheetData>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AJ44"/>
  <sheetViews>
    <sheetView zoomScale="85" zoomScaleNormal="85" workbookViewId="0">
      <pane xSplit="2" ySplit="1" topLeftCell="T14" activePane="bottomRight" state="frozen"/>
      <selection activeCell="AE71" sqref="AE71"/>
      <selection pane="topRight" activeCell="AE71" sqref="AE71"/>
      <selection pane="bottomLeft" activeCell="AE71" sqref="AE71"/>
      <selection pane="bottomRight" activeCell="U24" sqref="U24"/>
    </sheetView>
  </sheetViews>
  <sheetFormatPr defaultColWidth="8.44140625" defaultRowHeight="14.4"/>
  <cols>
    <col min="1" max="1" width="65.109375" style="294" bestFit="1" customWidth="1"/>
    <col min="2" max="2" width="8.44140625" style="32"/>
    <col min="3" max="25" width="9.109375" style="294" customWidth="1"/>
    <col min="26" max="32" width="8.44140625" style="294"/>
    <col min="33" max="33" width="9.21875" style="294" bestFit="1" customWidth="1"/>
    <col min="34" max="34" width="8.44140625" style="294"/>
    <col min="35" max="35" width="9.109375" style="294" bestFit="1" customWidth="1"/>
    <col min="36" max="16384" width="8.44140625" style="294"/>
  </cols>
  <sheetData>
    <row r="1" spans="1:32" s="275" customFormat="1" ht="15" thickBot="1">
      <c r="A1" s="272"/>
      <c r="B1" s="273" t="s">
        <v>72</v>
      </c>
      <c r="C1" s="274">
        <v>43801</v>
      </c>
      <c r="D1" s="274">
        <v>43832</v>
      </c>
      <c r="E1" s="274">
        <v>43863</v>
      </c>
      <c r="F1" s="274">
        <v>43892</v>
      </c>
      <c r="G1" s="274">
        <v>43923</v>
      </c>
      <c r="H1" s="274">
        <v>43953</v>
      </c>
      <c r="I1" s="274">
        <v>43984</v>
      </c>
      <c r="J1" s="274">
        <v>44014</v>
      </c>
      <c r="K1" s="274">
        <v>44045</v>
      </c>
      <c r="L1" s="274">
        <v>44076</v>
      </c>
      <c r="M1" s="274">
        <v>44106</v>
      </c>
      <c r="N1" s="274">
        <v>44137</v>
      </c>
      <c r="O1" s="274">
        <v>44167</v>
      </c>
      <c r="P1" s="274">
        <v>44198</v>
      </c>
      <c r="Q1" s="274">
        <v>44229</v>
      </c>
      <c r="R1" s="274">
        <v>44257</v>
      </c>
      <c r="S1" s="274">
        <v>44288</v>
      </c>
      <c r="T1" s="274">
        <v>44318</v>
      </c>
      <c r="U1" s="274">
        <v>44349</v>
      </c>
      <c r="V1" s="274">
        <v>44379</v>
      </c>
      <c r="W1" s="274">
        <v>44410</v>
      </c>
      <c r="X1" s="274">
        <v>44441</v>
      </c>
      <c r="Y1" s="274">
        <v>44471</v>
      </c>
      <c r="Z1" s="274">
        <v>44502</v>
      </c>
      <c r="AA1" s="274">
        <v>44532</v>
      </c>
      <c r="AB1" s="274">
        <v>44563</v>
      </c>
      <c r="AC1" s="274">
        <v>44594</v>
      </c>
      <c r="AD1" s="274">
        <v>44622</v>
      </c>
      <c r="AE1" s="274">
        <v>44653</v>
      </c>
      <c r="AF1" s="274">
        <v>44683</v>
      </c>
    </row>
    <row r="2" spans="1:32" s="275" customFormat="1">
      <c r="A2" s="276" t="s">
        <v>3</v>
      </c>
      <c r="B2" s="277"/>
      <c r="C2" s="278"/>
      <c r="D2" s="278"/>
    </row>
    <row r="3" spans="1:32" s="275" customFormat="1">
      <c r="A3" s="279" t="s">
        <v>89</v>
      </c>
      <c r="B3" s="280" t="s">
        <v>43</v>
      </c>
      <c r="C3" s="305">
        <f t="shared" ref="C3:T3" si="0">C4+C5+C6</f>
        <v>347.86</v>
      </c>
      <c r="D3" s="305">
        <f t="shared" si="0"/>
        <v>294.16699999999997</v>
      </c>
      <c r="E3" s="305">
        <f t="shared" si="0"/>
        <v>290.39999999999998</v>
      </c>
      <c r="F3" s="305">
        <f t="shared" si="0"/>
        <v>306.5</v>
      </c>
      <c r="G3" s="305">
        <f t="shared" si="0"/>
        <v>250.80099999999999</v>
      </c>
      <c r="H3" s="305">
        <f t="shared" si="0"/>
        <v>233</v>
      </c>
      <c r="I3" s="305">
        <f t="shared" si="0"/>
        <v>242.08</v>
      </c>
      <c r="J3" s="305">
        <f t="shared" si="0"/>
        <v>277.608</v>
      </c>
      <c r="K3" s="305">
        <f t="shared" si="0"/>
        <v>298.5</v>
      </c>
      <c r="L3" s="305">
        <f t="shared" si="0"/>
        <v>289</v>
      </c>
      <c r="M3" s="305">
        <f t="shared" si="0"/>
        <v>286.80200000000002</v>
      </c>
      <c r="N3" s="305">
        <f t="shared" si="0"/>
        <v>300.7</v>
      </c>
      <c r="O3" s="305">
        <f t="shared" si="0"/>
        <v>299.97700000000003</v>
      </c>
      <c r="P3" s="305">
        <f t="shared" si="0"/>
        <v>302.40185793868551</v>
      </c>
      <c r="Q3" s="305">
        <f t="shared" si="0"/>
        <v>308.34023227435034</v>
      </c>
      <c r="R3" s="305">
        <f t="shared" si="0"/>
        <v>322</v>
      </c>
      <c r="S3" s="305">
        <f t="shared" si="0"/>
        <v>296</v>
      </c>
      <c r="T3" s="305">
        <f t="shared" si="0"/>
        <v>324.8</v>
      </c>
      <c r="U3" s="305">
        <f t="shared" ref="U3:AB3" si="1">U4+U5+U6</f>
        <v>304.39553811073461</v>
      </c>
      <c r="V3" s="305">
        <f t="shared" si="1"/>
        <v>313.01</v>
      </c>
      <c r="W3" s="305">
        <f t="shared" si="1"/>
        <v>329.26</v>
      </c>
      <c r="X3" s="305">
        <f t="shared" si="1"/>
        <v>320.83999999999997</v>
      </c>
      <c r="Y3" s="305">
        <f t="shared" si="1"/>
        <v>305.34478840125394</v>
      </c>
      <c r="Z3" s="305">
        <f t="shared" si="1"/>
        <v>325.23456112852654</v>
      </c>
      <c r="AA3" s="305">
        <f t="shared" si="1"/>
        <v>317.94568965517243</v>
      </c>
      <c r="AB3" s="305">
        <f t="shared" si="1"/>
        <v>322.64568965517242</v>
      </c>
      <c r="AC3" s="305">
        <f t="shared" ref="AC3:AD3" si="2">AC4+AC5+AC6</f>
        <v>304.38965517241382</v>
      </c>
      <c r="AD3" s="305">
        <f t="shared" si="2"/>
        <v>319.64568965517242</v>
      </c>
      <c r="AE3" s="305">
        <f t="shared" ref="AE3:AF3" si="3">AE4+AE5+AE6</f>
        <v>310.56034482758628</v>
      </c>
      <c r="AF3" s="305">
        <f t="shared" si="3"/>
        <v>314.64568965517242</v>
      </c>
    </row>
    <row r="4" spans="1:32" s="275" customFormat="1">
      <c r="A4" s="281" t="s">
        <v>90</v>
      </c>
      <c r="B4" s="282" t="s">
        <v>43</v>
      </c>
      <c r="C4" s="306">
        <v>308.76</v>
      </c>
      <c r="D4" s="306">
        <f>'C3LPG'!M59</f>
        <v>274.16699999999997</v>
      </c>
      <c r="E4" s="306">
        <f>'C3LPG'!N59</f>
        <v>269</v>
      </c>
      <c r="F4" s="306">
        <f>'C3LPG'!O59</f>
        <v>299.5</v>
      </c>
      <c r="G4" s="306">
        <f>'C3LPG'!P59</f>
        <v>248.80099999999999</v>
      </c>
      <c r="H4" s="306">
        <f>'C3LPG'!Q59</f>
        <v>225</v>
      </c>
      <c r="I4" s="306">
        <f>'C3LPG'!R59</f>
        <v>238.5</v>
      </c>
      <c r="J4" s="306">
        <f>'C3LPG'!S59</f>
        <v>250.608</v>
      </c>
      <c r="K4" s="306">
        <f>'C3LPG'!T59</f>
        <v>270.3</v>
      </c>
      <c r="L4" s="306">
        <f>'C3LPG'!U59</f>
        <v>276</v>
      </c>
      <c r="M4" s="306">
        <f>'C3LPG'!V59</f>
        <v>279.80200000000002</v>
      </c>
      <c r="N4" s="306">
        <f>'C3LPG'!W59</f>
        <v>255.7</v>
      </c>
      <c r="O4" s="306">
        <f>'C3LPG'!X59</f>
        <v>267.7</v>
      </c>
      <c r="P4" s="306">
        <f>'C3LPG'!Y59</f>
        <v>277.40185793868551</v>
      </c>
      <c r="Q4" s="306">
        <f>'C3LPG'!Z59</f>
        <v>254.34023227435031</v>
      </c>
      <c r="R4" s="306">
        <f>'C3LPG'!AA59</f>
        <v>285</v>
      </c>
      <c r="S4" s="306">
        <f>'C3LPG'!AB59</f>
        <v>264.5</v>
      </c>
      <c r="T4" s="306">
        <f>'C3LPG'!AC59</f>
        <v>288.8</v>
      </c>
      <c r="U4" s="306">
        <f>'C3LPG'!AD59</f>
        <v>278.39553811073461</v>
      </c>
      <c r="V4" s="306">
        <f>'C3LPG'!AE59</f>
        <v>211.01</v>
      </c>
      <c r="W4" s="306">
        <f>'C3LPG'!AF59</f>
        <v>293.26</v>
      </c>
      <c r="X4" s="306">
        <f>'C3LPG'!AG59</f>
        <v>267.83999999999997</v>
      </c>
      <c r="Y4" s="306">
        <f>'C3LPG'!AH59</f>
        <v>255.34478840125394</v>
      </c>
      <c r="Z4" s="306">
        <f>'C3LPG'!AI59</f>
        <v>280.23456112852654</v>
      </c>
      <c r="AA4" s="306">
        <f>'C3LPG'!AJ59</f>
        <v>290.94568965517243</v>
      </c>
      <c r="AB4" s="306">
        <f>'C3LPG'!AK59</f>
        <v>281.64568965517242</v>
      </c>
      <c r="AC4" s="306">
        <f>'C3LPG'!AL59</f>
        <v>254.38965517241382</v>
      </c>
      <c r="AD4" s="306">
        <f>'C3LPG'!AM59</f>
        <v>281.64568965517242</v>
      </c>
      <c r="AE4" s="306">
        <f>'C3LPG'!AN59</f>
        <v>272.56034482758628</v>
      </c>
      <c r="AF4" s="306">
        <f>'C3LPG'!AO59</f>
        <v>281.64568965517242</v>
      </c>
    </row>
    <row r="5" spans="1:32" s="275" customFormat="1">
      <c r="A5" s="281" t="s">
        <v>91</v>
      </c>
      <c r="B5" s="282" t="s">
        <v>43</v>
      </c>
      <c r="C5" s="306">
        <v>25</v>
      </c>
      <c r="D5" s="306">
        <f>'C3LPG'!M61</f>
        <v>20</v>
      </c>
      <c r="E5" s="306">
        <f>'C3LPG'!N61</f>
        <v>18</v>
      </c>
      <c r="F5" s="306">
        <f>'C3LPG'!O61</f>
        <v>7</v>
      </c>
      <c r="G5" s="306">
        <f>'C3LPG'!P61</f>
        <v>2</v>
      </c>
      <c r="H5" s="306">
        <f>'C3LPG'!Q61</f>
        <v>6</v>
      </c>
      <c r="I5" s="306">
        <f>'C3LPG'!R61</f>
        <v>0</v>
      </c>
      <c r="J5" s="306">
        <f>'C3LPG'!S61</f>
        <v>4</v>
      </c>
      <c r="K5" s="306">
        <f>'C3LPG'!T61</f>
        <v>1.2</v>
      </c>
      <c r="L5" s="306">
        <f>'C3LPG'!U61</f>
        <v>0</v>
      </c>
      <c r="M5" s="306">
        <f>'C3LPG'!V61</f>
        <v>0</v>
      </c>
      <c r="N5" s="306">
        <f>'C3LPG'!W61</f>
        <v>13</v>
      </c>
      <c r="O5" s="306">
        <f>'C3LPG'!X61</f>
        <v>11.6</v>
      </c>
      <c r="P5" s="306">
        <f>'C3LPG'!Y61</f>
        <v>19</v>
      </c>
      <c r="Q5" s="306">
        <f>'C3LPG'!Z61</f>
        <v>15</v>
      </c>
      <c r="R5" s="306">
        <f>'C3LPG'!AA61</f>
        <v>0</v>
      </c>
      <c r="S5" s="306">
        <f>'C3LPG'!AB61</f>
        <v>2</v>
      </c>
      <c r="T5" s="306">
        <f>'C3LPG'!AC61</f>
        <v>0</v>
      </c>
      <c r="U5" s="306">
        <f>'C3LPG'!AD61</f>
        <v>0</v>
      </c>
      <c r="V5" s="306">
        <f>'C3LPG'!AE61</f>
        <v>0</v>
      </c>
      <c r="W5" s="306">
        <f>'C3LPG'!AF61</f>
        <v>0</v>
      </c>
      <c r="X5" s="306">
        <f>'C3LPG'!AG61</f>
        <v>0</v>
      </c>
      <c r="Y5" s="306">
        <f>'C3LPG'!AH61</f>
        <v>0</v>
      </c>
      <c r="Z5" s="306">
        <f>'C3LPG'!AI61</f>
        <v>0</v>
      </c>
      <c r="AA5" s="306">
        <f>'C3LPG'!AJ61</f>
        <v>0</v>
      </c>
      <c r="AB5" s="306">
        <f>'C3LPG'!AK61</f>
        <v>0</v>
      </c>
      <c r="AC5" s="306">
        <f>'C3LPG'!AL61</f>
        <v>0</v>
      </c>
      <c r="AD5" s="306">
        <f>'C3LPG'!AM61</f>
        <v>0</v>
      </c>
      <c r="AE5" s="306">
        <f>'C3LPG'!AN61</f>
        <v>0</v>
      </c>
      <c r="AF5" s="306">
        <f>'C3LPG'!AO61</f>
        <v>0</v>
      </c>
    </row>
    <row r="6" spans="1:32" s="275" customFormat="1">
      <c r="A6" s="281" t="s">
        <v>46</v>
      </c>
      <c r="B6" s="282" t="s">
        <v>43</v>
      </c>
      <c r="C6" s="306">
        <v>14.1</v>
      </c>
      <c r="D6" s="306">
        <f>'C3LPG'!M8</f>
        <v>0</v>
      </c>
      <c r="E6" s="306">
        <f>'C3LPG'!N8</f>
        <v>3.4</v>
      </c>
      <c r="F6" s="306">
        <f>'C3LPG'!O8</f>
        <v>0</v>
      </c>
      <c r="G6" s="306">
        <f>'C3LPG'!P8</f>
        <v>0</v>
      </c>
      <c r="H6" s="306">
        <f>'C3LPG'!Q8</f>
        <v>2</v>
      </c>
      <c r="I6" s="306">
        <f>'C3LPG'!R8</f>
        <v>3.58</v>
      </c>
      <c r="J6" s="306">
        <f>'C3LPG'!S8</f>
        <v>23</v>
      </c>
      <c r="K6" s="306">
        <f>'C3LPG'!T8</f>
        <v>27</v>
      </c>
      <c r="L6" s="306">
        <f>'C3LPG'!U8</f>
        <v>13</v>
      </c>
      <c r="M6" s="306">
        <f>'C3LPG'!V8</f>
        <v>7</v>
      </c>
      <c r="N6" s="306">
        <f>'C3LPG'!W8</f>
        <v>32</v>
      </c>
      <c r="O6" s="306">
        <f>'C3LPG'!X8</f>
        <v>20.677</v>
      </c>
      <c r="P6" s="306">
        <f>'C3LPG'!Y8</f>
        <v>6</v>
      </c>
      <c r="Q6" s="306">
        <f>'C3LPG'!Z8</f>
        <v>39</v>
      </c>
      <c r="R6" s="306">
        <f>'C3LPG'!AA8</f>
        <v>37</v>
      </c>
      <c r="S6" s="306">
        <f>'C3LPG'!AB8</f>
        <v>29.5</v>
      </c>
      <c r="T6" s="306">
        <f>'C3LPG'!AC8</f>
        <v>36</v>
      </c>
      <c r="U6" s="306">
        <f>'C3LPG'!AD8</f>
        <v>26</v>
      </c>
      <c r="V6" s="306">
        <f>'C3LPG'!AE8</f>
        <v>102</v>
      </c>
      <c r="W6" s="306">
        <f>'C3LPG'!AF8</f>
        <v>36</v>
      </c>
      <c r="X6" s="306">
        <f>'C3LPG'!AG8</f>
        <v>53</v>
      </c>
      <c r="Y6" s="306">
        <f>'C3LPG'!AH8</f>
        <v>50</v>
      </c>
      <c r="Z6" s="306">
        <f>'C3LPG'!AI8</f>
        <v>45</v>
      </c>
      <c r="AA6" s="306">
        <f>'C3LPG'!AJ8</f>
        <v>27</v>
      </c>
      <c r="AB6" s="306">
        <f>'C3LPG'!AK8</f>
        <v>41</v>
      </c>
      <c r="AC6" s="306">
        <f>'C3LPG'!AL8</f>
        <v>50</v>
      </c>
      <c r="AD6" s="306">
        <f>'C3LPG'!AM8</f>
        <v>38</v>
      </c>
      <c r="AE6" s="306">
        <f>'C3LPG'!AN8</f>
        <v>38</v>
      </c>
      <c r="AF6" s="306">
        <f>'C3LPG'!AO8</f>
        <v>33</v>
      </c>
    </row>
    <row r="7" spans="1:32" s="275" customFormat="1">
      <c r="A7" s="279" t="s">
        <v>6</v>
      </c>
      <c r="B7" s="280" t="s">
        <v>43</v>
      </c>
      <c r="C7" s="305">
        <f t="shared" ref="C7:AF7" si="4">+C8+C9+C13</f>
        <v>344.06112309999997</v>
      </c>
      <c r="D7" s="305">
        <f t="shared" si="4"/>
        <v>315.41329082000004</v>
      </c>
      <c r="E7" s="305">
        <f t="shared" si="4"/>
        <v>273.98145952999994</v>
      </c>
      <c r="F7" s="305">
        <f t="shared" si="4"/>
        <v>305.178</v>
      </c>
      <c r="G7" s="305">
        <f t="shared" si="4"/>
        <v>266.24</v>
      </c>
      <c r="H7" s="305">
        <f t="shared" si="4"/>
        <v>220.37659381</v>
      </c>
      <c r="I7" s="305">
        <f t="shared" si="4"/>
        <v>259.59017382000002</v>
      </c>
      <c r="J7" s="305">
        <f t="shared" si="4"/>
        <v>276.56</v>
      </c>
      <c r="K7" s="305">
        <f t="shared" si="4"/>
        <v>301.61236263736265</v>
      </c>
      <c r="L7" s="305">
        <f t="shared" si="4"/>
        <v>277.89999999999998</v>
      </c>
      <c r="M7" s="305">
        <f t="shared" si="4"/>
        <v>296.91999999999996</v>
      </c>
      <c r="N7" s="305">
        <f t="shared" si="4"/>
        <v>295.10240770999997</v>
      </c>
      <c r="O7" s="305">
        <f t="shared" si="4"/>
        <v>307.56399999999996</v>
      </c>
      <c r="P7" s="305">
        <f t="shared" si="4"/>
        <v>298.947</v>
      </c>
      <c r="Q7" s="305">
        <f t="shared" si="4"/>
        <v>302.78343945</v>
      </c>
      <c r="R7" s="305">
        <f t="shared" si="4"/>
        <v>326.94600000000003</v>
      </c>
      <c r="S7" s="305">
        <f t="shared" si="4"/>
        <v>296.59099999999995</v>
      </c>
      <c r="T7" s="305">
        <f t="shared" si="4"/>
        <v>342.22699999999998</v>
      </c>
      <c r="U7" s="305">
        <f t="shared" si="4"/>
        <v>317.90299999999996</v>
      </c>
      <c r="V7" s="305">
        <f t="shared" si="4"/>
        <v>305.07056137000001</v>
      </c>
      <c r="W7" s="305">
        <f t="shared" si="4"/>
        <v>331.67965578999997</v>
      </c>
      <c r="X7" s="305">
        <f t="shared" si="4"/>
        <v>321.15512603000002</v>
      </c>
      <c r="Y7" s="305">
        <f t="shared" si="4"/>
        <v>306.14515352999996</v>
      </c>
      <c r="Z7" s="305">
        <f t="shared" si="4"/>
        <v>325.73638481</v>
      </c>
      <c r="AA7" s="305">
        <f t="shared" si="4"/>
        <v>316.35826785</v>
      </c>
      <c r="AB7" s="305">
        <f t="shared" si="4"/>
        <v>322.40471331232879</v>
      </c>
      <c r="AC7" s="305">
        <f t="shared" si="4"/>
        <v>304.88027036178084</v>
      </c>
      <c r="AD7" s="305">
        <f t="shared" si="4"/>
        <v>319.39914868232881</v>
      </c>
      <c r="AE7" s="305">
        <f t="shared" si="4"/>
        <v>310.31380041547948</v>
      </c>
      <c r="AF7" s="305">
        <f t="shared" si="4"/>
        <v>314.77859898232879</v>
      </c>
    </row>
    <row r="8" spans="1:32" s="275" customFormat="1">
      <c r="A8" s="281" t="s">
        <v>92</v>
      </c>
      <c r="B8" s="282" t="s">
        <v>43</v>
      </c>
      <c r="C8" s="306">
        <v>127.133</v>
      </c>
      <c r="D8" s="306">
        <f>'C3LPG'!M160</f>
        <v>109.81</v>
      </c>
      <c r="E8" s="306">
        <f>'C3LPG'!N160</f>
        <v>84.705999999999989</v>
      </c>
      <c r="F8" s="306">
        <f>'C3LPG'!O160</f>
        <v>119.328</v>
      </c>
      <c r="G8" s="306">
        <f>'C3LPG'!P160</f>
        <v>121.05</v>
      </c>
      <c r="H8" s="306">
        <f>'C3LPG'!Q160</f>
        <v>73.457999999999998</v>
      </c>
      <c r="I8" s="306">
        <f>'C3LPG'!R160</f>
        <v>99.144000000000005</v>
      </c>
      <c r="J8" s="306">
        <f>'C3LPG'!S160</f>
        <v>95.72999999999999</v>
      </c>
      <c r="K8" s="306">
        <f>'C3LPG'!T160</f>
        <v>108.71236263736263</v>
      </c>
      <c r="L8" s="306">
        <f>'C3LPG'!U160</f>
        <v>94.41</v>
      </c>
      <c r="M8" s="306">
        <f>'C3LPG'!V160</f>
        <v>97.06</v>
      </c>
      <c r="N8" s="306">
        <f>'C3LPG'!W160</f>
        <v>100.8</v>
      </c>
      <c r="O8" s="306">
        <f>'C3LPG'!X160</f>
        <v>112.874</v>
      </c>
      <c r="P8" s="306">
        <f>'C3LPG'!Y160</f>
        <v>114.867</v>
      </c>
      <c r="Q8" s="306">
        <f>'C3LPG'!Z160</f>
        <v>120.536</v>
      </c>
      <c r="R8" s="306">
        <f>'C3LPG'!AA160</f>
        <v>128.65600000000001</v>
      </c>
      <c r="S8" s="306">
        <f>'C3LPG'!AB160</f>
        <v>128.49099999999999</v>
      </c>
      <c r="T8" s="306">
        <f>'C3LPG'!AC160</f>
        <v>174.92699999999999</v>
      </c>
      <c r="U8" s="306">
        <f>'C3LPG'!AD160</f>
        <v>145.893</v>
      </c>
      <c r="V8" s="306">
        <f>'C3LPG'!AE160</f>
        <v>124.81700000000001</v>
      </c>
      <c r="W8" s="306">
        <f>'C3LPG'!AF160</f>
        <v>138.761</v>
      </c>
      <c r="X8" s="306">
        <f>'C3LPG'!AG160</f>
        <v>130.11700000000002</v>
      </c>
      <c r="Y8" s="306">
        <f>'C3LPG'!AH160</f>
        <v>113.414</v>
      </c>
      <c r="Z8" s="306">
        <f>'C3LPG'!AI160</f>
        <v>133.29500000000002</v>
      </c>
      <c r="AA8" s="306">
        <f>'C3LPG'!AJ160</f>
        <v>119.26600000000001</v>
      </c>
      <c r="AB8" s="306">
        <f>'C3LPG'!AK160</f>
        <v>125.89287671232877</v>
      </c>
      <c r="AC8" s="306">
        <f>'C3LPG'!AL160</f>
        <v>115.25808219178083</v>
      </c>
      <c r="AD8" s="306">
        <f>'C3LPG'!AM160</f>
        <v>125.89287671232877</v>
      </c>
      <c r="AE8" s="306">
        <f>'C3LPG'!AN160</f>
        <v>122.34794520547945</v>
      </c>
      <c r="AF8" s="306">
        <f>'C3LPG'!AO160</f>
        <v>125.89287671232877</v>
      </c>
    </row>
    <row r="9" spans="1:32" s="275" customFormat="1">
      <c r="A9" s="281" t="s">
        <v>93</v>
      </c>
      <c r="B9" s="282" t="s">
        <v>43</v>
      </c>
      <c r="C9" s="307">
        <f t="shared" ref="C9:M9" si="5">+C10+C11+C12</f>
        <v>216.92812309999997</v>
      </c>
      <c r="D9" s="307">
        <f t="shared" si="5"/>
        <v>205.60329082000001</v>
      </c>
      <c r="E9" s="307">
        <f t="shared" si="5"/>
        <v>195.24545953000001</v>
      </c>
      <c r="F9" s="307">
        <f t="shared" si="5"/>
        <v>180</v>
      </c>
      <c r="G9" s="307">
        <f t="shared" si="5"/>
        <v>145.19</v>
      </c>
      <c r="H9" s="307">
        <f t="shared" si="5"/>
        <v>146.91859381</v>
      </c>
      <c r="I9" s="307">
        <f t="shared" si="5"/>
        <v>160.44617381999998</v>
      </c>
      <c r="J9" s="307">
        <f t="shared" si="5"/>
        <v>180.83</v>
      </c>
      <c r="K9" s="307">
        <f t="shared" si="5"/>
        <v>192.9</v>
      </c>
      <c r="L9" s="307">
        <f t="shared" si="5"/>
        <v>188.49</v>
      </c>
      <c r="M9" s="307">
        <f t="shared" si="5"/>
        <v>199.85999999999999</v>
      </c>
      <c r="N9" s="307">
        <f t="shared" ref="N9:T9" si="6">+N10+N11+N12</f>
        <v>194.30240770999998</v>
      </c>
      <c r="O9" s="307">
        <f t="shared" si="6"/>
        <v>194.69</v>
      </c>
      <c r="P9" s="307">
        <f t="shared" si="6"/>
        <v>184.08</v>
      </c>
      <c r="Q9" s="307">
        <f t="shared" si="6"/>
        <v>182.24743945</v>
      </c>
      <c r="R9" s="307">
        <f t="shared" si="6"/>
        <v>198.29</v>
      </c>
      <c r="S9" s="307">
        <f t="shared" si="6"/>
        <v>168.09999999999997</v>
      </c>
      <c r="T9" s="307">
        <f t="shared" si="6"/>
        <v>170.29999999999995</v>
      </c>
      <c r="U9" s="307">
        <f t="shared" ref="U9:AB9" si="7">+U10+U11+U12</f>
        <v>172.00999999999996</v>
      </c>
      <c r="V9" s="307">
        <f t="shared" si="7"/>
        <v>180.25356137</v>
      </c>
      <c r="W9" s="307">
        <f t="shared" si="7"/>
        <v>192.91865579</v>
      </c>
      <c r="X9" s="307">
        <f t="shared" si="7"/>
        <v>191.03812603000003</v>
      </c>
      <c r="Y9" s="307">
        <f t="shared" si="7"/>
        <v>192.73115352999997</v>
      </c>
      <c r="Z9" s="307">
        <f t="shared" si="7"/>
        <v>192.44138480999999</v>
      </c>
      <c r="AA9" s="307">
        <f t="shared" si="7"/>
        <v>197.09226785000001</v>
      </c>
      <c r="AB9" s="307">
        <f t="shared" si="7"/>
        <v>196.51183660000001</v>
      </c>
      <c r="AC9" s="307">
        <f t="shared" ref="AC9:AD9" si="8">+AC10+AC11+AC12</f>
        <v>189.62218817000002</v>
      </c>
      <c r="AD9" s="307">
        <f t="shared" si="8"/>
        <v>193.50627197000003</v>
      </c>
      <c r="AE9" s="307">
        <f t="shared" ref="AE9:AF9" si="9">+AE10+AE11+AE12</f>
        <v>187.96585521</v>
      </c>
      <c r="AF9" s="307">
        <f t="shared" si="9"/>
        <v>188.88572227</v>
      </c>
    </row>
    <row r="10" spans="1:32" s="275" customFormat="1">
      <c r="A10" s="283" t="s">
        <v>94</v>
      </c>
      <c r="B10" s="284" t="s">
        <v>43</v>
      </c>
      <c r="C10" s="306">
        <v>24.62</v>
      </c>
      <c r="D10" s="306">
        <f>'C3LPG'!M164</f>
        <v>22.66</v>
      </c>
      <c r="E10" s="306">
        <f>'C3LPG'!N164</f>
        <v>18.09</v>
      </c>
      <c r="F10" s="306">
        <f>'C3LPG'!O164</f>
        <v>17.23</v>
      </c>
      <c r="G10" s="306">
        <f>'C3LPG'!P164</f>
        <v>11.25</v>
      </c>
      <c r="H10" s="306">
        <f>'C3LPG'!Q164</f>
        <v>12.100000000000001</v>
      </c>
      <c r="I10" s="306">
        <f>'C3LPG'!R164</f>
        <v>17.88</v>
      </c>
      <c r="J10" s="306">
        <f>'C3LPG'!S164</f>
        <v>23.200000000000003</v>
      </c>
      <c r="K10" s="306">
        <f>'C3LPG'!T164</f>
        <v>31.1</v>
      </c>
      <c r="L10" s="306">
        <f>'C3LPG'!U164</f>
        <v>28.200000000000003</v>
      </c>
      <c r="M10" s="306">
        <f>'C3LPG'!V164</f>
        <v>31.5</v>
      </c>
      <c r="N10" s="306">
        <f>'C3LPG'!W164</f>
        <v>32.200000000000003</v>
      </c>
      <c r="O10" s="306">
        <f>'C3LPG'!X164</f>
        <v>30.77</v>
      </c>
      <c r="P10" s="306">
        <f>'C3LPG'!Y164</f>
        <v>26.55</v>
      </c>
      <c r="Q10" s="306">
        <f>'C3LPG'!Z164</f>
        <v>32.519999999999996</v>
      </c>
      <c r="R10" s="306">
        <f>'C3LPG'!AA164</f>
        <v>34.83</v>
      </c>
      <c r="S10" s="306">
        <f>'C3LPG'!AB164</f>
        <v>29.07</v>
      </c>
      <c r="T10" s="306">
        <f>'C3LPG'!AC164</f>
        <v>28.019999999999996</v>
      </c>
      <c r="U10" s="306">
        <f>'C3LPG'!AD164</f>
        <v>27.019999999999996</v>
      </c>
      <c r="V10" s="306">
        <f>'C3LPG'!AE164</f>
        <v>28.58</v>
      </c>
      <c r="W10" s="306">
        <f>'C3LPG'!AF164</f>
        <v>30.68</v>
      </c>
      <c r="X10" s="306">
        <f>'C3LPG'!AG164</f>
        <v>30.68</v>
      </c>
      <c r="Y10" s="306">
        <f>'C3LPG'!AH164</f>
        <v>30.68</v>
      </c>
      <c r="Z10" s="306">
        <f>'C3LPG'!AI164</f>
        <v>30.68</v>
      </c>
      <c r="AA10" s="306">
        <f>'C3LPG'!AJ164</f>
        <v>30.68</v>
      </c>
      <c r="AB10" s="306">
        <f>'C3LPG'!AK164</f>
        <v>30.68</v>
      </c>
      <c r="AC10" s="306">
        <f>'C3LPG'!AL164</f>
        <v>30.68</v>
      </c>
      <c r="AD10" s="306">
        <f>'C3LPG'!AM164</f>
        <v>30.68</v>
      </c>
      <c r="AE10" s="306">
        <f>'C3LPG'!AN164</f>
        <v>30.68</v>
      </c>
      <c r="AF10" s="306">
        <f>'C3LPG'!AO164</f>
        <v>30.68</v>
      </c>
    </row>
    <row r="11" spans="1:32" s="275" customFormat="1">
      <c r="A11" s="283" t="s">
        <v>95</v>
      </c>
      <c r="B11" s="284" t="s">
        <v>43</v>
      </c>
      <c r="C11" s="306">
        <v>191.20567744999997</v>
      </c>
      <c r="D11" s="306">
        <f>'C3LPG'!M165</f>
        <v>181.64329082</v>
      </c>
      <c r="E11" s="306">
        <f>'C3LPG'!N165</f>
        <v>175.59545953</v>
      </c>
      <c r="F11" s="306">
        <f>'C3LPG'!O165</f>
        <v>161.47</v>
      </c>
      <c r="G11" s="306">
        <f>'C3LPG'!P165</f>
        <v>132.49</v>
      </c>
      <c r="H11" s="306">
        <f>'C3LPG'!Q165</f>
        <v>133.46</v>
      </c>
      <c r="I11" s="306">
        <f>'C3LPG'!R165</f>
        <v>141.44</v>
      </c>
      <c r="J11" s="306">
        <f>'C3LPG'!S165</f>
        <v>156.22999999999999</v>
      </c>
      <c r="K11" s="306">
        <f>'C3LPG'!T165</f>
        <v>160.78</v>
      </c>
      <c r="L11" s="306">
        <f>'C3LPG'!U165</f>
        <v>158.84</v>
      </c>
      <c r="M11" s="306">
        <f>'C3LPG'!V165</f>
        <v>166.91</v>
      </c>
      <c r="N11" s="306">
        <f>'C3LPG'!W165</f>
        <v>160.70240770999999</v>
      </c>
      <c r="O11" s="306">
        <f>'C3LPG'!X165</f>
        <v>162.72</v>
      </c>
      <c r="P11" s="306">
        <f>'C3LPG'!Y165</f>
        <v>156.13</v>
      </c>
      <c r="Q11" s="306">
        <f>'C3LPG'!Z165</f>
        <v>148.42743945000001</v>
      </c>
      <c r="R11" s="306">
        <f>'C3LPG'!AA165</f>
        <v>162.11000000000001</v>
      </c>
      <c r="S11" s="306">
        <f>'C3LPG'!AB165</f>
        <v>137.82999999999998</v>
      </c>
      <c r="T11" s="306">
        <f>'C3LPG'!AC165</f>
        <v>140.82999999999998</v>
      </c>
      <c r="U11" s="306">
        <f>'C3LPG'!AD165</f>
        <v>143.88999999999999</v>
      </c>
      <c r="V11" s="306">
        <f>'C3LPG'!AE165</f>
        <v>150.47356137</v>
      </c>
      <c r="W11" s="306">
        <f>'C3LPG'!AF165</f>
        <v>160.83865578999999</v>
      </c>
      <c r="X11" s="306">
        <f>'C3LPG'!AG165</f>
        <v>158.95812603000002</v>
      </c>
      <c r="Y11" s="306">
        <f>'C3LPG'!AH165</f>
        <v>160.70115352999997</v>
      </c>
      <c r="Z11" s="306">
        <f>'C3LPG'!AI165</f>
        <v>160.56138480999999</v>
      </c>
      <c r="AA11" s="306">
        <f>'C3LPG'!AJ165</f>
        <v>165.26226785</v>
      </c>
      <c r="AB11" s="306">
        <f>'C3LPG'!AK165</f>
        <v>164.8318366</v>
      </c>
      <c r="AC11" s="306">
        <f>'C3LPG'!AL165</f>
        <v>157.89218817</v>
      </c>
      <c r="AD11" s="306">
        <f>'C3LPG'!AM165</f>
        <v>161.77627197000001</v>
      </c>
      <c r="AE11" s="306">
        <f>'C3LPG'!AN165</f>
        <v>156.28585520999999</v>
      </c>
      <c r="AF11" s="306">
        <f>'C3LPG'!AO165</f>
        <v>157.00572227000001</v>
      </c>
    </row>
    <row r="12" spans="1:32" s="275" customFormat="1">
      <c r="A12" s="283" t="s">
        <v>96</v>
      </c>
      <c r="B12" s="284" t="s">
        <v>43</v>
      </c>
      <c r="C12" s="306">
        <v>1.1024456499999999</v>
      </c>
      <c r="D12" s="306">
        <f>'C3LPG'!M166</f>
        <v>1.3</v>
      </c>
      <c r="E12" s="306">
        <f>'C3LPG'!N166</f>
        <v>1.56</v>
      </c>
      <c r="F12" s="306">
        <f>'C3LPG'!O166</f>
        <v>1.3</v>
      </c>
      <c r="G12" s="306">
        <f>'C3LPG'!P166</f>
        <v>1.45</v>
      </c>
      <c r="H12" s="306">
        <f>'C3LPG'!Q166</f>
        <v>1.3585938099999999</v>
      </c>
      <c r="I12" s="306">
        <f>'C3LPG'!R166</f>
        <v>1.12617382</v>
      </c>
      <c r="J12" s="306">
        <f>'C3LPG'!S166</f>
        <v>1.4</v>
      </c>
      <c r="K12" s="306">
        <f>'C3LPG'!T166</f>
        <v>1.02</v>
      </c>
      <c r="L12" s="306">
        <f>'C3LPG'!U166</f>
        <v>1.45</v>
      </c>
      <c r="M12" s="306">
        <f>'C3LPG'!V166</f>
        <v>1.4500000000000002</v>
      </c>
      <c r="N12" s="306">
        <f>'C3LPG'!W166</f>
        <v>1.4</v>
      </c>
      <c r="O12" s="306">
        <f>'C3LPG'!X166</f>
        <v>1.2</v>
      </c>
      <c r="P12" s="306">
        <f>'C3LPG'!Y166</f>
        <v>1.4</v>
      </c>
      <c r="Q12" s="306">
        <f>'C3LPG'!Z166</f>
        <v>1.2999999999999998</v>
      </c>
      <c r="R12" s="306">
        <f>'C3LPG'!AA166</f>
        <v>1.35</v>
      </c>
      <c r="S12" s="306">
        <f>'C3LPG'!AB166</f>
        <v>1.2</v>
      </c>
      <c r="T12" s="306">
        <f>'C3LPG'!AC166</f>
        <v>1.45</v>
      </c>
      <c r="U12" s="306">
        <f>'C3LPG'!AD166</f>
        <v>1.1000000000000001</v>
      </c>
      <c r="V12" s="306">
        <f>'C3LPG'!AE166</f>
        <v>1.2</v>
      </c>
      <c r="W12" s="306">
        <f>'C3LPG'!AF166</f>
        <v>1.4</v>
      </c>
      <c r="X12" s="306">
        <f>'C3LPG'!AG166</f>
        <v>1.4</v>
      </c>
      <c r="Y12" s="306">
        <f>'C3LPG'!AH166</f>
        <v>1.35</v>
      </c>
      <c r="Z12" s="306">
        <f>'C3LPG'!AI166</f>
        <v>1.2</v>
      </c>
      <c r="AA12" s="306">
        <f>'C3LPG'!AJ166</f>
        <v>1.1499999999999999</v>
      </c>
      <c r="AB12" s="306">
        <f>'C3LPG'!AK166</f>
        <v>1</v>
      </c>
      <c r="AC12" s="306">
        <f>'C3LPG'!AL166</f>
        <v>1.05</v>
      </c>
      <c r="AD12" s="306">
        <f>'C3LPG'!AM166</f>
        <v>1.05</v>
      </c>
      <c r="AE12" s="306">
        <f>'C3LPG'!AN166</f>
        <v>1</v>
      </c>
      <c r="AF12" s="306">
        <f>'C3LPG'!AO166</f>
        <v>1.2</v>
      </c>
    </row>
    <row r="13" spans="1:32" s="275" customFormat="1">
      <c r="A13" s="281" t="s">
        <v>97</v>
      </c>
      <c r="B13" s="282" t="s">
        <v>43</v>
      </c>
      <c r="C13" s="306"/>
      <c r="D13" s="306">
        <f>'C3LPG'!M9</f>
        <v>0</v>
      </c>
      <c r="E13" s="306">
        <f>'C3LPG'!N9</f>
        <v>-5.97</v>
      </c>
      <c r="F13" s="306">
        <f>'C3LPG'!O9</f>
        <v>5.85</v>
      </c>
      <c r="G13" s="306">
        <f>'C3LPG'!P9</f>
        <v>0</v>
      </c>
      <c r="H13" s="306">
        <f>'C3LPG'!Q9</f>
        <v>0</v>
      </c>
      <c r="I13" s="306">
        <f>'C3LPG'!R9</f>
        <v>0</v>
      </c>
      <c r="J13" s="306">
        <f>'C3LPG'!S9</f>
        <v>0</v>
      </c>
      <c r="K13" s="306">
        <f>'C3LPG'!T9</f>
        <v>0</v>
      </c>
      <c r="L13" s="306">
        <f>'C3LPG'!U9</f>
        <v>-5</v>
      </c>
      <c r="M13" s="306">
        <f>'C3LPG'!V9</f>
        <v>0</v>
      </c>
      <c r="N13" s="306">
        <f>'C3LPG'!W9</f>
        <v>0</v>
      </c>
      <c r="O13" s="306">
        <f>'C3LPG'!X9</f>
        <v>0</v>
      </c>
      <c r="P13" s="306">
        <f>'C3LPG'!Y9</f>
        <v>0</v>
      </c>
      <c r="Q13" s="306">
        <f>'C3LPG'!Z9</f>
        <v>0</v>
      </c>
      <c r="R13" s="306">
        <f>'C3LPG'!AA9</f>
        <v>0</v>
      </c>
      <c r="S13" s="306">
        <f>'C3LPG'!AB9</f>
        <v>0</v>
      </c>
      <c r="T13" s="306">
        <f>'C3LPG'!AC9</f>
        <v>-3</v>
      </c>
      <c r="U13" s="306">
        <f>'C3LPG'!AD9</f>
        <v>0</v>
      </c>
      <c r="V13" s="306">
        <f>'C3LPG'!AE9</f>
        <v>0</v>
      </c>
      <c r="W13" s="306">
        <f>'C3LPG'!AF9</f>
        <v>0</v>
      </c>
      <c r="X13" s="306">
        <f>'C3LPG'!AG9</f>
        <v>0</v>
      </c>
      <c r="Y13" s="306">
        <f>'C3LPG'!AH9</f>
        <v>0</v>
      </c>
      <c r="Z13" s="306">
        <f>'C3LPG'!AI9</f>
        <v>0</v>
      </c>
      <c r="AA13" s="306">
        <f>'C3LPG'!AJ9</f>
        <v>0</v>
      </c>
      <c r="AB13" s="306">
        <f>'C3LPG'!AK9</f>
        <v>0</v>
      </c>
      <c r="AC13" s="306">
        <f>'C3LPG'!AL9</f>
        <v>0</v>
      </c>
      <c r="AD13" s="306">
        <f>'C3LPG'!AM9</f>
        <v>0</v>
      </c>
      <c r="AE13" s="306">
        <f>'C3LPG'!AN9</f>
        <v>0</v>
      </c>
      <c r="AF13" s="306">
        <f>'C3LPG'!AO9</f>
        <v>0</v>
      </c>
    </row>
    <row r="14" spans="1:32" s="275" customFormat="1">
      <c r="A14" s="285" t="s">
        <v>98</v>
      </c>
      <c r="B14" s="286" t="s">
        <v>43</v>
      </c>
      <c r="C14" s="308">
        <v>31.888097230590823</v>
      </c>
      <c r="D14" s="308">
        <f>'C3LPG'!M2</f>
        <v>16.827883907470703</v>
      </c>
      <c r="E14" s="308">
        <f>'C3LPG'!N2</f>
        <v>36.020527630224606</v>
      </c>
      <c r="F14" s="308">
        <f>'C3LPG'!O2</f>
        <v>33.684161457519529</v>
      </c>
      <c r="G14" s="308">
        <f>'C3LPG'!P2</f>
        <v>18.635842199999999</v>
      </c>
      <c r="H14" s="308">
        <f>'C3LPG'!Q2</f>
        <v>29.542833899999998</v>
      </c>
      <c r="I14" s="308">
        <f>'C3LPG'!R2</f>
        <v>14.458839999999999</v>
      </c>
      <c r="J14" s="308">
        <f>'C3LPG'!S2</f>
        <v>18.007720000000003</v>
      </c>
      <c r="K14" s="308">
        <f>'C3LPG'!T2</f>
        <v>15.124660000000002</v>
      </c>
      <c r="L14" s="308">
        <f>'C3LPG'!U2</f>
        <v>26.696860000000001</v>
      </c>
      <c r="M14" s="308">
        <f>'C3LPG'!V2</f>
        <v>14.437240000000001</v>
      </c>
      <c r="N14" s="308">
        <f>'C3LPG'!W2</f>
        <v>22.420850699999999</v>
      </c>
      <c r="O14" s="308">
        <f>'C3LPG'!X2</f>
        <v>18.055042360000002</v>
      </c>
      <c r="P14" s="308">
        <f>'C3LPG'!Y2</f>
        <v>24.4024</v>
      </c>
      <c r="Q14" s="308">
        <f>'C3LPG'!Z2</f>
        <v>28.877920000000003</v>
      </c>
      <c r="R14" s="308">
        <f>'C3LPG'!AA2</f>
        <v>23.042922528000002</v>
      </c>
      <c r="S14" s="308">
        <f>'C3LPG'!AB2</f>
        <v>33.906688200000005</v>
      </c>
      <c r="T14" s="308">
        <f>'C3LPG'!AC2</f>
        <v>33.479688200000055</v>
      </c>
      <c r="U14" s="308">
        <f>'C3LPG'!AD2</f>
        <v>19.972226310734705</v>
      </c>
      <c r="V14" s="308">
        <f>'C3LPG'!AE2</f>
        <v>27.911664940734674</v>
      </c>
      <c r="W14" s="308">
        <f>'C3LPG'!AF2</f>
        <v>25.492009150734681</v>
      </c>
      <c r="X14" s="308">
        <f>'C3LPG'!AG2</f>
        <v>25.176883120734665</v>
      </c>
      <c r="Y14" s="308">
        <f>'C3LPG'!AH2</f>
        <v>24.376517991988614</v>
      </c>
      <c r="Z14" s="308">
        <f>'C3LPG'!AI2</f>
        <v>23.874694310515174</v>
      </c>
      <c r="AA14" s="308">
        <f>'C3LPG'!AJ2</f>
        <v>25.462116115687543</v>
      </c>
      <c r="AB14" s="308">
        <f>'C3LPG'!AK2</f>
        <v>25.703092458531195</v>
      </c>
      <c r="AC14" s="308">
        <f>'C3LPG'!AL2</f>
        <v>25.212477269164246</v>
      </c>
      <c r="AD14" s="308">
        <f>'C3LPG'!AM2</f>
        <v>25.459018242007893</v>
      </c>
      <c r="AE14" s="308">
        <f>'C3LPG'!AN2</f>
        <v>25.705562654114722</v>
      </c>
      <c r="AF14" s="308">
        <f>'C3LPG'!AO2</f>
        <v>25.572653326958353</v>
      </c>
    </row>
    <row r="15" spans="1:32" s="275" customFormat="1">
      <c r="A15" s="276" t="s">
        <v>99</v>
      </c>
      <c r="B15" s="277"/>
      <c r="C15" s="309"/>
      <c r="D15" s="309"/>
      <c r="E15" s="310"/>
      <c r="F15" s="310"/>
      <c r="G15" s="310"/>
      <c r="H15" s="310"/>
      <c r="I15" s="310"/>
      <c r="J15" s="310"/>
      <c r="K15" s="310"/>
      <c r="L15" s="310"/>
      <c r="M15" s="310"/>
      <c r="N15" s="310"/>
      <c r="O15" s="310"/>
      <c r="P15" s="310"/>
      <c r="Q15" s="310"/>
      <c r="R15" s="310"/>
      <c r="S15" s="310"/>
      <c r="T15" s="310"/>
      <c r="U15" s="310"/>
      <c r="V15" s="310"/>
      <c r="W15" s="310"/>
      <c r="X15" s="310"/>
      <c r="Y15" s="310"/>
      <c r="Z15" s="310"/>
      <c r="AA15" s="310"/>
      <c r="AB15" s="310"/>
      <c r="AC15" s="310"/>
      <c r="AD15" s="310"/>
      <c r="AE15" s="310"/>
      <c r="AF15" s="310"/>
    </row>
    <row r="16" spans="1:32" s="275" customFormat="1">
      <c r="A16" s="279" t="s">
        <v>89</v>
      </c>
      <c r="B16" s="288" t="s">
        <v>43</v>
      </c>
      <c r="C16" s="311">
        <f>+C17+C18</f>
        <v>223.30567744999996</v>
      </c>
      <c r="D16" s="311">
        <f>+D17+D18</f>
        <v>200.24329082</v>
      </c>
      <c r="E16" s="311">
        <f t="shared" ref="E16:T16" si="10">+E17+E18</f>
        <v>192.49545953000001</v>
      </c>
      <c r="F16" s="311">
        <f t="shared" si="10"/>
        <v>165.27</v>
      </c>
      <c r="G16" s="311">
        <f t="shared" si="10"/>
        <v>146.49</v>
      </c>
      <c r="H16" s="311">
        <f t="shared" si="10"/>
        <v>143.36000000000001</v>
      </c>
      <c r="I16" s="311">
        <f t="shared" si="10"/>
        <v>157.91999999999999</v>
      </c>
      <c r="J16" s="311">
        <f t="shared" si="10"/>
        <v>192.73</v>
      </c>
      <c r="K16" s="311">
        <f t="shared" si="10"/>
        <v>201.28</v>
      </c>
      <c r="L16" s="311">
        <f t="shared" si="10"/>
        <v>182.34</v>
      </c>
      <c r="M16" s="311">
        <f t="shared" si="10"/>
        <v>184.81</v>
      </c>
      <c r="N16" s="311">
        <f t="shared" si="10"/>
        <v>203.20240770999999</v>
      </c>
      <c r="O16" s="311">
        <f t="shared" si="10"/>
        <v>193.09700000000001</v>
      </c>
      <c r="P16" s="311">
        <f t="shared" si="10"/>
        <v>168.63</v>
      </c>
      <c r="Q16" s="311">
        <f t="shared" si="10"/>
        <v>193.92743945000001</v>
      </c>
      <c r="R16" s="311">
        <f t="shared" si="10"/>
        <v>202.96</v>
      </c>
      <c r="S16" s="311">
        <f t="shared" si="10"/>
        <v>170.82999999999998</v>
      </c>
      <c r="T16" s="311">
        <f t="shared" si="10"/>
        <v>177.88</v>
      </c>
      <c r="U16" s="311">
        <f t="shared" ref="U16:AB16" si="11">+U17+U18</f>
        <v>172.48999999999998</v>
      </c>
      <c r="V16" s="311">
        <f t="shared" si="11"/>
        <v>254.57356136999999</v>
      </c>
      <c r="W16" s="311">
        <f t="shared" si="11"/>
        <v>198.93865578999998</v>
      </c>
      <c r="X16" s="311">
        <f t="shared" si="11"/>
        <v>214.05812603000001</v>
      </c>
      <c r="Y16" s="311">
        <f t="shared" si="11"/>
        <v>213.10115352999998</v>
      </c>
      <c r="Z16" s="311">
        <f t="shared" si="11"/>
        <v>207.96138481</v>
      </c>
      <c r="AA16" s="311">
        <f t="shared" si="11"/>
        <v>194.66226785000001</v>
      </c>
      <c r="AB16" s="311">
        <f t="shared" si="11"/>
        <v>208.23183660000001</v>
      </c>
      <c r="AC16" s="311">
        <f t="shared" ref="AC16:AD16" si="12">+AC17+AC18</f>
        <v>210.29218817</v>
      </c>
      <c r="AD16" s="311">
        <f t="shared" si="12"/>
        <v>202.17627197000002</v>
      </c>
      <c r="AE16" s="311">
        <f t="shared" ref="AE16:AF16" si="13">+AE17+AE18</f>
        <v>196.68585521</v>
      </c>
      <c r="AF16" s="311">
        <f t="shared" si="13"/>
        <v>192.40572227000001</v>
      </c>
    </row>
    <row r="17" spans="1:36" s="275" customFormat="1">
      <c r="A17" s="281" t="s">
        <v>100</v>
      </c>
      <c r="B17" s="282" t="s">
        <v>43</v>
      </c>
      <c r="C17" s="307">
        <f>+C11</f>
        <v>191.20567744999997</v>
      </c>
      <c r="D17" s="307">
        <f t="shared" ref="D17:T17" si="14">+D11</f>
        <v>181.64329082</v>
      </c>
      <c r="E17" s="307">
        <f t="shared" si="14"/>
        <v>175.59545953</v>
      </c>
      <c r="F17" s="307">
        <f t="shared" si="14"/>
        <v>161.47</v>
      </c>
      <c r="G17" s="307">
        <f t="shared" si="14"/>
        <v>132.49</v>
      </c>
      <c r="H17" s="307">
        <f t="shared" si="14"/>
        <v>133.46</v>
      </c>
      <c r="I17" s="307">
        <f t="shared" si="14"/>
        <v>141.44</v>
      </c>
      <c r="J17" s="307">
        <f t="shared" si="14"/>
        <v>156.22999999999999</v>
      </c>
      <c r="K17" s="307">
        <f t="shared" si="14"/>
        <v>160.78</v>
      </c>
      <c r="L17" s="307">
        <f t="shared" si="14"/>
        <v>158.84</v>
      </c>
      <c r="M17" s="307">
        <f t="shared" si="14"/>
        <v>166.91</v>
      </c>
      <c r="N17" s="307">
        <f t="shared" si="14"/>
        <v>160.70240770999999</v>
      </c>
      <c r="O17" s="307">
        <f t="shared" si="14"/>
        <v>162.72</v>
      </c>
      <c r="P17" s="307">
        <f t="shared" si="14"/>
        <v>156.13</v>
      </c>
      <c r="Q17" s="307">
        <f t="shared" si="14"/>
        <v>148.42743945000001</v>
      </c>
      <c r="R17" s="307">
        <f t="shared" si="14"/>
        <v>162.11000000000001</v>
      </c>
      <c r="S17" s="307">
        <f t="shared" si="14"/>
        <v>137.82999999999998</v>
      </c>
      <c r="T17" s="307">
        <f t="shared" si="14"/>
        <v>140.82999999999998</v>
      </c>
      <c r="U17" s="307">
        <f t="shared" ref="U17:AB17" si="15">+U11</f>
        <v>143.88999999999999</v>
      </c>
      <c r="V17" s="307">
        <f t="shared" si="15"/>
        <v>150.47356137</v>
      </c>
      <c r="W17" s="307">
        <f t="shared" si="15"/>
        <v>160.83865578999999</v>
      </c>
      <c r="X17" s="307">
        <f t="shared" si="15"/>
        <v>158.95812603000002</v>
      </c>
      <c r="Y17" s="307">
        <f t="shared" si="15"/>
        <v>160.70115352999997</v>
      </c>
      <c r="Z17" s="307">
        <f t="shared" si="15"/>
        <v>160.56138480999999</v>
      </c>
      <c r="AA17" s="307">
        <f t="shared" si="15"/>
        <v>165.26226785</v>
      </c>
      <c r="AB17" s="307">
        <f t="shared" si="15"/>
        <v>164.8318366</v>
      </c>
      <c r="AC17" s="307">
        <f t="shared" ref="AC17:AD17" si="16">+AC11</f>
        <v>157.89218817</v>
      </c>
      <c r="AD17" s="307">
        <f t="shared" si="16"/>
        <v>161.77627197000001</v>
      </c>
      <c r="AE17" s="307">
        <f t="shared" ref="AE17:AF17" si="17">+AE11</f>
        <v>156.28585520999999</v>
      </c>
      <c r="AF17" s="307">
        <f t="shared" si="17"/>
        <v>157.00572227000001</v>
      </c>
    </row>
    <row r="18" spans="1:36" s="275" customFormat="1">
      <c r="A18" s="281" t="s">
        <v>46</v>
      </c>
      <c r="B18" s="282" t="s">
        <v>43</v>
      </c>
      <c r="C18" s="307">
        <f>+C19+C20</f>
        <v>32.1</v>
      </c>
      <c r="D18" s="307">
        <f t="shared" ref="D18:T18" si="18">+D19+D20</f>
        <v>18.600000000000001</v>
      </c>
      <c r="E18" s="307">
        <f t="shared" si="18"/>
        <v>16.899999999999999</v>
      </c>
      <c r="F18" s="307">
        <f t="shared" si="18"/>
        <v>3.8</v>
      </c>
      <c r="G18" s="307">
        <f t="shared" si="18"/>
        <v>14</v>
      </c>
      <c r="H18" s="307">
        <f t="shared" si="18"/>
        <v>9.9</v>
      </c>
      <c r="I18" s="307">
        <f t="shared" si="18"/>
        <v>16.48</v>
      </c>
      <c r="J18" s="307">
        <f t="shared" si="18"/>
        <v>36.5</v>
      </c>
      <c r="K18" s="307">
        <f t="shared" si="18"/>
        <v>40.5</v>
      </c>
      <c r="L18" s="307">
        <f t="shared" si="18"/>
        <v>23.5</v>
      </c>
      <c r="M18" s="307">
        <f t="shared" si="18"/>
        <v>17.899999999999999</v>
      </c>
      <c r="N18" s="307">
        <f t="shared" si="18"/>
        <v>42.5</v>
      </c>
      <c r="O18" s="307">
        <f t="shared" si="18"/>
        <v>30.376999999999999</v>
      </c>
      <c r="P18" s="307">
        <f t="shared" si="18"/>
        <v>12.5</v>
      </c>
      <c r="Q18" s="307">
        <f t="shared" si="18"/>
        <v>45.5</v>
      </c>
      <c r="R18" s="307">
        <f t="shared" si="18"/>
        <v>40.85</v>
      </c>
      <c r="S18" s="307">
        <f t="shared" si="18"/>
        <v>33</v>
      </c>
      <c r="T18" s="307">
        <f t="shared" si="18"/>
        <v>37.049999999999997</v>
      </c>
      <c r="U18" s="307">
        <f t="shared" ref="U18:AB18" si="19">+U19+U20</f>
        <v>28.6</v>
      </c>
      <c r="V18" s="307">
        <f t="shared" si="19"/>
        <v>104.1</v>
      </c>
      <c r="W18" s="307">
        <f t="shared" si="19"/>
        <v>38.1</v>
      </c>
      <c r="X18" s="307">
        <f t="shared" si="19"/>
        <v>55.1</v>
      </c>
      <c r="Y18" s="307">
        <f t="shared" si="19"/>
        <v>52.4</v>
      </c>
      <c r="Z18" s="307">
        <f t="shared" si="19"/>
        <v>47.4</v>
      </c>
      <c r="AA18" s="307">
        <f t="shared" si="19"/>
        <v>29.4</v>
      </c>
      <c r="AB18" s="307">
        <f t="shared" si="19"/>
        <v>43.4</v>
      </c>
      <c r="AC18" s="307">
        <f t="shared" ref="AC18:AD18" si="20">+AC19+AC20</f>
        <v>52.4</v>
      </c>
      <c r="AD18" s="307">
        <f t="shared" si="20"/>
        <v>40.4</v>
      </c>
      <c r="AE18" s="307">
        <f t="shared" ref="AE18:AF18" si="21">+AE19+AE20</f>
        <v>40.4</v>
      </c>
      <c r="AF18" s="307">
        <f t="shared" si="21"/>
        <v>35.4</v>
      </c>
    </row>
    <row r="19" spans="1:36" s="275" customFormat="1">
      <c r="A19" s="283" t="s">
        <v>101</v>
      </c>
      <c r="B19" s="284" t="s">
        <v>43</v>
      </c>
      <c r="C19" s="312">
        <f t="shared" ref="C19:T19" si="22">C6</f>
        <v>14.1</v>
      </c>
      <c r="D19" s="312">
        <f t="shared" si="22"/>
        <v>0</v>
      </c>
      <c r="E19" s="312">
        <f t="shared" si="22"/>
        <v>3.4</v>
      </c>
      <c r="F19" s="312">
        <f t="shared" si="22"/>
        <v>0</v>
      </c>
      <c r="G19" s="312">
        <f t="shared" si="22"/>
        <v>0</v>
      </c>
      <c r="H19" s="312">
        <f t="shared" si="22"/>
        <v>2</v>
      </c>
      <c r="I19" s="312">
        <f t="shared" si="22"/>
        <v>3.58</v>
      </c>
      <c r="J19" s="312">
        <f t="shared" si="22"/>
        <v>23</v>
      </c>
      <c r="K19" s="312">
        <f t="shared" si="22"/>
        <v>27</v>
      </c>
      <c r="L19" s="312">
        <f t="shared" si="22"/>
        <v>13</v>
      </c>
      <c r="M19" s="312">
        <f t="shared" si="22"/>
        <v>7</v>
      </c>
      <c r="N19" s="312">
        <f t="shared" si="22"/>
        <v>32</v>
      </c>
      <c r="O19" s="312">
        <f t="shared" si="22"/>
        <v>20.677</v>
      </c>
      <c r="P19" s="312">
        <f t="shared" si="22"/>
        <v>6</v>
      </c>
      <c r="Q19" s="312">
        <f t="shared" si="22"/>
        <v>39</v>
      </c>
      <c r="R19" s="312">
        <f t="shared" si="22"/>
        <v>37</v>
      </c>
      <c r="S19" s="312">
        <f t="shared" si="22"/>
        <v>29.5</v>
      </c>
      <c r="T19" s="312">
        <f t="shared" si="22"/>
        <v>36</v>
      </c>
      <c r="U19" s="312">
        <f t="shared" ref="U19:AB19" si="23">U6</f>
        <v>26</v>
      </c>
      <c r="V19" s="312">
        <f t="shared" si="23"/>
        <v>102</v>
      </c>
      <c r="W19" s="312">
        <f t="shared" si="23"/>
        <v>36</v>
      </c>
      <c r="X19" s="312">
        <f t="shared" si="23"/>
        <v>53</v>
      </c>
      <c r="Y19" s="312">
        <f t="shared" si="23"/>
        <v>50</v>
      </c>
      <c r="Z19" s="312">
        <f t="shared" si="23"/>
        <v>45</v>
      </c>
      <c r="AA19" s="312">
        <f t="shared" si="23"/>
        <v>27</v>
      </c>
      <c r="AB19" s="312">
        <f t="shared" si="23"/>
        <v>41</v>
      </c>
      <c r="AC19" s="312">
        <f t="shared" ref="AC19:AD19" si="24">AC6</f>
        <v>50</v>
      </c>
      <c r="AD19" s="312">
        <f t="shared" si="24"/>
        <v>38</v>
      </c>
      <c r="AE19" s="312">
        <f t="shared" ref="AE19:AF19" si="25">AE6</f>
        <v>38</v>
      </c>
      <c r="AF19" s="312">
        <f t="shared" si="25"/>
        <v>33</v>
      </c>
    </row>
    <row r="20" spans="1:36" s="275" customFormat="1">
      <c r="A20" s="283" t="s">
        <v>102</v>
      </c>
      <c r="B20" s="284" t="s">
        <v>43</v>
      </c>
      <c r="C20" s="307">
        <f>+C24+C25+C26</f>
        <v>18</v>
      </c>
      <c r="D20" s="307">
        <f>+D24+D25+D26</f>
        <v>18.600000000000001</v>
      </c>
      <c r="E20" s="307">
        <f t="shared" ref="E20:T20" si="26">+E24+E25+E26</f>
        <v>13.5</v>
      </c>
      <c r="F20" s="307">
        <f t="shared" si="26"/>
        <v>3.8</v>
      </c>
      <c r="G20" s="307">
        <f t="shared" si="26"/>
        <v>14</v>
      </c>
      <c r="H20" s="307">
        <f t="shared" si="26"/>
        <v>7.9</v>
      </c>
      <c r="I20" s="307">
        <f t="shared" si="26"/>
        <v>12.9</v>
      </c>
      <c r="J20" s="307">
        <f t="shared" si="26"/>
        <v>13.5</v>
      </c>
      <c r="K20" s="307">
        <f t="shared" si="26"/>
        <v>13.5</v>
      </c>
      <c r="L20" s="307">
        <f t="shared" si="26"/>
        <v>10.5</v>
      </c>
      <c r="M20" s="307">
        <f t="shared" si="26"/>
        <v>10.9</v>
      </c>
      <c r="N20" s="307">
        <f t="shared" si="26"/>
        <v>10.5</v>
      </c>
      <c r="O20" s="307">
        <f t="shared" si="26"/>
        <v>9.6999999999999993</v>
      </c>
      <c r="P20" s="307">
        <f t="shared" si="26"/>
        <v>6.5</v>
      </c>
      <c r="Q20" s="307">
        <f t="shared" si="26"/>
        <v>6.5</v>
      </c>
      <c r="R20" s="307">
        <f t="shared" si="26"/>
        <v>3.85</v>
      </c>
      <c r="S20" s="307">
        <f t="shared" si="26"/>
        <v>3.5</v>
      </c>
      <c r="T20" s="307">
        <f t="shared" si="26"/>
        <v>1.05</v>
      </c>
      <c r="U20" s="307">
        <f t="shared" ref="U20:AB20" si="27">+U24+U25+U26</f>
        <v>2.6</v>
      </c>
      <c r="V20" s="307">
        <f t="shared" si="27"/>
        <v>2.1</v>
      </c>
      <c r="W20" s="307">
        <f t="shared" si="27"/>
        <v>2.1</v>
      </c>
      <c r="X20" s="307">
        <f t="shared" si="27"/>
        <v>2.1</v>
      </c>
      <c r="Y20" s="307">
        <f t="shared" si="27"/>
        <v>2.4</v>
      </c>
      <c r="Z20" s="307">
        <f t="shared" si="27"/>
        <v>2.4</v>
      </c>
      <c r="AA20" s="307">
        <f t="shared" si="27"/>
        <v>2.4</v>
      </c>
      <c r="AB20" s="307">
        <f t="shared" si="27"/>
        <v>2.4</v>
      </c>
      <c r="AC20" s="307">
        <f t="shared" ref="AC20:AD20" si="28">+AC24+AC25+AC26</f>
        <v>2.4</v>
      </c>
      <c r="AD20" s="307">
        <f t="shared" si="28"/>
        <v>2.4</v>
      </c>
      <c r="AE20" s="307">
        <f t="shared" ref="AE20:AF20" si="29">+AE24+AE25+AE26</f>
        <v>2.4</v>
      </c>
      <c r="AF20" s="307">
        <f t="shared" si="29"/>
        <v>2.4</v>
      </c>
    </row>
    <row r="21" spans="1:36" s="275" customFormat="1">
      <c r="A21" s="289" t="s">
        <v>6</v>
      </c>
      <c r="B21" s="290" t="s">
        <v>43</v>
      </c>
      <c r="C21" s="313">
        <f>+C22+C23</f>
        <v>209.20567744999997</v>
      </c>
      <c r="D21" s="313">
        <f>+D22+D23</f>
        <v>200.24329082</v>
      </c>
      <c r="E21" s="313">
        <f t="shared" ref="E21:T21" si="30">+E22+E23</f>
        <v>189.09545953</v>
      </c>
      <c r="F21" s="313">
        <f t="shared" si="30"/>
        <v>165.27</v>
      </c>
      <c r="G21" s="313">
        <f t="shared" si="30"/>
        <v>146.49</v>
      </c>
      <c r="H21" s="313">
        <f t="shared" si="30"/>
        <v>141.36000000000001</v>
      </c>
      <c r="I21" s="313">
        <f t="shared" si="30"/>
        <v>154.34</v>
      </c>
      <c r="J21" s="313">
        <f t="shared" si="30"/>
        <v>169.73</v>
      </c>
      <c r="K21" s="313">
        <f t="shared" si="30"/>
        <v>174.28</v>
      </c>
      <c r="L21" s="313">
        <f t="shared" si="30"/>
        <v>169.34</v>
      </c>
      <c r="M21" s="313">
        <f t="shared" si="30"/>
        <v>177.81</v>
      </c>
      <c r="N21" s="313">
        <f t="shared" si="30"/>
        <v>171.20240770999999</v>
      </c>
      <c r="O21" s="313">
        <f t="shared" si="30"/>
        <v>172.42</v>
      </c>
      <c r="P21" s="313">
        <f t="shared" si="30"/>
        <v>162.63</v>
      </c>
      <c r="Q21" s="313">
        <f t="shared" si="30"/>
        <v>154.92743945000001</v>
      </c>
      <c r="R21" s="313">
        <f t="shared" si="30"/>
        <v>165.96</v>
      </c>
      <c r="S21" s="313">
        <f t="shared" si="30"/>
        <v>141.32999999999998</v>
      </c>
      <c r="T21" s="313">
        <f t="shared" si="30"/>
        <v>141.88</v>
      </c>
      <c r="U21" s="313">
        <f t="shared" ref="U21:AB21" si="31">+U22+U23</f>
        <v>146.48999999999998</v>
      </c>
      <c r="V21" s="313">
        <f t="shared" si="31"/>
        <v>152.57356136999999</v>
      </c>
      <c r="W21" s="313">
        <f t="shared" si="31"/>
        <v>162.93865578999998</v>
      </c>
      <c r="X21" s="313">
        <f t="shared" si="31"/>
        <v>161.05812603000001</v>
      </c>
      <c r="Y21" s="313">
        <f t="shared" si="31"/>
        <v>163.10115352999998</v>
      </c>
      <c r="Z21" s="313">
        <f t="shared" si="31"/>
        <v>162.96138481</v>
      </c>
      <c r="AA21" s="313">
        <f t="shared" si="31"/>
        <v>167.66226785000001</v>
      </c>
      <c r="AB21" s="313">
        <f t="shared" si="31"/>
        <v>167.23183660000001</v>
      </c>
      <c r="AC21" s="313">
        <f t="shared" ref="AC21:AD21" si="32">+AC22+AC23</f>
        <v>160.29218817</v>
      </c>
      <c r="AD21" s="313">
        <f t="shared" si="32"/>
        <v>164.17627197000002</v>
      </c>
      <c r="AE21" s="313">
        <f t="shared" ref="AE21:AF21" si="33">+AE22+AE23</f>
        <v>158.68585521</v>
      </c>
      <c r="AF21" s="313">
        <f t="shared" si="33"/>
        <v>159.40572227000001</v>
      </c>
    </row>
    <row r="22" spans="1:36" s="275" customFormat="1">
      <c r="A22" s="281" t="s">
        <v>103</v>
      </c>
      <c r="B22" s="282" t="s">
        <v>43</v>
      </c>
      <c r="C22" s="307">
        <f>C11</f>
        <v>191.20567744999997</v>
      </c>
      <c r="D22" s="307">
        <f t="shared" ref="D22:T22" si="34">D11</f>
        <v>181.64329082</v>
      </c>
      <c r="E22" s="307">
        <f t="shared" si="34"/>
        <v>175.59545953</v>
      </c>
      <c r="F22" s="307">
        <f t="shared" si="34"/>
        <v>161.47</v>
      </c>
      <c r="G22" s="307">
        <f t="shared" si="34"/>
        <v>132.49</v>
      </c>
      <c r="H22" s="307">
        <f t="shared" si="34"/>
        <v>133.46</v>
      </c>
      <c r="I22" s="307">
        <f t="shared" si="34"/>
        <v>141.44</v>
      </c>
      <c r="J22" s="307">
        <f t="shared" si="34"/>
        <v>156.22999999999999</v>
      </c>
      <c r="K22" s="307">
        <f t="shared" si="34"/>
        <v>160.78</v>
      </c>
      <c r="L22" s="307">
        <f t="shared" si="34"/>
        <v>158.84</v>
      </c>
      <c r="M22" s="307">
        <f t="shared" si="34"/>
        <v>166.91</v>
      </c>
      <c r="N22" s="307">
        <f t="shared" si="34"/>
        <v>160.70240770999999</v>
      </c>
      <c r="O22" s="307">
        <f t="shared" si="34"/>
        <v>162.72</v>
      </c>
      <c r="P22" s="307">
        <f t="shared" si="34"/>
        <v>156.13</v>
      </c>
      <c r="Q22" s="307">
        <f t="shared" si="34"/>
        <v>148.42743945000001</v>
      </c>
      <c r="R22" s="307">
        <f t="shared" si="34"/>
        <v>162.11000000000001</v>
      </c>
      <c r="S22" s="307">
        <f t="shared" si="34"/>
        <v>137.82999999999998</v>
      </c>
      <c r="T22" s="307">
        <f t="shared" si="34"/>
        <v>140.82999999999998</v>
      </c>
      <c r="U22" s="307">
        <f t="shared" ref="U22:AB22" si="35">U11</f>
        <v>143.88999999999999</v>
      </c>
      <c r="V22" s="307">
        <f t="shared" si="35"/>
        <v>150.47356137</v>
      </c>
      <c r="W22" s="307">
        <f t="shared" si="35"/>
        <v>160.83865578999999</v>
      </c>
      <c r="X22" s="307">
        <f t="shared" si="35"/>
        <v>158.95812603000002</v>
      </c>
      <c r="Y22" s="307">
        <f t="shared" si="35"/>
        <v>160.70115352999997</v>
      </c>
      <c r="Z22" s="307">
        <f t="shared" si="35"/>
        <v>160.56138480999999</v>
      </c>
      <c r="AA22" s="307">
        <f t="shared" si="35"/>
        <v>165.26226785</v>
      </c>
      <c r="AB22" s="307">
        <f t="shared" si="35"/>
        <v>164.8318366</v>
      </c>
      <c r="AC22" s="307">
        <f t="shared" ref="AC22:AD22" si="36">AC11</f>
        <v>157.89218817</v>
      </c>
      <c r="AD22" s="307">
        <f t="shared" si="36"/>
        <v>161.77627197000001</v>
      </c>
      <c r="AE22" s="307">
        <f t="shared" ref="AE22:AF22" si="37">AE11</f>
        <v>156.28585520999999</v>
      </c>
      <c r="AF22" s="307">
        <f t="shared" si="37"/>
        <v>157.00572227000001</v>
      </c>
    </row>
    <row r="23" spans="1:36" s="275" customFormat="1">
      <c r="A23" s="281" t="s">
        <v>104</v>
      </c>
      <c r="B23" s="282" t="s">
        <v>43</v>
      </c>
      <c r="C23" s="307">
        <f>+C24+C25+C26</f>
        <v>18</v>
      </c>
      <c r="D23" s="307">
        <f>+D24+D25+D26</f>
        <v>18.600000000000001</v>
      </c>
      <c r="E23" s="307">
        <f t="shared" ref="E23:T23" si="38">+E24+E25+E26</f>
        <v>13.5</v>
      </c>
      <c r="F23" s="307">
        <f t="shared" si="38"/>
        <v>3.8</v>
      </c>
      <c r="G23" s="307">
        <f t="shared" si="38"/>
        <v>14</v>
      </c>
      <c r="H23" s="307">
        <f t="shared" si="38"/>
        <v>7.9</v>
      </c>
      <c r="I23" s="307">
        <f t="shared" si="38"/>
        <v>12.9</v>
      </c>
      <c r="J23" s="307">
        <f t="shared" si="38"/>
        <v>13.5</v>
      </c>
      <c r="K23" s="307">
        <f t="shared" si="38"/>
        <v>13.5</v>
      </c>
      <c r="L23" s="307">
        <f t="shared" si="38"/>
        <v>10.5</v>
      </c>
      <c r="M23" s="307">
        <f t="shared" si="38"/>
        <v>10.9</v>
      </c>
      <c r="N23" s="307">
        <f t="shared" si="38"/>
        <v>10.5</v>
      </c>
      <c r="O23" s="307">
        <f t="shared" si="38"/>
        <v>9.6999999999999993</v>
      </c>
      <c r="P23" s="307">
        <f t="shared" si="38"/>
        <v>6.5</v>
      </c>
      <c r="Q23" s="307">
        <f t="shared" si="38"/>
        <v>6.5</v>
      </c>
      <c r="R23" s="307">
        <f t="shared" si="38"/>
        <v>3.85</v>
      </c>
      <c r="S23" s="307">
        <f t="shared" si="38"/>
        <v>3.5</v>
      </c>
      <c r="T23" s="307">
        <f t="shared" si="38"/>
        <v>1.05</v>
      </c>
      <c r="U23" s="307">
        <f t="shared" ref="U23:AB23" si="39">+U24+U25+U26</f>
        <v>2.6</v>
      </c>
      <c r="V23" s="307">
        <f t="shared" si="39"/>
        <v>2.1</v>
      </c>
      <c r="W23" s="307">
        <f t="shared" si="39"/>
        <v>2.1</v>
      </c>
      <c r="X23" s="307">
        <f t="shared" si="39"/>
        <v>2.1</v>
      </c>
      <c r="Y23" s="307">
        <f t="shared" si="39"/>
        <v>2.4</v>
      </c>
      <c r="Z23" s="307">
        <f t="shared" si="39"/>
        <v>2.4</v>
      </c>
      <c r="AA23" s="307">
        <f t="shared" si="39"/>
        <v>2.4</v>
      </c>
      <c r="AB23" s="307">
        <f t="shared" si="39"/>
        <v>2.4</v>
      </c>
      <c r="AC23" s="307">
        <f t="shared" ref="AC23:AD23" si="40">+AC24+AC25+AC26</f>
        <v>2.4</v>
      </c>
      <c r="AD23" s="307">
        <f t="shared" si="40"/>
        <v>2.4</v>
      </c>
      <c r="AE23" s="307">
        <f t="shared" ref="AE23:AF23" si="41">+AE24+AE25+AE26</f>
        <v>2.4</v>
      </c>
      <c r="AF23" s="307">
        <f t="shared" si="41"/>
        <v>2.4</v>
      </c>
    </row>
    <row r="24" spans="1:36" s="275" customFormat="1">
      <c r="A24" s="283" t="s">
        <v>105</v>
      </c>
      <c r="B24" s="284" t="s">
        <v>43</v>
      </c>
      <c r="C24" s="306">
        <v>15</v>
      </c>
      <c r="D24" s="306">
        <v>15</v>
      </c>
      <c r="E24" s="306">
        <v>11</v>
      </c>
      <c r="F24" s="324">
        <v>1.8</v>
      </c>
      <c r="G24" s="306">
        <v>11</v>
      </c>
      <c r="H24" s="306">
        <v>6</v>
      </c>
      <c r="I24" s="306">
        <v>11</v>
      </c>
      <c r="J24" s="306">
        <v>11</v>
      </c>
      <c r="K24" s="306">
        <v>11</v>
      </c>
      <c r="L24" s="324">
        <v>9.5</v>
      </c>
      <c r="M24" s="324">
        <v>9.5</v>
      </c>
      <c r="N24" s="324">
        <v>9.5</v>
      </c>
      <c r="O24" s="324">
        <v>8.5</v>
      </c>
      <c r="P24" s="324">
        <v>5</v>
      </c>
      <c r="Q24" s="324">
        <v>5</v>
      </c>
      <c r="R24" s="324">
        <v>3.35</v>
      </c>
      <c r="S24" s="324">
        <v>3</v>
      </c>
      <c r="T24" s="324">
        <v>0.55000000000000004</v>
      </c>
      <c r="U24" s="324">
        <v>2</v>
      </c>
      <c r="V24" s="324">
        <v>1.5</v>
      </c>
      <c r="W24" s="324">
        <v>1.5</v>
      </c>
      <c r="X24" s="324">
        <v>1.5</v>
      </c>
      <c r="Y24" s="324">
        <v>1.5</v>
      </c>
      <c r="Z24" s="324">
        <v>1.5</v>
      </c>
      <c r="AA24" s="324">
        <v>1.5</v>
      </c>
      <c r="AB24" s="324">
        <v>1.5</v>
      </c>
      <c r="AC24" s="324">
        <v>1.5</v>
      </c>
      <c r="AD24" s="324">
        <v>1.5</v>
      </c>
      <c r="AE24" s="324">
        <v>1.5</v>
      </c>
      <c r="AF24" s="324">
        <v>1.5</v>
      </c>
    </row>
    <row r="25" spans="1:36" s="275" customFormat="1">
      <c r="A25" s="283" t="s">
        <v>106</v>
      </c>
      <c r="B25" s="284" t="s">
        <v>43</v>
      </c>
      <c r="C25" s="306"/>
      <c r="D25" s="306">
        <v>0.6</v>
      </c>
      <c r="E25" s="306"/>
      <c r="F25" s="306"/>
      <c r="G25" s="306"/>
      <c r="H25" s="306"/>
      <c r="I25" s="306"/>
      <c r="J25" s="306"/>
      <c r="K25" s="306"/>
      <c r="L25" s="306"/>
      <c r="M25" s="306"/>
      <c r="N25" s="306"/>
      <c r="O25" s="306"/>
      <c r="P25" s="306"/>
      <c r="Q25" s="306"/>
      <c r="R25" s="306"/>
      <c r="S25" s="306"/>
      <c r="T25" s="306"/>
      <c r="U25" s="306"/>
      <c r="V25" s="306"/>
      <c r="W25" s="306"/>
      <c r="X25" s="306"/>
      <c r="Y25" s="306"/>
      <c r="Z25" s="306"/>
      <c r="AA25" s="306"/>
      <c r="AB25" s="306"/>
      <c r="AC25" s="306"/>
      <c r="AD25" s="306"/>
      <c r="AE25" s="306"/>
      <c r="AF25" s="306"/>
    </row>
    <row r="26" spans="1:36" s="275" customFormat="1">
      <c r="A26" s="283" t="s">
        <v>107</v>
      </c>
      <c r="B26" s="284" t="s">
        <v>43</v>
      </c>
      <c r="C26" s="306">
        <v>3</v>
      </c>
      <c r="D26" s="306">
        <v>3</v>
      </c>
      <c r="E26" s="306">
        <v>2.5</v>
      </c>
      <c r="F26" s="306">
        <v>2</v>
      </c>
      <c r="G26" s="306">
        <v>3</v>
      </c>
      <c r="H26" s="306">
        <v>1.9</v>
      </c>
      <c r="I26" s="324">
        <v>1.9</v>
      </c>
      <c r="J26" s="324">
        <v>2.5</v>
      </c>
      <c r="K26" s="324">
        <v>2.5</v>
      </c>
      <c r="L26" s="324">
        <v>1</v>
      </c>
      <c r="M26" s="324">
        <v>1.4</v>
      </c>
      <c r="N26" s="324">
        <v>1</v>
      </c>
      <c r="O26" s="324">
        <v>1.2</v>
      </c>
      <c r="P26" s="324">
        <v>1.5</v>
      </c>
      <c r="Q26" s="324">
        <v>1.5</v>
      </c>
      <c r="R26" s="324">
        <v>0.5</v>
      </c>
      <c r="S26" s="324">
        <v>0.5</v>
      </c>
      <c r="T26" s="324">
        <v>0.5</v>
      </c>
      <c r="U26" s="324">
        <v>0.6</v>
      </c>
      <c r="V26" s="324">
        <v>0.6</v>
      </c>
      <c r="W26" s="324">
        <v>0.6</v>
      </c>
      <c r="X26" s="324">
        <v>0.6</v>
      </c>
      <c r="Y26" s="324">
        <v>0.9</v>
      </c>
      <c r="Z26" s="324">
        <v>0.9</v>
      </c>
      <c r="AA26" s="324">
        <v>0.9</v>
      </c>
      <c r="AB26" s="324">
        <v>0.9</v>
      </c>
      <c r="AC26" s="324">
        <v>0.9</v>
      </c>
      <c r="AD26" s="324">
        <v>0.9</v>
      </c>
      <c r="AE26" s="324">
        <v>0.9</v>
      </c>
      <c r="AF26" s="324">
        <v>0.9</v>
      </c>
    </row>
    <row r="27" spans="1:36" s="275" customFormat="1">
      <c r="A27" s="285" t="s">
        <v>108</v>
      </c>
      <c r="B27" s="286" t="s">
        <v>43</v>
      </c>
      <c r="C27" s="314">
        <v>4.3630100000000001</v>
      </c>
      <c r="D27" s="314">
        <v>4.8184300000000002</v>
      </c>
      <c r="E27" s="314">
        <v>4.7113100000000001</v>
      </c>
      <c r="F27" s="314">
        <v>4.8537400000000002</v>
      </c>
      <c r="G27" s="314">
        <v>4.01729</v>
      </c>
      <c r="H27" s="314">
        <v>4.1034899999999999</v>
      </c>
      <c r="I27" s="314">
        <v>3.9801899999999999</v>
      </c>
      <c r="J27" s="314">
        <v>3.1403699999999999</v>
      </c>
      <c r="K27" s="314">
        <v>4.1078799999999998</v>
      </c>
      <c r="L27" s="314">
        <v>4.1213299999999995</v>
      </c>
      <c r="M27" s="314">
        <v>4.4393100000000008</v>
      </c>
      <c r="N27" s="314">
        <v>4.7826300000000002</v>
      </c>
      <c r="O27" s="314">
        <v>4.9286300000000001</v>
      </c>
      <c r="P27" s="314">
        <v>4.9282299999999992</v>
      </c>
      <c r="Q27" s="314">
        <v>5.0398900000000006</v>
      </c>
      <c r="R27" s="314">
        <v>5.0159700000000003</v>
      </c>
      <c r="S27" s="314">
        <v>4.9056199999999999</v>
      </c>
      <c r="T27" s="314">
        <f t="shared" ref="T27:Y28" si="42">S27</f>
        <v>4.9056199999999999</v>
      </c>
      <c r="U27" s="314">
        <f t="shared" si="42"/>
        <v>4.9056199999999999</v>
      </c>
      <c r="V27" s="314">
        <f t="shared" si="42"/>
        <v>4.9056199999999999</v>
      </c>
      <c r="W27" s="314">
        <f t="shared" si="42"/>
        <v>4.9056199999999999</v>
      </c>
      <c r="X27" s="314">
        <f t="shared" si="42"/>
        <v>4.9056199999999999</v>
      </c>
      <c r="Y27" s="314">
        <f t="shared" si="42"/>
        <v>4.9056199999999999</v>
      </c>
      <c r="Z27" s="314">
        <f>Y27</f>
        <v>4.9056199999999999</v>
      </c>
      <c r="AA27" s="314">
        <f t="shared" ref="AA27:AF29" si="43">Z27</f>
        <v>4.9056199999999999</v>
      </c>
      <c r="AB27" s="314">
        <f t="shared" si="43"/>
        <v>4.9056199999999999</v>
      </c>
      <c r="AC27" s="314">
        <f t="shared" si="43"/>
        <v>4.9056199999999999</v>
      </c>
      <c r="AD27" s="314">
        <f t="shared" si="43"/>
        <v>4.9056199999999999</v>
      </c>
      <c r="AE27" s="314">
        <f t="shared" si="43"/>
        <v>4.9056199999999999</v>
      </c>
      <c r="AF27" s="314">
        <f t="shared" si="43"/>
        <v>4.9056199999999999</v>
      </c>
      <c r="AI27" s="317">
        <v>4905.62</v>
      </c>
      <c r="AJ27" s="354">
        <f t="shared" ref="AJ27:AJ32" si="44">AI27/1000</f>
        <v>4.9056199999999999</v>
      </c>
    </row>
    <row r="28" spans="1:36" s="275" customFormat="1">
      <c r="A28" s="285" t="s">
        <v>113</v>
      </c>
      <c r="B28" s="286" t="s">
        <v>43</v>
      </c>
      <c r="C28" s="314">
        <v>12.485040000000001</v>
      </c>
      <c r="D28" s="314">
        <v>9.6427199999999988</v>
      </c>
      <c r="E28" s="314">
        <v>5.1455200000000003</v>
      </c>
      <c r="F28" s="314">
        <v>8.9106900000000007</v>
      </c>
      <c r="G28" s="314">
        <v>10.6479</v>
      </c>
      <c r="H28" s="314">
        <v>11.268190000000001</v>
      </c>
      <c r="I28" s="314">
        <v>9.0518400000000003</v>
      </c>
      <c r="J28" s="314">
        <v>11.33426</v>
      </c>
      <c r="K28" s="314">
        <v>7.3439199999999998</v>
      </c>
      <c r="L28" s="314">
        <v>7.4108900000000002</v>
      </c>
      <c r="M28" s="314">
        <v>6.3707500000000001</v>
      </c>
      <c r="N28" s="314">
        <v>7.9856099999999994</v>
      </c>
      <c r="O28" s="314">
        <v>8.8895</v>
      </c>
      <c r="P28" s="314">
        <v>9.9887499999999996</v>
      </c>
      <c r="Q28" s="314">
        <v>7.2515400000000003</v>
      </c>
      <c r="R28" s="314">
        <v>9.6531599999999997</v>
      </c>
      <c r="S28" s="314">
        <v>9.087159999999999</v>
      </c>
      <c r="T28" s="314">
        <f t="shared" si="42"/>
        <v>9.087159999999999</v>
      </c>
      <c r="U28" s="314">
        <f t="shared" si="42"/>
        <v>9.087159999999999</v>
      </c>
      <c r="V28" s="314">
        <f t="shared" si="42"/>
        <v>9.087159999999999</v>
      </c>
      <c r="W28" s="314">
        <f t="shared" si="42"/>
        <v>9.087159999999999</v>
      </c>
      <c r="X28" s="314">
        <f t="shared" si="42"/>
        <v>9.087159999999999</v>
      </c>
      <c r="Y28" s="314">
        <f t="shared" si="42"/>
        <v>9.087159999999999</v>
      </c>
      <c r="Z28" s="314">
        <f>Y28</f>
        <v>9.087159999999999</v>
      </c>
      <c r="AA28" s="314">
        <f t="shared" si="43"/>
        <v>9.087159999999999</v>
      </c>
      <c r="AB28" s="314">
        <f t="shared" si="43"/>
        <v>9.087159999999999</v>
      </c>
      <c r="AC28" s="314">
        <f t="shared" si="43"/>
        <v>9.087159999999999</v>
      </c>
      <c r="AD28" s="314">
        <f t="shared" si="43"/>
        <v>9.087159999999999</v>
      </c>
      <c r="AE28" s="314">
        <f t="shared" si="43"/>
        <v>9.087159999999999</v>
      </c>
      <c r="AF28" s="314">
        <f t="shared" si="43"/>
        <v>9.087159999999999</v>
      </c>
      <c r="AI28" s="317">
        <v>9087.16</v>
      </c>
      <c r="AJ28" s="354">
        <f t="shared" si="44"/>
        <v>9.087159999999999</v>
      </c>
    </row>
    <row r="29" spans="1:36" s="275" customFormat="1">
      <c r="A29" s="285" t="s">
        <v>114</v>
      </c>
      <c r="B29" s="286" t="s">
        <v>43</v>
      </c>
      <c r="C29" s="314">
        <v>1.74675</v>
      </c>
      <c r="D29" s="314">
        <v>1.7093</v>
      </c>
      <c r="E29" s="314">
        <v>1.74495</v>
      </c>
      <c r="F29" s="314">
        <v>1.73674</v>
      </c>
      <c r="G29" s="314">
        <v>1.7336099999999999</v>
      </c>
      <c r="H29" s="314">
        <v>1.7284000000000002</v>
      </c>
      <c r="I29" s="314">
        <v>1.6542000000000001</v>
      </c>
      <c r="J29" s="314">
        <v>1.5305799999999998</v>
      </c>
      <c r="K29" s="314">
        <v>1.2746300000000002</v>
      </c>
      <c r="L29" s="314">
        <v>8.58765</v>
      </c>
      <c r="M29" s="314">
        <v>8.5851000000000006</v>
      </c>
      <c r="N29" s="314">
        <v>6.1211599999999997</v>
      </c>
      <c r="O29" s="314">
        <v>6.1287600000000007</v>
      </c>
      <c r="P29" s="314">
        <v>6.1342299999999996</v>
      </c>
      <c r="Q29" s="314">
        <v>6.0019999999999998</v>
      </c>
      <c r="R29" s="314">
        <v>8.2162900000000008</v>
      </c>
      <c r="S29" s="314">
        <v>3.9404299999999997</v>
      </c>
      <c r="T29" s="314">
        <f t="shared" ref="T29:Y29" si="45">S29</f>
        <v>3.9404299999999997</v>
      </c>
      <c r="U29" s="314">
        <f t="shared" si="45"/>
        <v>3.9404299999999997</v>
      </c>
      <c r="V29" s="314">
        <f t="shared" si="45"/>
        <v>3.9404299999999997</v>
      </c>
      <c r="W29" s="314">
        <f t="shared" si="45"/>
        <v>3.9404299999999997</v>
      </c>
      <c r="X29" s="314">
        <f t="shared" si="45"/>
        <v>3.9404299999999997</v>
      </c>
      <c r="Y29" s="314">
        <f t="shared" si="45"/>
        <v>3.9404299999999997</v>
      </c>
      <c r="Z29" s="314">
        <f>Y29</f>
        <v>3.9404299999999997</v>
      </c>
      <c r="AA29" s="314">
        <f t="shared" si="43"/>
        <v>3.9404299999999997</v>
      </c>
      <c r="AB29" s="314">
        <f t="shared" si="43"/>
        <v>3.9404299999999997</v>
      </c>
      <c r="AC29" s="314">
        <f t="shared" si="43"/>
        <v>3.9404299999999997</v>
      </c>
      <c r="AD29" s="314">
        <f t="shared" si="43"/>
        <v>3.9404299999999997</v>
      </c>
      <c r="AE29" s="314">
        <f t="shared" si="43"/>
        <v>3.9404299999999997</v>
      </c>
      <c r="AF29" s="314">
        <f t="shared" si="43"/>
        <v>3.9404299999999997</v>
      </c>
      <c r="AI29" s="317">
        <v>3940.43</v>
      </c>
      <c r="AJ29" s="354">
        <f t="shared" si="44"/>
        <v>3.9404299999999997</v>
      </c>
    </row>
    <row r="30" spans="1:36" s="275" customFormat="1">
      <c r="A30" s="285" t="s">
        <v>115</v>
      </c>
      <c r="B30" s="286" t="s">
        <v>43</v>
      </c>
      <c r="C30" s="314">
        <v>2.8454800000000002</v>
      </c>
      <c r="D30" s="314">
        <v>2.8450900000000003</v>
      </c>
      <c r="E30" s="314">
        <v>0.10045999999999999</v>
      </c>
      <c r="F30" s="314">
        <v>9.6069999999999989E-2</v>
      </c>
      <c r="G30" s="314">
        <v>0</v>
      </c>
      <c r="H30" s="314">
        <v>0</v>
      </c>
      <c r="I30" s="314">
        <v>4.0060000000000005E-2</v>
      </c>
      <c r="J30" s="314">
        <v>0.12368000000000001</v>
      </c>
      <c r="K30" s="314">
        <v>0.87017999999999995</v>
      </c>
      <c r="L30" s="314">
        <v>5.4668900000000002</v>
      </c>
      <c r="M30" s="314">
        <v>5.4723000000000006</v>
      </c>
      <c r="N30" s="314">
        <v>5.4638800000000005</v>
      </c>
      <c r="O30" s="314">
        <v>5.4652799999999999</v>
      </c>
      <c r="P30" s="314">
        <v>5.4606000000000003</v>
      </c>
      <c r="Q30" s="314">
        <v>5.4509300000000005</v>
      </c>
      <c r="R30" s="314">
        <v>6.7955200000000007</v>
      </c>
      <c r="S30" s="314">
        <v>6.7940100000000001</v>
      </c>
      <c r="T30" s="314">
        <v>2.8450900000000003</v>
      </c>
      <c r="U30" s="314">
        <v>2.8450900000000003</v>
      </c>
      <c r="V30" s="314">
        <v>2.8450900000000003</v>
      </c>
      <c r="W30" s="314">
        <v>2.8450900000000003</v>
      </c>
      <c r="X30" s="314">
        <v>2.8450900000000003</v>
      </c>
      <c r="Y30" s="314">
        <v>2.8450900000000003</v>
      </c>
      <c r="Z30" s="314">
        <v>2.8450899999999999</v>
      </c>
      <c r="AA30" s="314">
        <v>2.8450899999999999</v>
      </c>
      <c r="AB30" s="314">
        <v>2.8450899999999999</v>
      </c>
      <c r="AC30" s="314">
        <v>2.8450899999999999</v>
      </c>
      <c r="AD30" s="314">
        <v>2.8450899999999999</v>
      </c>
      <c r="AE30" s="314">
        <v>2.8450899999999999</v>
      </c>
      <c r="AF30" s="314">
        <v>2.8450899999999999</v>
      </c>
      <c r="AI30" s="317">
        <v>6794.01</v>
      </c>
      <c r="AJ30" s="354">
        <f t="shared" si="44"/>
        <v>6.7940100000000001</v>
      </c>
    </row>
    <row r="31" spans="1:36" s="275" customFormat="1">
      <c r="A31" s="285" t="s">
        <v>116</v>
      </c>
      <c r="B31" s="286" t="s">
        <v>43</v>
      </c>
      <c r="C31" s="314">
        <v>20.697040000000001</v>
      </c>
      <c r="D31" s="314">
        <v>13.78134</v>
      </c>
      <c r="E31" s="314">
        <v>7.7362799999999998</v>
      </c>
      <c r="F31" s="314">
        <v>4.9186300000000003</v>
      </c>
      <c r="G31" s="314">
        <v>13.089840000000001</v>
      </c>
      <c r="H31" s="314">
        <v>8.2105800000000002</v>
      </c>
      <c r="I31" s="314">
        <v>3.6063800000000001</v>
      </c>
      <c r="J31" s="314">
        <v>7.9523100000000007</v>
      </c>
      <c r="K31" s="314">
        <v>14.077450000000001</v>
      </c>
      <c r="L31" s="314">
        <v>20.986369999999997</v>
      </c>
      <c r="M31" s="314">
        <v>8.0376300000000001</v>
      </c>
      <c r="N31" s="314">
        <v>15.845660000000001</v>
      </c>
      <c r="O31" s="314">
        <v>4.99397</v>
      </c>
      <c r="P31" s="314">
        <v>18.02657</v>
      </c>
      <c r="Q31" s="314">
        <v>11.229280000000001</v>
      </c>
      <c r="R31" s="314">
        <v>12.113440000000001</v>
      </c>
      <c r="S31" s="314">
        <v>21.480130000000003</v>
      </c>
      <c r="T31" s="314"/>
      <c r="U31" s="314"/>
      <c r="V31" s="314"/>
      <c r="W31" s="314"/>
      <c r="X31" s="314"/>
      <c r="Y31" s="314"/>
      <c r="Z31" s="314"/>
      <c r="AA31" s="314"/>
      <c r="AB31" s="314"/>
      <c r="AC31" s="314"/>
      <c r="AD31" s="314"/>
      <c r="AE31" s="314"/>
      <c r="AF31" s="314"/>
      <c r="AI31" s="317">
        <v>21480.13</v>
      </c>
      <c r="AJ31" s="354">
        <f t="shared" si="44"/>
        <v>21.480130000000003</v>
      </c>
    </row>
    <row r="32" spans="1:36" s="275" customFormat="1">
      <c r="A32" s="285" t="s">
        <v>117</v>
      </c>
      <c r="B32" s="286" t="s">
        <v>43</v>
      </c>
      <c r="C32" s="314">
        <v>21.019130000000001</v>
      </c>
      <c r="D32" s="314">
        <v>15.081700000000001</v>
      </c>
      <c r="E32" s="314">
        <v>12.372590000000001</v>
      </c>
      <c r="F32" s="314">
        <v>9.5060699999999994</v>
      </c>
      <c r="G32" s="314">
        <v>18.52337</v>
      </c>
      <c r="H32" s="314">
        <v>10.627790000000001</v>
      </c>
      <c r="I32" s="314">
        <v>2.1879599999999999</v>
      </c>
      <c r="J32" s="314">
        <v>6.5095000000000001</v>
      </c>
      <c r="K32" s="314">
        <v>13.483370000000001</v>
      </c>
      <c r="L32" s="314">
        <v>14.53547</v>
      </c>
      <c r="M32" s="314">
        <v>12.915569999999999</v>
      </c>
      <c r="N32" s="314">
        <v>14.74959</v>
      </c>
      <c r="O32" s="314">
        <v>4.77651</v>
      </c>
      <c r="P32" s="314">
        <v>20.466369999999998</v>
      </c>
      <c r="Q32" s="314">
        <v>11.72532</v>
      </c>
      <c r="R32" s="314">
        <v>13.922360000000001</v>
      </c>
      <c r="S32" s="314">
        <v>21.769310000000001</v>
      </c>
      <c r="T32" s="314">
        <f t="shared" ref="T32:Y32" si="46">S31+S32+T33-T23-T19</f>
        <v>35.19944000000001</v>
      </c>
      <c r="U32" s="314">
        <f t="shared" si="46"/>
        <v>32.599440000000008</v>
      </c>
      <c r="V32" s="314">
        <f t="shared" si="46"/>
        <v>16.499440000000021</v>
      </c>
      <c r="W32" s="314">
        <f t="shared" si="46"/>
        <v>22.39944000000002</v>
      </c>
      <c r="X32" s="314">
        <f t="shared" si="46"/>
        <v>11.299440000000033</v>
      </c>
      <c r="Y32" s="314">
        <f t="shared" si="46"/>
        <v>2.899440000000034</v>
      </c>
      <c r="Z32" s="314">
        <f t="shared" ref="Z32:AF32" si="47">Y31+Y32+Z33-Z23-Z19</f>
        <v>-0.50055999999996459</v>
      </c>
      <c r="AA32" s="314">
        <f t="shared" si="47"/>
        <v>7.2684400000000338</v>
      </c>
      <c r="AB32" s="314">
        <f t="shared" si="47"/>
        <v>7.8684400000000352</v>
      </c>
      <c r="AC32" s="314">
        <f t="shared" si="47"/>
        <v>-0.5315599999999634</v>
      </c>
      <c r="AD32" s="314">
        <f t="shared" si="47"/>
        <v>3.068440000000038</v>
      </c>
      <c r="AE32" s="314">
        <f t="shared" si="47"/>
        <v>6.6684400000000394</v>
      </c>
      <c r="AF32" s="314">
        <f t="shared" si="47"/>
        <v>15.268440000000041</v>
      </c>
      <c r="AI32" s="317">
        <v>21769.31</v>
      </c>
      <c r="AJ32" s="354">
        <f t="shared" si="44"/>
        <v>21.769310000000001</v>
      </c>
    </row>
    <row r="33" spans="1:32" s="300" customFormat="1">
      <c r="A33" s="300" t="s">
        <v>87</v>
      </c>
      <c r="B33" s="301" t="s">
        <v>43</v>
      </c>
      <c r="C33" s="302">
        <v>44</v>
      </c>
      <c r="D33" s="303"/>
      <c r="E33" s="303"/>
      <c r="F33" s="303"/>
      <c r="G33" s="303">
        <v>23</v>
      </c>
      <c r="H33" s="303">
        <v>0</v>
      </c>
      <c r="I33" s="303"/>
      <c r="J33" s="303">
        <v>44</v>
      </c>
      <c r="K33" s="303">
        <v>44</v>
      </c>
      <c r="L33" s="303">
        <v>47</v>
      </c>
      <c r="M33" s="303"/>
      <c r="N33" s="303">
        <v>47.5</v>
      </c>
      <c r="O33" s="303">
        <f>4+4+0.5</f>
        <v>8.5</v>
      </c>
      <c r="P33" s="303">
        <v>45.58</v>
      </c>
      <c r="Q33" s="303">
        <v>22</v>
      </c>
      <c r="R33" s="303">
        <v>44</v>
      </c>
      <c r="S33" s="303">
        <f>44</f>
        <v>44</v>
      </c>
      <c r="T33" s="598">
        <f>46-'C3LPG'!AC93</f>
        <v>29</v>
      </c>
      <c r="U33" s="598">
        <f>44-'C3LPG'!AD93</f>
        <v>26</v>
      </c>
      <c r="V33" s="303">
        <f>44+44</f>
        <v>88</v>
      </c>
      <c r="W33" s="303">
        <v>44</v>
      </c>
      <c r="X33" s="303">
        <v>44</v>
      </c>
      <c r="Y33" s="303">
        <v>44</v>
      </c>
      <c r="Z33" s="303">
        <v>44</v>
      </c>
      <c r="AA33" s="598">
        <f>44-'C3LPG'!AJ93</f>
        <v>37.168999999999997</v>
      </c>
      <c r="AB33" s="303">
        <v>44</v>
      </c>
      <c r="AC33" s="303">
        <v>44</v>
      </c>
      <c r="AD33" s="303">
        <v>44</v>
      </c>
      <c r="AE33" s="303">
        <v>44</v>
      </c>
      <c r="AF33" s="303">
        <v>44</v>
      </c>
    </row>
    <row r="34" spans="1:32" s="300" customFormat="1">
      <c r="A34" s="292" t="s">
        <v>206</v>
      </c>
      <c r="B34" s="299" t="s">
        <v>43</v>
      </c>
      <c r="C34" s="304"/>
      <c r="D34" s="304">
        <f t="shared" ref="D34:T34" si="48">+SUM(D27:D32)+D14</f>
        <v>64.706463907470706</v>
      </c>
      <c r="E34" s="304">
        <f t="shared" si="48"/>
        <v>67.831637630224606</v>
      </c>
      <c r="F34" s="304">
        <f t="shared" si="48"/>
        <v>63.70610145751953</v>
      </c>
      <c r="G34" s="304">
        <f t="shared" si="48"/>
        <v>66.647852199999988</v>
      </c>
      <c r="H34" s="304">
        <f t="shared" si="48"/>
        <v>65.481283899999994</v>
      </c>
      <c r="I34" s="304">
        <f t="shared" si="48"/>
        <v>34.979469999999999</v>
      </c>
      <c r="J34" s="304">
        <f t="shared" si="48"/>
        <v>48.598420000000004</v>
      </c>
      <c r="K34" s="304">
        <f t="shared" si="48"/>
        <v>56.282089999999997</v>
      </c>
      <c r="L34" s="304">
        <f t="shared" si="48"/>
        <v>87.805459999999997</v>
      </c>
      <c r="M34" s="304">
        <f t="shared" si="48"/>
        <v>60.257900000000006</v>
      </c>
      <c r="N34" s="304">
        <f t="shared" si="48"/>
        <v>77.369380699999994</v>
      </c>
      <c r="O34" s="304">
        <f t="shared" si="48"/>
        <v>53.237692360000004</v>
      </c>
      <c r="P34" s="304">
        <f t="shared" si="48"/>
        <v>89.407150000000001</v>
      </c>
      <c r="Q34" s="304">
        <f t="shared" si="48"/>
        <v>75.576880000000003</v>
      </c>
      <c r="R34" s="304">
        <f t="shared" si="48"/>
        <v>78.759662528000007</v>
      </c>
      <c r="S34" s="304">
        <f t="shared" si="48"/>
        <v>101.88334820000001</v>
      </c>
      <c r="T34" s="304">
        <f t="shared" si="48"/>
        <v>89.457428200000066</v>
      </c>
      <c r="U34" s="304">
        <f t="shared" ref="U34:AB34" si="49">+SUM(U27:U32)+U14</f>
        <v>73.349966310734715</v>
      </c>
      <c r="V34" s="304">
        <f t="shared" si="49"/>
        <v>65.189404940734704</v>
      </c>
      <c r="W34" s="304">
        <f t="shared" si="49"/>
        <v>68.669749150734702</v>
      </c>
      <c r="X34" s="304">
        <f t="shared" si="49"/>
        <v>57.254623120734699</v>
      </c>
      <c r="Y34" s="304">
        <f t="shared" si="49"/>
        <v>48.054257991988649</v>
      </c>
      <c r="Z34" s="304">
        <f t="shared" si="49"/>
        <v>44.152434310515204</v>
      </c>
      <c r="AA34" s="304">
        <f t="shared" si="49"/>
        <v>53.508856115687578</v>
      </c>
      <c r="AB34" s="304">
        <f t="shared" si="49"/>
        <v>54.349832458531225</v>
      </c>
      <c r="AC34" s="304">
        <f t="shared" ref="AC34:AD34" si="50">+SUM(AC27:AC32)+AC14</f>
        <v>45.459217269164284</v>
      </c>
      <c r="AD34" s="304">
        <f t="shared" si="50"/>
        <v>49.305758242007926</v>
      </c>
      <c r="AE34" s="304">
        <f t="shared" ref="AE34:AF34" si="51">+SUM(AE27:AE32)+AE14</f>
        <v>53.152302654114763</v>
      </c>
      <c r="AF34" s="304">
        <f t="shared" si="51"/>
        <v>61.619393326958395</v>
      </c>
    </row>
    <row r="35" spans="1:32" s="275" customFormat="1">
      <c r="C35" s="317"/>
      <c r="D35" s="287"/>
    </row>
    <row r="36" spans="1:32" s="275" customFormat="1">
      <c r="A36" s="293"/>
      <c r="B36" s="478" t="s">
        <v>167</v>
      </c>
      <c r="C36" s="291"/>
      <c r="D36" s="287"/>
      <c r="P36" s="477">
        <v>22</v>
      </c>
      <c r="Q36" s="477">
        <v>33</v>
      </c>
      <c r="R36" s="477">
        <v>33</v>
      </c>
      <c r="S36" s="477">
        <v>13</v>
      </c>
      <c r="T36" s="477">
        <v>33</v>
      </c>
      <c r="U36" s="477">
        <v>23</v>
      </c>
      <c r="V36" s="477">
        <v>55</v>
      </c>
      <c r="W36" s="477">
        <v>11</v>
      </c>
      <c r="X36" s="477">
        <v>33</v>
      </c>
      <c r="Y36" s="477">
        <v>33</v>
      </c>
      <c r="Z36" s="477" t="s">
        <v>58</v>
      </c>
      <c r="AA36" s="477">
        <v>11</v>
      </c>
      <c r="AB36" s="477">
        <v>11</v>
      </c>
      <c r="AC36" s="477">
        <v>11</v>
      </c>
      <c r="AD36" s="477">
        <v>11</v>
      </c>
      <c r="AE36" s="477">
        <v>11</v>
      </c>
      <c r="AF36" s="477">
        <v>11</v>
      </c>
    </row>
    <row r="37" spans="1:32">
      <c r="B37" s="552" t="s">
        <v>168</v>
      </c>
      <c r="C37" s="318"/>
      <c r="D37" s="287"/>
      <c r="P37" s="303">
        <f t="shared" ref="P37:AA37" si="52">P33-P24</f>
        <v>40.58</v>
      </c>
      <c r="Q37" s="303">
        <f t="shared" si="52"/>
        <v>17</v>
      </c>
      <c r="R37" s="303">
        <f t="shared" si="52"/>
        <v>40.65</v>
      </c>
      <c r="S37" s="303">
        <f t="shared" si="52"/>
        <v>41</v>
      </c>
      <c r="T37" s="303">
        <f t="shared" si="52"/>
        <v>28.45</v>
      </c>
      <c r="U37" s="303">
        <f t="shared" si="52"/>
        <v>24</v>
      </c>
      <c r="V37" s="303">
        <f t="shared" si="52"/>
        <v>86.5</v>
      </c>
      <c r="W37" s="303">
        <f t="shared" si="52"/>
        <v>42.5</v>
      </c>
      <c r="X37" s="303">
        <f t="shared" si="52"/>
        <v>42.5</v>
      </c>
      <c r="Y37" s="303">
        <f t="shared" si="52"/>
        <v>42.5</v>
      </c>
      <c r="Z37" s="303">
        <f t="shared" si="52"/>
        <v>42.5</v>
      </c>
      <c r="AA37" s="303">
        <f t="shared" si="52"/>
        <v>35.668999999999997</v>
      </c>
      <c r="AB37" s="303">
        <f>AB33-AB24</f>
        <v>42.5</v>
      </c>
      <c r="AC37" s="303">
        <f>AC33-AC24</f>
        <v>42.5</v>
      </c>
      <c r="AD37" s="303">
        <f>AD33-AD24</f>
        <v>42.5</v>
      </c>
      <c r="AE37" s="303">
        <f>AE33-AE24</f>
        <v>42.5</v>
      </c>
      <c r="AF37" s="303">
        <f>AF33-AF24</f>
        <v>42.5</v>
      </c>
    </row>
    <row r="38" spans="1:32">
      <c r="R38" s="518"/>
    </row>
    <row r="39" spans="1:32">
      <c r="C39" s="295"/>
      <c r="D39" s="316">
        <f t="shared" ref="D39:Q39" si="53">D1</f>
        <v>43832</v>
      </c>
      <c r="E39" s="316">
        <f t="shared" si="53"/>
        <v>43863</v>
      </c>
      <c r="F39" s="316">
        <f t="shared" si="53"/>
        <v>43892</v>
      </c>
      <c r="G39" s="316">
        <f t="shared" si="53"/>
        <v>43923</v>
      </c>
      <c r="H39" s="316">
        <f t="shared" si="53"/>
        <v>43953</v>
      </c>
      <c r="I39" s="316">
        <f t="shared" si="53"/>
        <v>43984</v>
      </c>
      <c r="J39" s="316">
        <f t="shared" si="53"/>
        <v>44014</v>
      </c>
      <c r="K39" s="316">
        <f t="shared" si="53"/>
        <v>44045</v>
      </c>
      <c r="L39" s="316">
        <f t="shared" si="53"/>
        <v>44076</v>
      </c>
      <c r="M39" s="316">
        <f t="shared" si="53"/>
        <v>44106</v>
      </c>
      <c r="N39" s="316">
        <f t="shared" si="53"/>
        <v>44137</v>
      </c>
      <c r="O39" s="316">
        <f t="shared" si="53"/>
        <v>44167</v>
      </c>
      <c r="P39" s="316">
        <f t="shared" si="53"/>
        <v>44198</v>
      </c>
      <c r="Q39" s="316">
        <f t="shared" si="53"/>
        <v>44229</v>
      </c>
      <c r="R39" s="316">
        <f t="shared" ref="R39:AB39" si="54">R1</f>
        <v>44257</v>
      </c>
      <c r="S39" s="316">
        <f t="shared" si="54"/>
        <v>44288</v>
      </c>
      <c r="T39" s="316">
        <f t="shared" si="54"/>
        <v>44318</v>
      </c>
      <c r="U39" s="316">
        <f t="shared" si="54"/>
        <v>44349</v>
      </c>
      <c r="V39" s="316">
        <f t="shared" si="54"/>
        <v>44379</v>
      </c>
      <c r="W39" s="316">
        <f t="shared" si="54"/>
        <v>44410</v>
      </c>
      <c r="X39" s="316">
        <f t="shared" si="54"/>
        <v>44441</v>
      </c>
      <c r="Y39" s="316">
        <f t="shared" si="54"/>
        <v>44471</v>
      </c>
      <c r="Z39" s="316">
        <f t="shared" si="54"/>
        <v>44502</v>
      </c>
      <c r="AA39" s="316">
        <f t="shared" si="54"/>
        <v>44532</v>
      </c>
      <c r="AB39" s="316">
        <f t="shared" si="54"/>
        <v>44563</v>
      </c>
      <c r="AC39" s="316">
        <f t="shared" ref="AC39:AD39" si="55">AC1</f>
        <v>44594</v>
      </c>
      <c r="AD39" s="316">
        <f t="shared" si="55"/>
        <v>44622</v>
      </c>
      <c r="AE39" s="316">
        <f t="shared" ref="AE39:AF39" si="56">AE1</f>
        <v>44653</v>
      </c>
      <c r="AF39" s="316">
        <f t="shared" si="56"/>
        <v>44683</v>
      </c>
    </row>
    <row r="40" spans="1:32">
      <c r="A40" s="294" t="s">
        <v>109</v>
      </c>
      <c r="C40" s="295"/>
      <c r="D40" s="296">
        <f t="shared" ref="D40:Q40" si="57">D34</f>
        <v>64.706463907470706</v>
      </c>
      <c r="E40" s="296">
        <f t="shared" si="57"/>
        <v>67.831637630224606</v>
      </c>
      <c r="F40" s="296">
        <f t="shared" si="57"/>
        <v>63.70610145751953</v>
      </c>
      <c r="G40" s="296">
        <f t="shared" si="57"/>
        <v>66.647852199999988</v>
      </c>
      <c r="H40" s="296">
        <f t="shared" si="57"/>
        <v>65.481283899999994</v>
      </c>
      <c r="I40" s="296">
        <f t="shared" si="57"/>
        <v>34.979469999999999</v>
      </c>
      <c r="J40" s="296">
        <f t="shared" si="57"/>
        <v>48.598420000000004</v>
      </c>
      <c r="K40" s="296">
        <f t="shared" si="57"/>
        <v>56.282089999999997</v>
      </c>
      <c r="L40" s="296">
        <f t="shared" si="57"/>
        <v>87.805459999999997</v>
      </c>
      <c r="M40" s="296">
        <f t="shared" si="57"/>
        <v>60.257900000000006</v>
      </c>
      <c r="N40" s="296">
        <f t="shared" si="57"/>
        <v>77.369380699999994</v>
      </c>
      <c r="O40" s="296">
        <f t="shared" si="57"/>
        <v>53.237692360000004</v>
      </c>
      <c r="P40" s="296">
        <f t="shared" si="57"/>
        <v>89.407150000000001</v>
      </c>
      <c r="Q40" s="296">
        <f t="shared" si="57"/>
        <v>75.576880000000003</v>
      </c>
      <c r="R40" s="296">
        <f t="shared" ref="R40:AB40" si="58">R34</f>
        <v>78.759662528000007</v>
      </c>
      <c r="S40" s="296">
        <f t="shared" si="58"/>
        <v>101.88334820000001</v>
      </c>
      <c r="T40" s="296">
        <f t="shared" si="58"/>
        <v>89.457428200000066</v>
      </c>
      <c r="U40" s="296">
        <f t="shared" si="58"/>
        <v>73.349966310734715</v>
      </c>
      <c r="V40" s="296">
        <f t="shared" si="58"/>
        <v>65.189404940734704</v>
      </c>
      <c r="W40" s="296">
        <f t="shared" si="58"/>
        <v>68.669749150734702</v>
      </c>
      <c r="X40" s="296">
        <f t="shared" si="58"/>
        <v>57.254623120734699</v>
      </c>
      <c r="Y40" s="296">
        <f t="shared" si="58"/>
        <v>48.054257991988649</v>
      </c>
      <c r="Z40" s="296">
        <f t="shared" si="58"/>
        <v>44.152434310515204</v>
      </c>
      <c r="AA40" s="296">
        <f t="shared" si="58"/>
        <v>53.508856115687578</v>
      </c>
      <c r="AB40" s="296">
        <f t="shared" si="58"/>
        <v>54.349832458531225</v>
      </c>
      <c r="AC40" s="296">
        <f t="shared" ref="AC40:AD40" si="59">AC34</f>
        <v>45.459217269164284</v>
      </c>
      <c r="AD40" s="296">
        <f t="shared" si="59"/>
        <v>49.305758242007926</v>
      </c>
      <c r="AE40" s="296">
        <f t="shared" ref="AE40:AF40" si="60">AE34</f>
        <v>53.152302654114763</v>
      </c>
      <c r="AF40" s="296">
        <f t="shared" si="60"/>
        <v>61.619393326958395</v>
      </c>
    </row>
    <row r="41" spans="1:32">
      <c r="A41" s="294" t="s">
        <v>110</v>
      </c>
      <c r="D41" s="296">
        <f>D40-D42</f>
        <v>64.706463907470706</v>
      </c>
      <c r="E41" s="296">
        <f t="shared" ref="E41:Q41" si="61">E40-E42</f>
        <v>67.831637630224606</v>
      </c>
      <c r="F41" s="296">
        <f t="shared" si="61"/>
        <v>63.70610145751953</v>
      </c>
      <c r="G41" s="296">
        <f t="shared" si="61"/>
        <v>43.647852199999988</v>
      </c>
      <c r="H41" s="296">
        <f t="shared" si="61"/>
        <v>65.481283899999994</v>
      </c>
      <c r="I41" s="296">
        <f t="shared" si="61"/>
        <v>34.979469999999999</v>
      </c>
      <c r="J41" s="296">
        <f t="shared" si="61"/>
        <v>4.5984200000000044</v>
      </c>
      <c r="K41" s="296">
        <f t="shared" si="61"/>
        <v>12.282089999999997</v>
      </c>
      <c r="L41" s="296">
        <f t="shared" si="61"/>
        <v>40.805459999999997</v>
      </c>
      <c r="M41" s="296">
        <f t="shared" si="61"/>
        <v>60.257900000000006</v>
      </c>
      <c r="N41" s="296">
        <f t="shared" si="61"/>
        <v>29.869380699999994</v>
      </c>
      <c r="O41" s="296">
        <f t="shared" si="61"/>
        <v>44.737692360000004</v>
      </c>
      <c r="P41" s="296">
        <f t="shared" si="61"/>
        <v>43.827150000000003</v>
      </c>
      <c r="Q41" s="296">
        <f t="shared" si="61"/>
        <v>53.576880000000003</v>
      </c>
      <c r="R41" s="296">
        <f t="shared" ref="R41:AB41" si="62">R40-R42</f>
        <v>34.759662528000007</v>
      </c>
      <c r="S41" s="296">
        <f t="shared" si="62"/>
        <v>57.883348200000015</v>
      </c>
      <c r="T41" s="296">
        <f t="shared" si="62"/>
        <v>60.457428200000066</v>
      </c>
      <c r="U41" s="296">
        <f t="shared" si="62"/>
        <v>47.349966310734715</v>
      </c>
      <c r="V41" s="296">
        <f t="shared" si="62"/>
        <v>-22.810595059265296</v>
      </c>
      <c r="W41" s="296">
        <f t="shared" si="62"/>
        <v>24.669749150734702</v>
      </c>
      <c r="X41" s="296">
        <f t="shared" si="62"/>
        <v>13.254623120734699</v>
      </c>
      <c r="Y41" s="296">
        <f t="shared" si="62"/>
        <v>4.0542579919886492</v>
      </c>
      <c r="Z41" s="296">
        <f t="shared" si="62"/>
        <v>0.15243431051520417</v>
      </c>
      <c r="AA41" s="296">
        <f t="shared" si="62"/>
        <v>16.339856115687581</v>
      </c>
      <c r="AB41" s="296">
        <f t="shared" si="62"/>
        <v>10.349832458531225</v>
      </c>
      <c r="AC41" s="296">
        <f t="shared" ref="AC41:AD41" si="63">AC40-AC42</f>
        <v>1.4592172691642844</v>
      </c>
      <c r="AD41" s="296">
        <f t="shared" si="63"/>
        <v>5.3057582420079257</v>
      </c>
      <c r="AE41" s="296">
        <f t="shared" ref="AE41:AF41" si="64">AE40-AE42</f>
        <v>9.152302654114763</v>
      </c>
      <c r="AF41" s="296">
        <f t="shared" si="64"/>
        <v>17.619393326958395</v>
      </c>
    </row>
    <row r="42" spans="1:32">
      <c r="A42" s="294" t="s">
        <v>87</v>
      </c>
      <c r="D42" s="296">
        <f>D33</f>
        <v>0</v>
      </c>
      <c r="E42" s="296">
        <f t="shared" ref="E42:Q42" si="65">E33</f>
        <v>0</v>
      </c>
      <c r="F42" s="296">
        <f t="shared" si="65"/>
        <v>0</v>
      </c>
      <c r="G42" s="296">
        <f t="shared" si="65"/>
        <v>23</v>
      </c>
      <c r="H42" s="296">
        <f t="shared" si="65"/>
        <v>0</v>
      </c>
      <c r="I42" s="296">
        <f t="shared" si="65"/>
        <v>0</v>
      </c>
      <c r="J42" s="296">
        <f t="shared" si="65"/>
        <v>44</v>
      </c>
      <c r="K42" s="296">
        <f t="shared" si="65"/>
        <v>44</v>
      </c>
      <c r="L42" s="296">
        <f t="shared" si="65"/>
        <v>47</v>
      </c>
      <c r="M42" s="296">
        <f t="shared" si="65"/>
        <v>0</v>
      </c>
      <c r="N42" s="296">
        <f t="shared" si="65"/>
        <v>47.5</v>
      </c>
      <c r="O42" s="296">
        <f t="shared" si="65"/>
        <v>8.5</v>
      </c>
      <c r="P42" s="296">
        <f t="shared" si="65"/>
        <v>45.58</v>
      </c>
      <c r="Q42" s="296">
        <f t="shared" si="65"/>
        <v>22</v>
      </c>
      <c r="R42" s="296">
        <f t="shared" ref="R42:AB42" si="66">R33</f>
        <v>44</v>
      </c>
      <c r="S42" s="296">
        <f t="shared" si="66"/>
        <v>44</v>
      </c>
      <c r="T42" s="296">
        <f t="shared" si="66"/>
        <v>29</v>
      </c>
      <c r="U42" s="296">
        <f t="shared" si="66"/>
        <v>26</v>
      </c>
      <c r="V42" s="296">
        <f t="shared" si="66"/>
        <v>88</v>
      </c>
      <c r="W42" s="296">
        <f t="shared" si="66"/>
        <v>44</v>
      </c>
      <c r="X42" s="296">
        <f t="shared" si="66"/>
        <v>44</v>
      </c>
      <c r="Y42" s="296">
        <f t="shared" si="66"/>
        <v>44</v>
      </c>
      <c r="Z42" s="296">
        <f t="shared" si="66"/>
        <v>44</v>
      </c>
      <c r="AA42" s="296">
        <f t="shared" si="66"/>
        <v>37.168999999999997</v>
      </c>
      <c r="AB42" s="296">
        <f t="shared" si="66"/>
        <v>44</v>
      </c>
      <c r="AC42" s="296">
        <f t="shared" ref="AC42:AD42" si="67">AC33</f>
        <v>44</v>
      </c>
      <c r="AD42" s="296">
        <f t="shared" si="67"/>
        <v>44</v>
      </c>
      <c r="AE42" s="296">
        <f t="shared" ref="AE42:AF42" si="68">AE33</f>
        <v>44</v>
      </c>
      <c r="AF42" s="296">
        <f t="shared" si="68"/>
        <v>44</v>
      </c>
    </row>
    <row r="43" spans="1:32">
      <c r="A43" s="294" t="s">
        <v>111</v>
      </c>
      <c r="D43" s="294">
        <v>25.57</v>
      </c>
      <c r="E43" s="294">
        <v>25.57</v>
      </c>
      <c r="F43" s="294">
        <v>25.57</v>
      </c>
      <c r="G43" s="294">
        <v>25.57</v>
      </c>
      <c r="H43" s="294">
        <v>25.57</v>
      </c>
      <c r="I43" s="294">
        <v>25.57</v>
      </c>
      <c r="J43" s="294">
        <v>25.57</v>
      </c>
      <c r="K43" s="294">
        <v>25.57</v>
      </c>
      <c r="L43" s="294">
        <v>25.57</v>
      </c>
      <c r="M43" s="294">
        <v>25.57</v>
      </c>
      <c r="N43" s="294">
        <v>25.57</v>
      </c>
      <c r="O43" s="294">
        <v>25.57</v>
      </c>
      <c r="P43" s="294">
        <f>5+14</f>
        <v>19</v>
      </c>
      <c r="Q43" s="294">
        <f t="shared" ref="Q43:AF43" si="69">5+14</f>
        <v>19</v>
      </c>
      <c r="R43" s="294">
        <f t="shared" si="69"/>
        <v>19</v>
      </c>
      <c r="S43" s="294">
        <f t="shared" si="69"/>
        <v>19</v>
      </c>
      <c r="T43" s="294">
        <f t="shared" si="69"/>
        <v>19</v>
      </c>
      <c r="U43" s="294">
        <f t="shared" si="69"/>
        <v>19</v>
      </c>
      <c r="V43" s="294">
        <f t="shared" si="69"/>
        <v>19</v>
      </c>
      <c r="W43" s="294">
        <f t="shared" si="69"/>
        <v>19</v>
      </c>
      <c r="X43" s="294">
        <f t="shared" si="69"/>
        <v>19</v>
      </c>
      <c r="Y43" s="294">
        <f t="shared" si="69"/>
        <v>19</v>
      </c>
      <c r="Z43" s="294">
        <f t="shared" si="69"/>
        <v>19</v>
      </c>
      <c r="AA43" s="294">
        <f t="shared" si="69"/>
        <v>19</v>
      </c>
      <c r="AB43" s="294">
        <f t="shared" si="69"/>
        <v>19</v>
      </c>
      <c r="AC43" s="294">
        <f t="shared" si="69"/>
        <v>19</v>
      </c>
      <c r="AD43" s="294">
        <f t="shared" si="69"/>
        <v>19</v>
      </c>
      <c r="AE43" s="294">
        <f t="shared" si="69"/>
        <v>19</v>
      </c>
      <c r="AF43" s="294">
        <f t="shared" si="69"/>
        <v>19</v>
      </c>
    </row>
    <row r="44" spans="1:32">
      <c r="A44" s="294" t="s">
        <v>112</v>
      </c>
      <c r="D44" s="294">
        <v>41.7</v>
      </c>
      <c r="E44" s="294">
        <v>41.7</v>
      </c>
      <c r="F44" s="294">
        <v>41.7</v>
      </c>
      <c r="G44" s="294">
        <v>41.7</v>
      </c>
      <c r="H44" s="294">
        <v>41.7</v>
      </c>
      <c r="I44" s="294">
        <v>41.7</v>
      </c>
      <c r="J44" s="294">
        <v>41.7</v>
      </c>
      <c r="K44" s="294">
        <v>41.7</v>
      </c>
      <c r="L44" s="294">
        <v>41.7</v>
      </c>
      <c r="M44" s="294">
        <v>41.7</v>
      </c>
      <c r="N44" s="294">
        <v>41.7</v>
      </c>
      <c r="O44" s="294">
        <v>41.7</v>
      </c>
      <c r="P44" s="294">
        <f>19+17</f>
        <v>36</v>
      </c>
      <c r="Q44" s="294">
        <f t="shared" ref="Q44:AF44" si="70">19+17</f>
        <v>36</v>
      </c>
      <c r="R44" s="294">
        <f t="shared" si="70"/>
        <v>36</v>
      </c>
      <c r="S44" s="294">
        <f t="shared" si="70"/>
        <v>36</v>
      </c>
      <c r="T44" s="294">
        <f t="shared" si="70"/>
        <v>36</v>
      </c>
      <c r="U44" s="294">
        <f t="shared" si="70"/>
        <v>36</v>
      </c>
      <c r="V44" s="294">
        <f t="shared" si="70"/>
        <v>36</v>
      </c>
      <c r="W44" s="294">
        <f t="shared" si="70"/>
        <v>36</v>
      </c>
      <c r="X44" s="294">
        <f t="shared" si="70"/>
        <v>36</v>
      </c>
      <c r="Y44" s="294">
        <f t="shared" si="70"/>
        <v>36</v>
      </c>
      <c r="Z44" s="294">
        <f t="shared" si="70"/>
        <v>36</v>
      </c>
      <c r="AA44" s="294">
        <f t="shared" si="70"/>
        <v>36</v>
      </c>
      <c r="AB44" s="294">
        <f t="shared" si="70"/>
        <v>36</v>
      </c>
      <c r="AC44" s="294">
        <f t="shared" si="70"/>
        <v>36</v>
      </c>
      <c r="AD44" s="294">
        <f t="shared" si="70"/>
        <v>36</v>
      </c>
      <c r="AE44" s="294">
        <f t="shared" si="70"/>
        <v>36</v>
      </c>
      <c r="AF44" s="294">
        <f t="shared" si="70"/>
        <v>36</v>
      </c>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BJ203"/>
  <sheetViews>
    <sheetView zoomScale="85" zoomScaleNormal="85" workbookViewId="0">
      <pane xSplit="4" ySplit="11" topLeftCell="AC12" activePane="bottomRight" state="frozen"/>
      <selection activeCell="U42" sqref="U42"/>
      <selection pane="topRight" activeCell="U42" sqref="U42"/>
      <selection pane="bottomLeft" activeCell="U42" sqref="U42"/>
      <selection pane="bottomRight" activeCell="AF20" sqref="AF20"/>
    </sheetView>
  </sheetViews>
  <sheetFormatPr defaultRowHeight="14.4"/>
  <cols>
    <col min="1" max="1" width="22.109375" style="1" customWidth="1"/>
    <col min="2" max="2" width="18.109375" style="2" bestFit="1" customWidth="1"/>
    <col min="3" max="3" width="26.44140625" bestFit="1" customWidth="1"/>
    <col min="4" max="4" width="20.109375" bestFit="1" customWidth="1"/>
    <col min="5" max="17" width="10.109375" bestFit="1" customWidth="1"/>
    <col min="18" max="18" width="9.88671875" customWidth="1"/>
    <col min="19" max="24" width="10.109375" bestFit="1" customWidth="1"/>
    <col min="25" max="26" width="10" bestFit="1" customWidth="1"/>
    <col min="27" max="27" width="10" customWidth="1"/>
    <col min="28" max="29" width="10.109375" customWidth="1"/>
    <col min="30" max="41" width="10.109375" bestFit="1" customWidth="1"/>
    <col min="43" max="43" width="9.5546875" bestFit="1" customWidth="1"/>
  </cols>
  <sheetData>
    <row r="1" spans="1:62" s="31" customFormat="1" ht="15.45" customHeight="1">
      <c r="A1" s="6"/>
      <c r="B1" s="30"/>
      <c r="D1" s="550" t="s">
        <v>139</v>
      </c>
      <c r="R1" s="31">
        <v>30</v>
      </c>
      <c r="S1" s="31">
        <v>31</v>
      </c>
      <c r="T1" s="31">
        <v>31</v>
      </c>
      <c r="U1" s="31">
        <v>30</v>
      </c>
      <c r="V1" s="31">
        <v>31</v>
      </c>
      <c r="W1" s="31">
        <v>30</v>
      </c>
      <c r="X1" s="31">
        <v>31</v>
      </c>
      <c r="Y1" s="31">
        <v>31</v>
      </c>
      <c r="Z1" s="549">
        <v>28</v>
      </c>
      <c r="AA1" s="549">
        <v>31</v>
      </c>
      <c r="AB1" s="549">
        <v>30</v>
      </c>
      <c r="AC1" s="549">
        <v>31</v>
      </c>
      <c r="AD1" s="549">
        <v>30</v>
      </c>
      <c r="AE1" s="549">
        <v>31</v>
      </c>
      <c r="AF1" s="549">
        <v>31</v>
      </c>
      <c r="AG1" s="549">
        <v>30</v>
      </c>
      <c r="AH1" s="549">
        <v>31</v>
      </c>
      <c r="AI1" s="549">
        <v>30</v>
      </c>
      <c r="AJ1" s="549">
        <v>31</v>
      </c>
      <c r="AK1" s="549">
        <v>31</v>
      </c>
      <c r="AL1" s="549">
        <v>28</v>
      </c>
      <c r="AM1" s="549">
        <v>31</v>
      </c>
      <c r="AN1" s="549">
        <v>30</v>
      </c>
      <c r="AO1" s="549">
        <v>31</v>
      </c>
    </row>
    <row r="2" spans="1:62" ht="14.7" customHeight="1" thickBot="1">
      <c r="A2" s="39" t="s">
        <v>128</v>
      </c>
      <c r="B2" s="30"/>
      <c r="C2" s="31"/>
      <c r="D2" s="50"/>
      <c r="E2" s="31"/>
      <c r="F2" s="31"/>
      <c r="G2" s="217">
        <v>43678</v>
      </c>
      <c r="H2" s="217">
        <v>43698</v>
      </c>
      <c r="I2" s="31"/>
      <c r="J2" s="31"/>
      <c r="K2" s="31"/>
      <c r="L2" s="271">
        <f>L6/1000</f>
        <v>31.888097230590823</v>
      </c>
      <c r="M2" s="271">
        <f>M6/1000</f>
        <v>16.827883907470703</v>
      </c>
      <c r="N2" s="271">
        <f t="shared" ref="N2:Y2" si="0">N6/1000</f>
        <v>36.020527630224606</v>
      </c>
      <c r="O2" s="271">
        <f t="shared" si="0"/>
        <v>33.684161457519529</v>
      </c>
      <c r="P2" s="271">
        <f t="shared" si="0"/>
        <v>18.635842199999999</v>
      </c>
      <c r="Q2" s="271">
        <f t="shared" si="0"/>
        <v>29.542833899999998</v>
      </c>
      <c r="R2" s="271">
        <f t="shared" si="0"/>
        <v>14.458839999999999</v>
      </c>
      <c r="S2" s="271">
        <f t="shared" si="0"/>
        <v>18.007720000000003</v>
      </c>
      <c r="T2" s="271">
        <f t="shared" si="0"/>
        <v>15.124660000000002</v>
      </c>
      <c r="U2" s="271">
        <f t="shared" si="0"/>
        <v>26.696860000000001</v>
      </c>
      <c r="V2" s="271">
        <f t="shared" si="0"/>
        <v>14.437240000000001</v>
      </c>
      <c r="W2" s="271">
        <f t="shared" si="0"/>
        <v>22.420850699999999</v>
      </c>
      <c r="X2" s="271">
        <f t="shared" si="0"/>
        <v>18.055042360000002</v>
      </c>
      <c r="Y2" s="271">
        <f t="shared" si="0"/>
        <v>24.4024</v>
      </c>
      <c r="Z2" s="271">
        <f t="shared" ref="Z2:AE2" si="1">Z6/1000</f>
        <v>28.877920000000003</v>
      </c>
      <c r="AA2" s="271">
        <f t="shared" si="1"/>
        <v>23.042922528000002</v>
      </c>
      <c r="AB2" s="271">
        <f t="shared" si="1"/>
        <v>33.906688200000005</v>
      </c>
      <c r="AC2" s="271">
        <f t="shared" si="1"/>
        <v>33.479688200000055</v>
      </c>
      <c r="AD2" s="271">
        <f t="shared" si="1"/>
        <v>19.972226310734705</v>
      </c>
      <c r="AE2" s="271">
        <f t="shared" si="1"/>
        <v>27.911664940734674</v>
      </c>
      <c r="AF2" s="271">
        <f t="shared" ref="AF2:AK2" si="2">AF6/1000</f>
        <v>25.492009150734681</v>
      </c>
      <c r="AG2" s="271">
        <f t="shared" si="2"/>
        <v>25.176883120734665</v>
      </c>
      <c r="AH2" s="271">
        <f t="shared" si="2"/>
        <v>24.376517991988614</v>
      </c>
      <c r="AI2" s="271">
        <f t="shared" si="2"/>
        <v>23.874694310515174</v>
      </c>
      <c r="AJ2" s="271">
        <f t="shared" si="2"/>
        <v>25.462116115687543</v>
      </c>
      <c r="AK2" s="271">
        <f t="shared" si="2"/>
        <v>25.703092458531195</v>
      </c>
      <c r="AL2" s="271">
        <f t="shared" ref="AL2:AM2" si="3">AL6/1000</f>
        <v>25.212477269164246</v>
      </c>
      <c r="AM2" s="271">
        <f t="shared" si="3"/>
        <v>25.459018242007893</v>
      </c>
      <c r="AN2" s="271">
        <f t="shared" ref="AN2:AO2" si="4">AN6/1000</f>
        <v>25.705562654114722</v>
      </c>
      <c r="AO2" s="271">
        <f t="shared" si="4"/>
        <v>25.572653326958353</v>
      </c>
      <c r="AP2" s="31"/>
      <c r="AQ2" s="31"/>
      <c r="AR2" s="31"/>
      <c r="AS2" s="31"/>
      <c r="AT2" s="31"/>
    </row>
    <row r="3" spans="1:62" s="75" customFormat="1" ht="15" thickBot="1">
      <c r="A3" s="647" t="s">
        <v>32</v>
      </c>
      <c r="B3" s="648"/>
      <c r="C3" s="369"/>
      <c r="D3" s="372"/>
      <c r="E3" s="78">
        <v>43587</v>
      </c>
      <c r="F3" s="78">
        <v>43618</v>
      </c>
      <c r="G3" s="78">
        <v>43648</v>
      </c>
      <c r="H3" s="78">
        <v>43679</v>
      </c>
      <c r="I3" s="229">
        <v>43710</v>
      </c>
      <c r="J3" s="229">
        <v>43740</v>
      </c>
      <c r="K3" s="78">
        <v>43771</v>
      </c>
      <c r="L3" s="257">
        <v>43801</v>
      </c>
      <c r="M3" s="229">
        <v>43832</v>
      </c>
      <c r="N3" s="229">
        <v>43863</v>
      </c>
      <c r="O3" s="78">
        <v>43892</v>
      </c>
      <c r="P3" s="78">
        <v>43923</v>
      </c>
      <c r="Q3" s="78">
        <v>43953</v>
      </c>
      <c r="R3" s="229">
        <v>43984</v>
      </c>
      <c r="S3" s="229">
        <v>44014</v>
      </c>
      <c r="T3" s="229">
        <v>44045</v>
      </c>
      <c r="U3" s="229">
        <v>44076</v>
      </c>
      <c r="V3" s="229">
        <v>44106</v>
      </c>
      <c r="W3" s="229">
        <v>44137</v>
      </c>
      <c r="X3" s="229">
        <v>44167</v>
      </c>
      <c r="Y3" s="229">
        <v>44198</v>
      </c>
      <c r="Z3" s="229">
        <v>44229</v>
      </c>
      <c r="AA3" s="229">
        <v>44257</v>
      </c>
      <c r="AB3" s="229">
        <v>44288</v>
      </c>
      <c r="AC3" s="229">
        <v>44318</v>
      </c>
      <c r="AD3" s="229">
        <v>44349</v>
      </c>
      <c r="AE3" s="229">
        <v>44379</v>
      </c>
      <c r="AF3" s="229">
        <v>44410</v>
      </c>
      <c r="AG3" s="229">
        <v>44441</v>
      </c>
      <c r="AH3" s="229">
        <v>44471</v>
      </c>
      <c r="AI3" s="229">
        <v>44502</v>
      </c>
      <c r="AJ3" s="229">
        <v>44532</v>
      </c>
      <c r="AK3" s="229">
        <v>44563</v>
      </c>
      <c r="AL3" s="229">
        <v>44594</v>
      </c>
      <c r="AM3" s="229">
        <v>44622</v>
      </c>
      <c r="AN3" s="229">
        <v>44653</v>
      </c>
      <c r="AO3" s="229">
        <v>44683</v>
      </c>
      <c r="AP3" s="76"/>
      <c r="AQ3" s="74"/>
      <c r="AR3" s="74"/>
      <c r="AS3" s="74"/>
      <c r="AT3" s="74"/>
    </row>
    <row r="4" spans="1:62">
      <c r="A4" s="21" t="s">
        <v>3</v>
      </c>
      <c r="B4" s="370"/>
      <c r="C4" s="46"/>
      <c r="D4" s="374"/>
      <c r="E4" s="92"/>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38"/>
      <c r="AQ4" s="637"/>
      <c r="AR4" s="31"/>
      <c r="AS4" s="31"/>
      <c r="AT4" s="31"/>
      <c r="AX4" s="211">
        <v>0.25403924107025933</v>
      </c>
      <c r="AY4" s="243">
        <v>0.33483128996932265</v>
      </c>
      <c r="AZ4" s="243">
        <v>0.44030814595945017</v>
      </c>
      <c r="BA4" s="243">
        <v>0.52359343951186588</v>
      </c>
      <c r="BB4" s="243">
        <v>0.46103669107740353</v>
      </c>
      <c r="BC4" s="243">
        <v>0.39779918773241624</v>
      </c>
      <c r="BD4" s="243">
        <v>0.66942577304125628</v>
      </c>
      <c r="BE4" s="243"/>
      <c r="BF4" s="243"/>
      <c r="BG4" s="243"/>
      <c r="BH4" s="243"/>
      <c r="BI4" s="243"/>
      <c r="BJ4" s="243"/>
    </row>
    <row r="5" spans="1:62">
      <c r="A5" s="86" t="s">
        <v>197</v>
      </c>
      <c r="B5" s="366"/>
      <c r="C5" s="38"/>
      <c r="D5" s="375" t="s">
        <v>44</v>
      </c>
      <c r="E5" s="82">
        <v>49624.800000000003</v>
      </c>
      <c r="F5" s="82">
        <v>49624.800000000003</v>
      </c>
      <c r="G5" s="82">
        <v>49624.800000000003</v>
      </c>
      <c r="H5" s="83">
        <v>46018</v>
      </c>
      <c r="I5" s="82">
        <v>49624.800000000003</v>
      </c>
      <c r="J5" s="83">
        <v>45790.8</v>
      </c>
      <c r="K5" s="82">
        <v>45791</v>
      </c>
      <c r="L5" s="82">
        <v>49624.800000000003</v>
      </c>
      <c r="M5" s="82">
        <v>49624.800000000003</v>
      </c>
      <c r="N5" s="82">
        <v>49624.800000000003</v>
      </c>
      <c r="O5" s="82">
        <v>49624.800000000003</v>
      </c>
      <c r="P5" s="82">
        <v>49624.800000000003</v>
      </c>
      <c r="Q5" s="83">
        <v>45790.8</v>
      </c>
      <c r="R5" s="83">
        <v>45790.8</v>
      </c>
      <c r="S5" s="83">
        <v>45790.8</v>
      </c>
      <c r="T5" s="83">
        <v>45790.8</v>
      </c>
      <c r="U5" s="83">
        <v>45790.8</v>
      </c>
      <c r="V5" s="267">
        <v>46018</v>
      </c>
      <c r="W5" s="83">
        <v>46018</v>
      </c>
      <c r="X5" s="359">
        <v>49624.800000000003</v>
      </c>
      <c r="Y5" s="359">
        <v>49624.80000000001</v>
      </c>
      <c r="Z5" s="267">
        <v>45790.8</v>
      </c>
      <c r="AA5" s="267">
        <v>43641.600000000006</v>
      </c>
      <c r="AB5" s="359">
        <v>47475.62</v>
      </c>
      <c r="AC5" s="267">
        <v>47475.62</v>
      </c>
      <c r="AD5" s="267">
        <v>43641.600000000006</v>
      </c>
      <c r="AE5" s="267">
        <v>43641.600000000006</v>
      </c>
      <c r="AF5" s="359">
        <v>47475.600000000006</v>
      </c>
      <c r="AG5" s="359">
        <v>47475.600000000006</v>
      </c>
      <c r="AH5" s="267">
        <v>43641.600000000006</v>
      </c>
      <c r="AI5" s="267">
        <v>43641.600000000006</v>
      </c>
      <c r="AJ5" s="359">
        <v>47475.600000000006</v>
      </c>
      <c r="AK5" s="359">
        <v>47475.600000000006</v>
      </c>
      <c r="AL5" s="359">
        <v>47475.600000000006</v>
      </c>
      <c r="AM5" s="359">
        <v>47475.600000000006</v>
      </c>
      <c r="AN5" s="359">
        <v>47475.600000000006</v>
      </c>
      <c r="AO5" s="359">
        <v>47475.600000000006</v>
      </c>
      <c r="AP5" s="38"/>
      <c r="AQ5" s="638" t="s">
        <v>221</v>
      </c>
      <c r="AR5" s="31">
        <v>102</v>
      </c>
      <c r="AS5" s="31"/>
      <c r="AT5" s="31"/>
      <c r="AX5" s="211">
        <v>0.39594825138632178</v>
      </c>
      <c r="AY5" s="243">
        <v>0.44985506108216866</v>
      </c>
      <c r="AZ5" s="243">
        <v>0.54112680515879441</v>
      </c>
      <c r="BA5" s="243">
        <v>0.54734175247857253</v>
      </c>
      <c r="BB5" s="243">
        <v>0.79395000579712582</v>
      </c>
      <c r="BC5" s="243">
        <v>0.5347436121558915</v>
      </c>
      <c r="BD5" s="243">
        <v>0.5117306731540433</v>
      </c>
      <c r="BE5" s="243"/>
      <c r="BF5" s="243"/>
      <c r="BG5" s="243"/>
      <c r="BH5" s="243"/>
      <c r="BI5" s="243"/>
      <c r="BJ5" s="243"/>
    </row>
    <row r="6" spans="1:62">
      <c r="A6" s="87" t="s">
        <v>131</v>
      </c>
      <c r="B6" s="366"/>
      <c r="C6" s="38"/>
      <c r="D6" s="375" t="s">
        <v>44</v>
      </c>
      <c r="E6" s="90">
        <v>11096.775659790039</v>
      </c>
      <c r="F6" s="90">
        <v>22008.60853326934</v>
      </c>
      <c r="G6" s="90">
        <v>16060</v>
      </c>
      <c r="H6" s="90">
        <v>18030.939999999999</v>
      </c>
      <c r="I6" s="90">
        <v>10997.417582917811</v>
      </c>
      <c r="J6" s="90">
        <v>27311.326601295474</v>
      </c>
      <c r="K6" s="90">
        <v>26097.899326025392</v>
      </c>
      <c r="L6" s="90">
        <v>31888.097230590822</v>
      </c>
      <c r="M6" s="90">
        <v>16827.883907470703</v>
      </c>
      <c r="N6" s="90">
        <v>36020.527630224606</v>
      </c>
      <c r="O6" s="90">
        <v>33684.161457519527</v>
      </c>
      <c r="P6" s="90">
        <v>18635.842199999999</v>
      </c>
      <c r="Q6" s="90">
        <v>29542.833899999998</v>
      </c>
      <c r="R6" s="90">
        <v>14458.839999999998</v>
      </c>
      <c r="S6" s="90">
        <v>18007.72</v>
      </c>
      <c r="T6" s="90">
        <v>15124.660000000002</v>
      </c>
      <c r="U6" s="90">
        <v>26696.86</v>
      </c>
      <c r="V6" s="90">
        <v>14437.240000000002</v>
      </c>
      <c r="W6" s="90">
        <v>22420.850699999999</v>
      </c>
      <c r="X6" s="90">
        <v>18055.042360000003</v>
      </c>
      <c r="Y6" s="90">
        <v>24402.400000000001</v>
      </c>
      <c r="Z6" s="90">
        <v>28877.920000000002</v>
      </c>
      <c r="AA6" s="90">
        <v>23042.922528000003</v>
      </c>
      <c r="AB6" s="90">
        <v>33906.688200000004</v>
      </c>
      <c r="AC6" s="90">
        <f t="shared" ref="AC6:AO6" si="5">((AC59+(AB6/1000)+AC8+AC61+AC10)-AC95-AC99-AC100-AC101-AC102-AC103-AC104-AC105-AC106-AC107-AC108-AC109-AC110-AC111-AC112-AC113-AC114-AC115-AC116-AC117-AC118-AC119-AC120-AC121-AC122-AC123-AC124-AC125-AC126-AC127-AC128-AC129-AC130-AC131-AC135-AC136-AC137-AC138-AC139-AC140-AC141-AC142-AC143-AC144-AC145-AC146-AC147-AC148-AC149-AC150-AC151-AC9)*1000</f>
        <v>33479.688200000055</v>
      </c>
      <c r="AD6" s="90">
        <f t="shared" si="5"/>
        <v>19972.226310734706</v>
      </c>
      <c r="AE6" s="90">
        <f t="shared" si="5"/>
        <v>27911.664940734674</v>
      </c>
      <c r="AF6" s="90">
        <f t="shared" si="5"/>
        <v>25492.009150734681</v>
      </c>
      <c r="AG6" s="90">
        <f t="shared" si="5"/>
        <v>25176.883120734667</v>
      </c>
      <c r="AH6" s="90">
        <f t="shared" si="5"/>
        <v>24376.517991988614</v>
      </c>
      <c r="AI6" s="90">
        <f t="shared" si="5"/>
        <v>23874.694310515173</v>
      </c>
      <c r="AJ6" s="90">
        <f t="shared" si="5"/>
        <v>25462.116115687542</v>
      </c>
      <c r="AK6" s="90">
        <f t="shared" si="5"/>
        <v>25703.092458531195</v>
      </c>
      <c r="AL6" s="90">
        <f t="shared" si="5"/>
        <v>25212.477269164247</v>
      </c>
      <c r="AM6" s="90">
        <f t="shared" si="5"/>
        <v>25459.018242007893</v>
      </c>
      <c r="AN6" s="90">
        <f t="shared" si="5"/>
        <v>25705.562654114721</v>
      </c>
      <c r="AO6" s="90">
        <f t="shared" si="5"/>
        <v>25572.653326958352</v>
      </c>
      <c r="AP6" s="38"/>
      <c r="AQ6" s="639" t="s">
        <v>222</v>
      </c>
      <c r="AR6" s="31">
        <v>96</v>
      </c>
      <c r="AS6" s="31"/>
      <c r="AT6" s="31"/>
      <c r="AX6" s="211">
        <v>0.2101324533610899</v>
      </c>
      <c r="AY6" s="243">
        <v>0.2992428217775443</v>
      </c>
      <c r="AZ6" s="243">
        <v>0.40911475339945874</v>
      </c>
      <c r="BA6" s="243">
        <v>0.51624568806495075</v>
      </c>
      <c r="BB6" s="243">
        <v>0.39914928946670375</v>
      </c>
      <c r="BC6" s="243">
        <v>0.3596143769310105</v>
      </c>
      <c r="BD6" s="243">
        <v>0.71339658513420401</v>
      </c>
      <c r="BE6" s="243"/>
      <c r="BF6" s="243"/>
      <c r="BG6" s="243"/>
      <c r="BH6" s="243"/>
      <c r="BI6" s="243"/>
      <c r="BJ6" s="243"/>
    </row>
    <row r="7" spans="1:62">
      <c r="A7" s="365" t="s">
        <v>135</v>
      </c>
      <c r="B7" s="366"/>
      <c r="C7" s="38"/>
      <c r="D7" s="375" t="s">
        <v>45</v>
      </c>
      <c r="E7" s="99">
        <f>E6/E5</f>
        <v>0.22361350896708981</v>
      </c>
      <c r="F7" s="99">
        <f t="shared" ref="F7:N7" si="6">F6/F5</f>
        <v>0.44350019613720032</v>
      </c>
      <c r="G7" s="99">
        <f t="shared" si="6"/>
        <v>0.32362850832648188</v>
      </c>
      <c r="H7" s="116">
        <f t="shared" si="6"/>
        <v>0.39182363423008387</v>
      </c>
      <c r="I7" s="116">
        <f t="shared" si="6"/>
        <v>0.2216113230263459</v>
      </c>
      <c r="J7" s="116">
        <f t="shared" si="6"/>
        <v>0.59643698300303716</v>
      </c>
      <c r="K7" s="116">
        <f t="shared" si="6"/>
        <v>0.56993512537453628</v>
      </c>
      <c r="L7" s="116">
        <f t="shared" si="6"/>
        <v>0.64258389415354455</v>
      </c>
      <c r="M7" s="116">
        <f t="shared" si="6"/>
        <v>0.33910230182228851</v>
      </c>
      <c r="N7" s="116">
        <f t="shared" si="6"/>
        <v>0.72585738643227993</v>
      </c>
      <c r="O7" s="116">
        <f t="shared" ref="O7:AK7" si="7">O6/O5</f>
        <v>0.67877677003271597</v>
      </c>
      <c r="P7" s="116">
        <f t="shared" si="7"/>
        <v>0.37553485757121435</v>
      </c>
      <c r="Q7" s="116">
        <f t="shared" si="7"/>
        <v>0.64516963887942547</v>
      </c>
      <c r="R7" s="364">
        <f t="shared" si="7"/>
        <v>0.31575862400307481</v>
      </c>
      <c r="S7" s="364">
        <f t="shared" si="7"/>
        <v>0.39326065497872936</v>
      </c>
      <c r="T7" s="364">
        <f t="shared" si="7"/>
        <v>0.3302990993824087</v>
      </c>
      <c r="U7" s="364">
        <f t="shared" si="7"/>
        <v>0.58301798614568867</v>
      </c>
      <c r="V7" s="364">
        <f t="shared" si="7"/>
        <v>0.31373027945586512</v>
      </c>
      <c r="W7" s="364">
        <f t="shared" si="7"/>
        <v>0.48721914685557821</v>
      </c>
      <c r="X7" s="364">
        <f t="shared" si="7"/>
        <v>0.36383103528880723</v>
      </c>
      <c r="Y7" s="364">
        <f t="shared" si="7"/>
        <v>0.49173800196675849</v>
      </c>
      <c r="Z7" s="364">
        <f t="shared" si="7"/>
        <v>0.63064895131773191</v>
      </c>
      <c r="AA7" s="364">
        <f t="shared" si="7"/>
        <v>0.52800361416630004</v>
      </c>
      <c r="AB7" s="364">
        <f t="shared" si="7"/>
        <v>0.71419158296405616</v>
      </c>
      <c r="AC7" s="364">
        <f t="shared" si="7"/>
        <v>0.70519749294480105</v>
      </c>
      <c r="AD7" s="364">
        <f t="shared" si="7"/>
        <v>0.45764193592202629</v>
      </c>
      <c r="AE7" s="364">
        <f t="shared" si="7"/>
        <v>0.63956557368966005</v>
      </c>
      <c r="AF7" s="364">
        <f t="shared" si="7"/>
        <v>0.53694969944002136</v>
      </c>
      <c r="AG7" s="364">
        <f t="shared" si="7"/>
        <v>0.53031205757767497</v>
      </c>
      <c r="AH7" s="364">
        <f t="shared" si="7"/>
        <v>0.55856150993521347</v>
      </c>
      <c r="AI7" s="364">
        <f t="shared" si="7"/>
        <v>0.54706276375098917</v>
      </c>
      <c r="AJ7" s="364">
        <f t="shared" si="7"/>
        <v>0.53632004894487983</v>
      </c>
      <c r="AK7" s="364">
        <f t="shared" si="7"/>
        <v>0.54139584246499661</v>
      </c>
      <c r="AL7" s="364">
        <f t="shared" ref="AL7:AM7" si="8">AL6/AL5</f>
        <v>0.53106179319827962</v>
      </c>
      <c r="AM7" s="364">
        <f t="shared" si="8"/>
        <v>0.53625479703274714</v>
      </c>
      <c r="AN7" s="364">
        <f t="shared" ref="AN7:AO7" si="9">AN6/AN5</f>
        <v>0.54144787330996802</v>
      </c>
      <c r="AO7" s="364">
        <f t="shared" si="9"/>
        <v>0.53864834413800666</v>
      </c>
      <c r="AP7" s="38"/>
      <c r="AQ7" s="433" t="s">
        <v>159</v>
      </c>
      <c r="AR7" s="31"/>
      <c r="AS7" s="31"/>
      <c r="AT7" s="31"/>
    </row>
    <row r="8" spans="1:62">
      <c r="A8" s="96" t="s">
        <v>75</v>
      </c>
      <c r="B8" s="366"/>
      <c r="C8" s="38"/>
      <c r="D8" s="375" t="s">
        <v>43</v>
      </c>
      <c r="E8" s="94"/>
      <c r="F8" s="94"/>
      <c r="G8" s="125"/>
      <c r="H8" s="125">
        <f>3.5+1.5+3.6</f>
        <v>8.6</v>
      </c>
      <c r="I8" s="230">
        <v>2.46</v>
      </c>
      <c r="J8" s="244">
        <v>33</v>
      </c>
      <c r="K8" s="244">
        <v>11.6</v>
      </c>
      <c r="L8" s="266">
        <f>12+2.1</f>
        <v>14.1</v>
      </c>
      <c r="M8" s="125"/>
      <c r="N8" s="298">
        <v>3.4</v>
      </c>
      <c r="O8" s="125"/>
      <c r="P8" s="94"/>
      <c r="Q8" s="94">
        <v>2</v>
      </c>
      <c r="R8" s="125">
        <f>3+0.58</f>
        <v>3.58</v>
      </c>
      <c r="S8" s="94">
        <f>19+4</f>
        <v>23</v>
      </c>
      <c r="T8" s="94">
        <v>27</v>
      </c>
      <c r="U8" s="94">
        <v>13</v>
      </c>
      <c r="V8" s="94">
        <v>7</v>
      </c>
      <c r="W8" s="94">
        <f>32</f>
        <v>32</v>
      </c>
      <c r="X8" s="94">
        <v>20.677</v>
      </c>
      <c r="Y8" s="94">
        <f>1+2+3</f>
        <v>6</v>
      </c>
      <c r="Z8" s="94">
        <v>39</v>
      </c>
      <c r="AA8" s="94">
        <v>37</v>
      </c>
      <c r="AB8" s="266">
        <f>35.5-1-6+1</f>
        <v>29.5</v>
      </c>
      <c r="AC8" s="94">
        <v>36</v>
      </c>
      <c r="AD8" s="94">
        <f>3+29-6</f>
        <v>26</v>
      </c>
      <c r="AE8" s="94">
        <v>102</v>
      </c>
      <c r="AF8" s="94">
        <v>36</v>
      </c>
      <c r="AG8" s="94">
        <v>53</v>
      </c>
      <c r="AH8" s="94">
        <v>50</v>
      </c>
      <c r="AI8" s="94">
        <v>45</v>
      </c>
      <c r="AJ8" s="94">
        <v>27</v>
      </c>
      <c r="AK8" s="94">
        <v>41</v>
      </c>
      <c r="AL8" s="94">
        <v>50</v>
      </c>
      <c r="AM8" s="94">
        <v>38</v>
      </c>
      <c r="AN8" s="94">
        <v>38</v>
      </c>
      <c r="AO8" s="94">
        <v>33</v>
      </c>
      <c r="AP8" s="38"/>
      <c r="AQ8" s="434">
        <f>SUM(Y8:AJ8)</f>
        <v>486.5</v>
      </c>
      <c r="AR8" s="31"/>
      <c r="AS8" s="31"/>
      <c r="AT8" s="31"/>
    </row>
    <row r="9" spans="1:62" ht="15" thickBot="1">
      <c r="A9" s="97" t="s">
        <v>47</v>
      </c>
      <c r="B9" s="368"/>
      <c r="C9" s="48"/>
      <c r="D9" s="376" t="s">
        <v>43</v>
      </c>
      <c r="E9" s="95"/>
      <c r="F9" s="95"/>
      <c r="G9" s="95"/>
      <c r="H9" s="95"/>
      <c r="I9" s="228"/>
      <c r="J9" s="95"/>
      <c r="K9" s="95"/>
      <c r="L9" s="95">
        <f>-4</f>
        <v>-4</v>
      </c>
      <c r="M9" s="228"/>
      <c r="N9" s="95">
        <v>-5.97</v>
      </c>
      <c r="O9" s="323">
        <v>5.85</v>
      </c>
      <c r="P9" s="95"/>
      <c r="Q9" s="95"/>
      <c r="R9" s="228"/>
      <c r="S9" s="95"/>
      <c r="T9" s="427"/>
      <c r="U9" s="442">
        <v>-5</v>
      </c>
      <c r="V9" s="95"/>
      <c r="W9" s="95"/>
      <c r="X9" s="95"/>
      <c r="Y9" s="95"/>
      <c r="Z9" s="95"/>
      <c r="AA9" s="95"/>
      <c r="AB9" s="95"/>
      <c r="AC9" s="95">
        <v>-3</v>
      </c>
      <c r="AD9" s="95"/>
      <c r="AE9" s="95"/>
      <c r="AF9" s="95"/>
      <c r="AG9" s="95"/>
      <c r="AH9" s="95"/>
      <c r="AI9" s="95"/>
      <c r="AJ9" s="95"/>
      <c r="AK9" s="95"/>
      <c r="AL9" s="95"/>
      <c r="AM9" s="95"/>
      <c r="AN9" s="95"/>
      <c r="AO9" s="95"/>
      <c r="AP9" s="38"/>
      <c r="AQ9" s="31"/>
      <c r="AR9" s="31"/>
      <c r="AS9" s="31"/>
      <c r="AT9" s="31"/>
    </row>
    <row r="10" spans="1:62" s="31" customFormat="1">
      <c r="A10" s="86" t="s">
        <v>50</v>
      </c>
      <c r="B10" s="269"/>
      <c r="C10" s="38"/>
      <c r="D10" s="88"/>
      <c r="E10" s="114"/>
      <c r="F10" s="115">
        <v>2</v>
      </c>
      <c r="G10" s="114"/>
      <c r="H10" s="114"/>
      <c r="I10" s="114"/>
      <c r="J10" s="114"/>
      <c r="K10" s="114"/>
      <c r="L10" s="114"/>
      <c r="M10" s="114"/>
      <c r="N10" s="114"/>
      <c r="O10" s="114"/>
      <c r="P10" s="114"/>
      <c r="Q10" s="114"/>
      <c r="R10" s="384">
        <v>1.6</v>
      </c>
      <c r="S10" s="114">
        <v>1</v>
      </c>
      <c r="T10" s="114"/>
      <c r="U10" s="114">
        <v>1</v>
      </c>
      <c r="V10" s="384"/>
      <c r="W10" s="384"/>
      <c r="X10" s="384"/>
      <c r="Y10" s="114"/>
      <c r="Z10" s="114"/>
      <c r="AA10" s="114"/>
      <c r="AB10" s="613">
        <v>1.5</v>
      </c>
      <c r="AC10" s="114"/>
      <c r="AD10" s="114"/>
      <c r="AE10" s="114"/>
      <c r="AF10" s="114"/>
      <c r="AG10" s="114"/>
      <c r="AH10" s="114"/>
      <c r="AI10" s="114"/>
      <c r="AJ10" s="114"/>
      <c r="AK10" s="114"/>
      <c r="AL10" s="114"/>
      <c r="AM10" s="114"/>
      <c r="AN10" s="114"/>
      <c r="AO10" s="114"/>
      <c r="AP10" s="38"/>
    </row>
    <row r="11" spans="1:62" s="31" customFormat="1">
      <c r="A11" s="86" t="s">
        <v>74</v>
      </c>
      <c r="B11" s="269"/>
      <c r="C11" s="38"/>
      <c r="D11" s="88"/>
      <c r="E11" s="114"/>
      <c r="F11" s="115"/>
      <c r="G11" s="114"/>
      <c r="H11" s="115">
        <v>3.12</v>
      </c>
      <c r="I11" s="114"/>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c r="AI11" s="114"/>
      <c r="AJ11" s="114"/>
      <c r="AK11" s="114"/>
      <c r="AL11" s="114"/>
      <c r="AM11" s="114"/>
      <c r="AN11" s="114"/>
      <c r="AO11" s="114"/>
      <c r="AP11" s="38"/>
    </row>
    <row r="12" spans="1:62" ht="24" thickBot="1">
      <c r="A12" s="39" t="s">
        <v>126</v>
      </c>
      <c r="B12" s="30"/>
      <c r="C12" s="31"/>
      <c r="D12" s="50"/>
      <c r="E12" s="31"/>
      <c r="F12" s="31"/>
      <c r="G12" s="217">
        <v>43678</v>
      </c>
      <c r="H12" s="217">
        <v>43698</v>
      </c>
      <c r="I12" s="31"/>
      <c r="J12" s="31"/>
      <c r="K12" s="31"/>
      <c r="L12" s="271">
        <f t="shared" ref="L12:Q12" si="10">L16/1000</f>
        <v>0</v>
      </c>
      <c r="M12" s="271">
        <f t="shared" si="10"/>
        <v>0</v>
      </c>
      <c r="N12" s="271">
        <f t="shared" si="10"/>
        <v>0</v>
      </c>
      <c r="O12" s="271">
        <f t="shared" si="10"/>
        <v>0</v>
      </c>
      <c r="P12" s="271">
        <f t="shared" si="10"/>
        <v>0</v>
      </c>
      <c r="Q12" s="271">
        <f t="shared" si="10"/>
        <v>8.6043339000000003</v>
      </c>
      <c r="R12" s="271"/>
      <c r="S12" s="271"/>
      <c r="T12" s="271"/>
      <c r="U12" s="271"/>
      <c r="V12" s="271"/>
      <c r="W12" s="271"/>
      <c r="X12" s="271"/>
      <c r="Y12" s="271"/>
      <c r="Z12" s="271"/>
      <c r="AA12" s="271"/>
      <c r="AB12" s="271"/>
      <c r="AC12" s="271"/>
      <c r="AD12" s="271"/>
      <c r="AE12" s="271"/>
      <c r="AF12" s="271"/>
      <c r="AG12" s="271"/>
      <c r="AH12" s="271"/>
      <c r="AI12" s="271"/>
      <c r="AJ12" s="271"/>
      <c r="AK12" s="271"/>
      <c r="AL12" s="271"/>
      <c r="AM12" s="271"/>
      <c r="AN12" s="271"/>
      <c r="AO12" s="271"/>
      <c r="AP12" s="38"/>
      <c r="AQ12" s="38"/>
      <c r="AR12" s="31"/>
      <c r="AS12" s="31"/>
      <c r="AT12" s="31"/>
    </row>
    <row r="13" spans="1:62" s="75" customFormat="1" ht="15" thickBot="1">
      <c r="A13" s="647" t="s">
        <v>32</v>
      </c>
      <c r="B13" s="648"/>
      <c r="C13" s="369"/>
      <c r="D13" s="372"/>
      <c r="E13" s="78">
        <v>43587</v>
      </c>
      <c r="F13" s="78">
        <v>43618</v>
      </c>
      <c r="G13" s="78">
        <v>43648</v>
      </c>
      <c r="H13" s="78">
        <v>43679</v>
      </c>
      <c r="I13" s="229">
        <v>43710</v>
      </c>
      <c r="J13" s="229">
        <v>43740</v>
      </c>
      <c r="K13" s="78">
        <v>43771</v>
      </c>
      <c r="L13" s="257">
        <v>43801</v>
      </c>
      <c r="M13" s="229">
        <v>43832</v>
      </c>
      <c r="N13" s="229">
        <v>43863</v>
      </c>
      <c r="O13" s="78">
        <v>43892</v>
      </c>
      <c r="P13" s="78">
        <v>43923</v>
      </c>
      <c r="Q13" s="78">
        <v>43953</v>
      </c>
      <c r="R13" s="229">
        <v>43984</v>
      </c>
      <c r="S13" s="229">
        <v>44014</v>
      </c>
      <c r="T13" s="229">
        <v>44045</v>
      </c>
      <c r="U13" s="229">
        <v>44076</v>
      </c>
      <c r="V13" s="229">
        <v>44106</v>
      </c>
      <c r="W13" s="229">
        <v>44137</v>
      </c>
      <c r="X13" s="229">
        <v>44167</v>
      </c>
      <c r="Y13" s="229">
        <f>Y3</f>
        <v>44198</v>
      </c>
      <c r="Z13" s="229">
        <f t="shared" ref="Z13:AK13" si="11">Z3</f>
        <v>44229</v>
      </c>
      <c r="AA13" s="229">
        <f t="shared" si="11"/>
        <v>44257</v>
      </c>
      <c r="AB13" s="229">
        <f t="shared" si="11"/>
        <v>44288</v>
      </c>
      <c r="AC13" s="229">
        <f t="shared" si="11"/>
        <v>44318</v>
      </c>
      <c r="AD13" s="229">
        <f t="shared" si="11"/>
        <v>44349</v>
      </c>
      <c r="AE13" s="229">
        <f t="shared" si="11"/>
        <v>44379</v>
      </c>
      <c r="AF13" s="229">
        <f t="shared" si="11"/>
        <v>44410</v>
      </c>
      <c r="AG13" s="229">
        <f t="shared" si="11"/>
        <v>44441</v>
      </c>
      <c r="AH13" s="229">
        <f t="shared" si="11"/>
        <v>44471</v>
      </c>
      <c r="AI13" s="229">
        <f t="shared" si="11"/>
        <v>44502</v>
      </c>
      <c r="AJ13" s="229">
        <f t="shared" si="11"/>
        <v>44532</v>
      </c>
      <c r="AK13" s="229">
        <f t="shared" si="11"/>
        <v>44563</v>
      </c>
      <c r="AL13" s="229">
        <f t="shared" ref="AL13:AM13" si="12">AL3</f>
        <v>44594</v>
      </c>
      <c r="AM13" s="229">
        <f t="shared" si="12"/>
        <v>44622</v>
      </c>
      <c r="AN13" s="229">
        <f t="shared" ref="AN13:AO13" si="13">AN3</f>
        <v>44653</v>
      </c>
      <c r="AO13" s="229">
        <f t="shared" si="13"/>
        <v>44683</v>
      </c>
      <c r="AP13" s="73"/>
      <c r="AQ13" s="73"/>
      <c r="AR13" s="74"/>
      <c r="AS13" s="74"/>
      <c r="AT13" s="74"/>
    </row>
    <row r="14" spans="1:62">
      <c r="A14" s="21" t="s">
        <v>3</v>
      </c>
      <c r="B14" s="370"/>
      <c r="C14" s="46"/>
      <c r="D14" s="374"/>
      <c r="E14" s="92"/>
      <c r="F14" s="89"/>
      <c r="G14" s="89"/>
      <c r="H14" s="89"/>
      <c r="I14" s="89"/>
      <c r="J14" s="89"/>
      <c r="K14" s="89"/>
      <c r="L14" s="89"/>
      <c r="M14" s="89"/>
      <c r="N14" s="89"/>
      <c r="O14" s="89"/>
      <c r="P14" s="89"/>
      <c r="Q14" s="89"/>
      <c r="R14" s="377"/>
      <c r="S14" s="89"/>
      <c r="T14" s="89"/>
      <c r="U14" s="89"/>
      <c r="V14" s="89"/>
      <c r="W14" s="89"/>
      <c r="X14" s="89"/>
      <c r="Y14" s="89"/>
      <c r="Z14" s="89"/>
      <c r="AA14" s="89"/>
      <c r="AB14" s="89"/>
      <c r="AC14" s="89"/>
      <c r="AD14" s="89"/>
      <c r="AE14" s="89"/>
      <c r="AF14" s="89"/>
      <c r="AG14" s="89"/>
      <c r="AH14" s="89"/>
      <c r="AI14" s="89"/>
      <c r="AJ14" s="89"/>
      <c r="AK14" s="89"/>
      <c r="AL14" s="89"/>
      <c r="AM14" s="89"/>
      <c r="AN14" s="89"/>
      <c r="AO14" s="89"/>
      <c r="AP14" s="38"/>
      <c r="AQ14" s="38"/>
      <c r="AR14" s="31"/>
      <c r="AS14" s="31"/>
      <c r="AT14" s="31"/>
    </row>
    <row r="15" spans="1:62">
      <c r="A15" s="86" t="s">
        <v>195</v>
      </c>
      <c r="B15" s="366"/>
      <c r="C15" s="38"/>
      <c r="D15" s="375" t="s">
        <v>44</v>
      </c>
      <c r="E15" s="82"/>
      <c r="F15" s="82"/>
      <c r="G15" s="82"/>
      <c r="H15" s="83"/>
      <c r="I15" s="82"/>
      <c r="J15" s="83"/>
      <c r="K15" s="82"/>
      <c r="L15" s="82"/>
      <c r="M15" s="82"/>
      <c r="N15" s="82"/>
      <c r="O15" s="82"/>
      <c r="P15" s="82"/>
      <c r="Q15" s="359">
        <v>10820</v>
      </c>
      <c r="R15" s="378">
        <v>10820</v>
      </c>
      <c r="S15" s="359">
        <v>10820</v>
      </c>
      <c r="T15" s="359">
        <v>10820</v>
      </c>
      <c r="U15" s="359">
        <v>10820</v>
      </c>
      <c r="V15" s="267">
        <v>7213.6</v>
      </c>
      <c r="W15" s="267">
        <v>7213.6</v>
      </c>
      <c r="X15" s="359">
        <v>10820</v>
      </c>
      <c r="Y15" s="359">
        <v>10820.4</v>
      </c>
      <c r="Z15" s="359">
        <v>10820.4</v>
      </c>
      <c r="AA15" s="359">
        <v>10820.4</v>
      </c>
      <c r="AB15" s="359">
        <v>10820.4</v>
      </c>
      <c r="AC15" s="359">
        <v>10820.4</v>
      </c>
      <c r="AD15" s="359">
        <v>10820.4</v>
      </c>
      <c r="AE15" s="359">
        <v>10820.4</v>
      </c>
      <c r="AF15" s="359">
        <v>10820.4</v>
      </c>
      <c r="AG15" s="359">
        <v>10820.4</v>
      </c>
      <c r="AH15" s="359">
        <v>10820.4</v>
      </c>
      <c r="AI15" s="359">
        <v>10820.4</v>
      </c>
      <c r="AJ15" s="359">
        <v>10820.4</v>
      </c>
      <c r="AK15" s="359">
        <v>10820.4</v>
      </c>
      <c r="AL15" s="359">
        <v>10820.4</v>
      </c>
      <c r="AM15" s="359">
        <v>10820.4</v>
      </c>
      <c r="AN15" s="359">
        <v>10820.4</v>
      </c>
      <c r="AO15" s="359">
        <v>10820.4</v>
      </c>
      <c r="AP15" s="38"/>
      <c r="AQ15" s="38"/>
      <c r="AR15" s="31"/>
      <c r="AS15" s="31"/>
      <c r="AT15" s="31"/>
    </row>
    <row r="16" spans="1:62">
      <c r="A16" s="86" t="s">
        <v>129</v>
      </c>
      <c r="B16" s="366"/>
      <c r="C16" s="38"/>
      <c r="D16" s="375" t="s">
        <v>44</v>
      </c>
      <c r="E16" s="90"/>
      <c r="F16" s="90"/>
      <c r="G16" s="90"/>
      <c r="H16" s="90"/>
      <c r="I16" s="90"/>
      <c r="J16" s="90"/>
      <c r="K16" s="90"/>
      <c r="L16" s="90"/>
      <c r="M16" s="90"/>
      <c r="N16" s="90"/>
      <c r="O16" s="90"/>
      <c r="P16" s="90"/>
      <c r="Q16" s="90">
        <v>8604.3338999999996</v>
      </c>
      <c r="R16" s="379">
        <v>4280.92</v>
      </c>
      <c r="S16" s="90">
        <v>4603.84</v>
      </c>
      <c r="T16" s="90">
        <v>5097.9400000000005</v>
      </c>
      <c r="U16" s="90">
        <v>8486.9800000000014</v>
      </c>
      <c r="V16" s="90">
        <v>4215.0621000000001</v>
      </c>
      <c r="W16" s="90">
        <v>5552.8707000000004</v>
      </c>
      <c r="X16" s="90">
        <v>3405.2722000000003</v>
      </c>
      <c r="Y16" s="90">
        <v>8673.82</v>
      </c>
      <c r="Z16" s="90">
        <f t="shared" ref="Z16:AO16" si="14">Y16-Z17+((Z55-Z97-Z99-Z100-Z102-Z103-Z104-Z105)*1000)</f>
        <v>4479.3540188754459</v>
      </c>
      <c r="AA16" s="90">
        <v>7425.2542080000003</v>
      </c>
      <c r="AB16" s="90">
        <v>8816.1281999999992</v>
      </c>
      <c r="AC16" s="90">
        <f t="shared" si="14"/>
        <v>5929.1282000000028</v>
      </c>
      <c r="AD16" s="90">
        <f t="shared" si="14"/>
        <v>5818.1282000000028</v>
      </c>
      <c r="AE16" s="90">
        <f t="shared" si="14"/>
        <v>6967.1282000000037</v>
      </c>
      <c r="AF16" s="90">
        <f t="shared" si="14"/>
        <v>8747.128200000001</v>
      </c>
      <c r="AG16" s="90">
        <f t="shared" si="14"/>
        <v>9907.1282000000119</v>
      </c>
      <c r="AH16" s="90">
        <f t="shared" si="14"/>
        <v>9698.3613940090599</v>
      </c>
      <c r="AI16" s="90">
        <f t="shared" si="14"/>
        <v>6272.4768207746583</v>
      </c>
      <c r="AJ16" s="90">
        <f t="shared" si="14"/>
        <v>8238.0137799373388</v>
      </c>
      <c r="AK16" s="90">
        <f t="shared" si="14"/>
        <v>8256.5629156601572</v>
      </c>
      <c r="AL16" s="90">
        <f t="shared" si="14"/>
        <v>6666.8653608291461</v>
      </c>
      <c r="AM16" s="90">
        <f t="shared" si="14"/>
        <v>6685.4144965519654</v>
      </c>
      <c r="AN16" s="90">
        <f t="shared" si="14"/>
        <v>6167.8814020901773</v>
      </c>
      <c r="AO16" s="90">
        <f t="shared" si="14"/>
        <v>6186.4305378129966</v>
      </c>
      <c r="AP16" s="38"/>
      <c r="AQ16" s="38"/>
      <c r="AR16" s="31"/>
      <c r="AS16" s="31"/>
      <c r="AT16" s="31"/>
    </row>
    <row r="17" spans="1:46">
      <c r="A17" s="86" t="s">
        <v>220</v>
      </c>
      <c r="B17" s="366"/>
      <c r="C17" s="38"/>
      <c r="D17" s="375" t="s">
        <v>44</v>
      </c>
      <c r="E17" s="90"/>
      <c r="F17" s="90"/>
      <c r="G17" s="90"/>
      <c r="H17" s="90"/>
      <c r="I17" s="90"/>
      <c r="J17" s="90"/>
      <c r="K17" s="90"/>
      <c r="L17" s="90"/>
      <c r="M17" s="90"/>
      <c r="N17" s="90"/>
      <c r="O17" s="90"/>
      <c r="P17" s="90"/>
      <c r="Q17" s="90"/>
      <c r="R17" s="379">
        <v>4303.2400800000014</v>
      </c>
      <c r="S17" s="90">
        <v>2500</v>
      </c>
      <c r="T17" s="90">
        <v>8500</v>
      </c>
      <c r="U17" s="90">
        <v>1000</v>
      </c>
      <c r="V17" s="90">
        <v>8000</v>
      </c>
      <c r="W17" s="90">
        <v>5005</v>
      </c>
      <c r="X17" s="90">
        <v>3000</v>
      </c>
      <c r="Y17" s="90">
        <v>7000</v>
      </c>
      <c r="Z17" s="90">
        <v>6000</v>
      </c>
      <c r="AA17" s="90">
        <f>2000</f>
        <v>2000</v>
      </c>
      <c r="AB17" s="90">
        <v>18500</v>
      </c>
      <c r="AC17" s="90">
        <v>6560</v>
      </c>
      <c r="AD17" s="90">
        <v>3000</v>
      </c>
      <c r="AE17" s="90">
        <v>3000</v>
      </c>
      <c r="AF17" s="90">
        <v>3000</v>
      </c>
      <c r="AG17" s="90">
        <v>8000</v>
      </c>
      <c r="AH17" s="90">
        <v>26000</v>
      </c>
      <c r="AI17" s="90">
        <v>3000</v>
      </c>
      <c r="AJ17" s="90">
        <v>3000</v>
      </c>
      <c r="AK17" s="90">
        <v>3000</v>
      </c>
      <c r="AL17" s="90">
        <v>3000</v>
      </c>
      <c r="AM17" s="90">
        <v>3000</v>
      </c>
      <c r="AN17" s="90">
        <v>3000</v>
      </c>
      <c r="AO17" s="90">
        <v>3000</v>
      </c>
      <c r="AP17" s="38"/>
      <c r="AQ17" s="434">
        <f>SUM(Y17:AJ17)</f>
        <v>89060</v>
      </c>
      <c r="AR17" s="31"/>
      <c r="AS17" s="31"/>
      <c r="AT17" s="31"/>
    </row>
    <row r="18" spans="1:46" ht="15" thickBot="1">
      <c r="A18" s="221" t="s">
        <v>41</v>
      </c>
      <c r="B18" s="368"/>
      <c r="C18" s="48"/>
      <c r="D18" s="376" t="s">
        <v>45</v>
      </c>
      <c r="E18" s="99" t="e">
        <f>E16/E15</f>
        <v>#DIV/0!</v>
      </c>
      <c r="F18" s="99" t="e">
        <f t="shared" ref="F18:Y18" si="15">F16/F15</f>
        <v>#DIV/0!</v>
      </c>
      <c r="G18" s="99" t="e">
        <f t="shared" si="15"/>
        <v>#DIV/0!</v>
      </c>
      <c r="H18" s="116" t="e">
        <f t="shared" si="15"/>
        <v>#DIV/0!</v>
      </c>
      <c r="I18" s="116" t="e">
        <f t="shared" si="15"/>
        <v>#DIV/0!</v>
      </c>
      <c r="J18" s="116" t="e">
        <f t="shared" si="15"/>
        <v>#DIV/0!</v>
      </c>
      <c r="K18" s="116" t="e">
        <f t="shared" si="15"/>
        <v>#DIV/0!</v>
      </c>
      <c r="L18" s="116" t="e">
        <f t="shared" si="15"/>
        <v>#DIV/0!</v>
      </c>
      <c r="M18" s="116" t="e">
        <f t="shared" si="15"/>
        <v>#DIV/0!</v>
      </c>
      <c r="N18" s="116" t="e">
        <f t="shared" si="15"/>
        <v>#DIV/0!</v>
      </c>
      <c r="O18" s="116" t="e">
        <f t="shared" si="15"/>
        <v>#DIV/0!</v>
      </c>
      <c r="P18" s="116" t="e">
        <f t="shared" si="15"/>
        <v>#DIV/0!</v>
      </c>
      <c r="Q18" s="116">
        <f t="shared" si="15"/>
        <v>0.79522494454713488</v>
      </c>
      <c r="R18" s="402">
        <f t="shared" si="15"/>
        <v>0.39564879852125695</v>
      </c>
      <c r="S18" s="403">
        <f t="shared" si="15"/>
        <v>0.42549353049907579</v>
      </c>
      <c r="T18" s="403">
        <f t="shared" si="15"/>
        <v>0.47115896487985215</v>
      </c>
      <c r="U18" s="403">
        <f t="shared" si="15"/>
        <v>0.7843789279112755</v>
      </c>
      <c r="V18" s="403">
        <f t="shared" si="15"/>
        <v>0.58432157313962518</v>
      </c>
      <c r="W18" s="403">
        <f t="shared" si="15"/>
        <v>0.76977801652434297</v>
      </c>
      <c r="X18" s="403">
        <f t="shared" si="15"/>
        <v>0.31472016635859523</v>
      </c>
      <c r="Y18" s="403">
        <f t="shared" si="15"/>
        <v>0.80161731544120363</v>
      </c>
      <c r="Z18" s="557">
        <f>Z16/Z15</f>
        <v>0.41397305264827972</v>
      </c>
      <c r="AA18" s="557">
        <f t="shared" ref="AA18:AJ18" si="16">AA16/AA15</f>
        <v>0.68622733059775987</v>
      </c>
      <c r="AB18" s="557">
        <f t="shared" si="16"/>
        <v>0.81476915825662632</v>
      </c>
      <c r="AC18" s="557">
        <f t="shared" si="16"/>
        <v>0.54795831947062978</v>
      </c>
      <c r="AD18" s="557">
        <f t="shared" si="16"/>
        <v>0.53769991867213807</v>
      </c>
      <c r="AE18" s="557">
        <f t="shared" si="16"/>
        <v>0.64388822964030945</v>
      </c>
      <c r="AF18" s="557">
        <f t="shared" si="16"/>
        <v>0.80839231451702354</v>
      </c>
      <c r="AG18" s="557">
        <f t="shared" si="16"/>
        <v>0.91559722376252373</v>
      </c>
      <c r="AH18" s="557">
        <f t="shared" si="16"/>
        <v>0.89630340782309903</v>
      </c>
      <c r="AI18" s="557">
        <f t="shared" si="16"/>
        <v>0.57968992096176286</v>
      </c>
      <c r="AJ18" s="557">
        <f t="shared" si="16"/>
        <v>0.76134096520806427</v>
      </c>
      <c r="AK18" s="557">
        <f>AK16/AK15</f>
        <v>0.76305523970094979</v>
      </c>
      <c r="AL18" s="557">
        <f>AL16/AL15</f>
        <v>0.61613853099969929</v>
      </c>
      <c r="AM18" s="557">
        <f>AM16/AM15</f>
        <v>0.61785280549258492</v>
      </c>
      <c r="AN18" s="557">
        <f>AN16/AN15</f>
        <v>0.5700234189207587</v>
      </c>
      <c r="AO18" s="557">
        <f>AO16/AO15</f>
        <v>0.57173769341364433</v>
      </c>
      <c r="AP18" s="38"/>
      <c r="AQ18" s="38"/>
      <c r="AR18" s="31"/>
      <c r="AS18" s="31"/>
      <c r="AT18" s="31"/>
    </row>
    <row r="19" spans="1:46" s="31" customFormat="1">
      <c r="A19" s="6" t="s">
        <v>136</v>
      </c>
      <c r="B19" s="30"/>
      <c r="R19" s="363">
        <f t="shared" ref="R19:AL19" si="17">R55-R97-R99-R102-R103-R105</f>
        <v>-2.0173819999998344E-2</v>
      </c>
      <c r="S19" s="363">
        <f t="shared" si="17"/>
        <v>5.0584090909090627</v>
      </c>
      <c r="T19" s="363">
        <f t="shared" si="17"/>
        <v>7.5176373626373696</v>
      </c>
      <c r="U19" s="363">
        <f t="shared" si="17"/>
        <v>0.61100000000000709</v>
      </c>
      <c r="V19" s="363">
        <f t="shared" si="17"/>
        <v>4.01</v>
      </c>
      <c r="W19" s="363">
        <f t="shared" si="17"/>
        <v>6.3309999999999977</v>
      </c>
      <c r="X19" s="363">
        <f t="shared" si="17"/>
        <v>1.0260000000000011</v>
      </c>
      <c r="Y19" s="363">
        <f t="shared" si="17"/>
        <v>11.852380729154897</v>
      </c>
      <c r="Z19" s="363">
        <f t="shared" si="17"/>
        <v>6.3055340188754467</v>
      </c>
      <c r="AA19" s="363">
        <f t="shared" si="17"/>
        <v>11.984000000000007</v>
      </c>
      <c r="AB19" s="363">
        <f t="shared" si="17"/>
        <v>19.509000000000011</v>
      </c>
      <c r="AC19" s="363">
        <f t="shared" si="17"/>
        <v>5.6730000000000036</v>
      </c>
      <c r="AD19" s="363">
        <f t="shared" si="17"/>
        <v>10.213999999999999</v>
      </c>
      <c r="AE19" s="363">
        <f t="shared" si="17"/>
        <v>4.1490000000000009</v>
      </c>
      <c r="AF19" s="363">
        <f t="shared" si="17"/>
        <v>15.773</v>
      </c>
      <c r="AG19" s="363">
        <f t="shared" si="17"/>
        <v>19.991000000000014</v>
      </c>
      <c r="AH19" s="363">
        <f t="shared" si="17"/>
        <v>36.622233194009056</v>
      </c>
      <c r="AI19" s="363">
        <f t="shared" si="17"/>
        <v>10.405115426765597</v>
      </c>
      <c r="AJ19" s="363">
        <f t="shared" si="17"/>
        <v>8.9655369591626801</v>
      </c>
      <c r="AK19" s="363">
        <f t="shared" si="17"/>
        <v>7.0185491357228198</v>
      </c>
      <c r="AL19" s="363">
        <f t="shared" si="17"/>
        <v>5.4103024451689894</v>
      </c>
      <c r="AM19" s="363">
        <f t="shared" ref="AM19:AN19" si="18">AM55-AM97-AM99-AM102-AM103-AM105</f>
        <v>7.0185491357228198</v>
      </c>
      <c r="AN19" s="363">
        <f t="shared" si="18"/>
        <v>6.482466905538212</v>
      </c>
      <c r="AO19" s="363">
        <f t="shared" ref="AO19" si="19">AO55-AO97-AO99-AO102-AO103-AO105</f>
        <v>7.0185491357228198</v>
      </c>
      <c r="AP19" s="38"/>
      <c r="AQ19" s="38"/>
    </row>
    <row r="20" spans="1:46" ht="24" thickBot="1">
      <c r="A20" s="39" t="s">
        <v>127</v>
      </c>
      <c r="B20" s="30"/>
      <c r="C20" s="31"/>
      <c r="D20" s="50"/>
      <c r="E20" s="31"/>
      <c r="F20" s="31"/>
      <c r="G20" s="217">
        <v>43678</v>
      </c>
      <c r="H20" s="217">
        <v>43698</v>
      </c>
      <c r="I20" s="31"/>
      <c r="J20" s="31"/>
      <c r="K20" s="31"/>
      <c r="L20" s="271">
        <f t="shared" ref="L20:Q20" si="20">L24/1000</f>
        <v>0</v>
      </c>
      <c r="M20" s="271">
        <f t="shared" si="20"/>
        <v>0</v>
      </c>
      <c r="N20" s="271">
        <f t="shared" si="20"/>
        <v>0</v>
      </c>
      <c r="O20" s="271">
        <f t="shared" si="20"/>
        <v>0</v>
      </c>
      <c r="P20" s="271">
        <f t="shared" si="20"/>
        <v>0</v>
      </c>
      <c r="Q20" s="271">
        <f t="shared" si="20"/>
        <v>20.938500000000001</v>
      </c>
      <c r="R20" s="271"/>
      <c r="S20" s="271"/>
      <c r="T20" s="271"/>
      <c r="U20" s="271"/>
      <c r="V20" s="271"/>
      <c r="W20" s="271"/>
      <c r="X20" s="271"/>
      <c r="Y20" s="271"/>
      <c r="Z20" s="271"/>
      <c r="AA20" s="271"/>
      <c r="AB20" s="271"/>
      <c r="AC20" s="271"/>
      <c r="AD20" s="271"/>
      <c r="AE20" s="271"/>
      <c r="AF20" s="271"/>
      <c r="AG20" s="271"/>
      <c r="AH20" s="271"/>
      <c r="AI20" s="271"/>
      <c r="AJ20" s="271"/>
      <c r="AK20" s="271"/>
      <c r="AL20" s="271"/>
      <c r="AM20" s="271"/>
      <c r="AN20" s="271"/>
      <c r="AO20" s="271"/>
      <c r="AP20" s="38"/>
      <c r="AQ20" s="38"/>
      <c r="AR20" s="31"/>
      <c r="AS20" s="31"/>
      <c r="AT20" s="31"/>
    </row>
    <row r="21" spans="1:46" s="75" customFormat="1" ht="15" thickBot="1">
      <c r="A21" s="647" t="s">
        <v>32</v>
      </c>
      <c r="B21" s="648"/>
      <c r="C21" s="357"/>
      <c r="D21" s="358"/>
      <c r="E21" s="77">
        <v>43587</v>
      </c>
      <c r="F21" s="78">
        <v>43618</v>
      </c>
      <c r="G21" s="78">
        <v>43648</v>
      </c>
      <c r="H21" s="78">
        <v>43679</v>
      </c>
      <c r="I21" s="229">
        <v>43710</v>
      </c>
      <c r="J21" s="229">
        <v>43740</v>
      </c>
      <c r="K21" s="78">
        <v>43771</v>
      </c>
      <c r="L21" s="257">
        <v>43801</v>
      </c>
      <c r="M21" s="229">
        <v>43832</v>
      </c>
      <c r="N21" s="229">
        <v>43863</v>
      </c>
      <c r="O21" s="78">
        <v>43892</v>
      </c>
      <c r="P21" s="78">
        <v>43923</v>
      </c>
      <c r="Q21" s="78">
        <v>43953</v>
      </c>
      <c r="R21" s="229">
        <v>43984</v>
      </c>
      <c r="S21" s="229">
        <v>44014</v>
      </c>
      <c r="T21" s="229">
        <v>44045</v>
      </c>
      <c r="U21" s="229">
        <v>44076</v>
      </c>
      <c r="V21" s="229">
        <v>44106</v>
      </c>
      <c r="W21" s="229">
        <v>44137</v>
      </c>
      <c r="X21" s="229">
        <v>44167</v>
      </c>
      <c r="Y21" s="229">
        <f>Y3</f>
        <v>44198</v>
      </c>
      <c r="Z21" s="229">
        <f t="shared" ref="Z21:AK21" si="21">Z3</f>
        <v>44229</v>
      </c>
      <c r="AA21" s="229">
        <f t="shared" si="21"/>
        <v>44257</v>
      </c>
      <c r="AB21" s="229">
        <f t="shared" si="21"/>
        <v>44288</v>
      </c>
      <c r="AC21" s="229">
        <f t="shared" si="21"/>
        <v>44318</v>
      </c>
      <c r="AD21" s="229">
        <f t="shared" si="21"/>
        <v>44349</v>
      </c>
      <c r="AE21" s="229">
        <f t="shared" si="21"/>
        <v>44379</v>
      </c>
      <c r="AF21" s="229">
        <f t="shared" si="21"/>
        <v>44410</v>
      </c>
      <c r="AG21" s="229">
        <f t="shared" si="21"/>
        <v>44441</v>
      </c>
      <c r="AH21" s="229">
        <f t="shared" si="21"/>
        <v>44471</v>
      </c>
      <c r="AI21" s="229">
        <f t="shared" si="21"/>
        <v>44502</v>
      </c>
      <c r="AJ21" s="229">
        <f t="shared" si="21"/>
        <v>44532</v>
      </c>
      <c r="AK21" s="229">
        <f t="shared" si="21"/>
        <v>44563</v>
      </c>
      <c r="AL21" s="229">
        <f t="shared" ref="AL21:AM21" si="22">AL3</f>
        <v>44594</v>
      </c>
      <c r="AM21" s="229">
        <f t="shared" si="22"/>
        <v>44622</v>
      </c>
      <c r="AN21" s="229">
        <f t="shared" ref="AN21:AO21" si="23">AN3</f>
        <v>44653</v>
      </c>
      <c r="AO21" s="229">
        <f t="shared" si="23"/>
        <v>44683</v>
      </c>
      <c r="AP21" s="31"/>
      <c r="AQ21" s="73"/>
      <c r="AR21" s="74"/>
      <c r="AS21" s="74"/>
      <c r="AT21" s="74"/>
    </row>
    <row r="22" spans="1:46">
      <c r="A22" s="21" t="s">
        <v>3</v>
      </c>
      <c r="B22" s="370"/>
      <c r="C22" s="46"/>
      <c r="D22" s="374"/>
      <c r="E22" s="92"/>
      <c r="F22" s="89"/>
      <c r="G22" s="89"/>
      <c r="H22" s="89"/>
      <c r="I22" s="89"/>
      <c r="J22" s="89"/>
      <c r="K22" s="89"/>
      <c r="L22" s="89"/>
      <c r="M22" s="89"/>
      <c r="N22" s="89"/>
      <c r="O22" s="89"/>
      <c r="P22" s="89"/>
      <c r="Q22" s="89"/>
      <c r="R22" s="377"/>
      <c r="S22" s="89"/>
      <c r="T22" s="89"/>
      <c r="U22" s="89"/>
      <c r="V22" s="89"/>
      <c r="W22" s="89"/>
      <c r="X22" s="89"/>
      <c r="Y22" s="89"/>
      <c r="Z22" s="89"/>
      <c r="AA22" s="89"/>
      <c r="AB22" s="89"/>
      <c r="AC22" s="89"/>
      <c r="AD22" s="89"/>
      <c r="AE22" s="89"/>
      <c r="AF22" s="89"/>
      <c r="AG22" s="89"/>
      <c r="AH22" s="89"/>
      <c r="AI22" s="89"/>
      <c r="AJ22" s="89"/>
      <c r="AK22" s="89"/>
      <c r="AL22" s="89"/>
      <c r="AM22" s="89"/>
      <c r="AN22" s="89"/>
      <c r="AO22" s="89"/>
      <c r="AP22" s="38"/>
      <c r="AQ22" s="38"/>
      <c r="AR22" s="31"/>
      <c r="AS22" s="31"/>
      <c r="AT22" s="31"/>
    </row>
    <row r="23" spans="1:46">
      <c r="A23" s="86" t="s">
        <v>194</v>
      </c>
      <c r="B23" s="366"/>
      <c r="C23" s="38"/>
      <c r="D23" s="375" t="s">
        <v>44</v>
      </c>
      <c r="E23" s="82"/>
      <c r="F23" s="82"/>
      <c r="G23" s="82"/>
      <c r="H23" s="83"/>
      <c r="I23" s="82"/>
      <c r="J23" s="83"/>
      <c r="K23" s="82"/>
      <c r="L23" s="82"/>
      <c r="M23" s="82"/>
      <c r="N23" s="82"/>
      <c r="O23" s="82"/>
      <c r="P23" s="82"/>
      <c r="Q23" s="83">
        <v>34970.800000000003</v>
      </c>
      <c r="R23" s="83">
        <f>R5-R15</f>
        <v>34970.800000000003</v>
      </c>
      <c r="S23" s="83">
        <f>S5-S15</f>
        <v>34970.800000000003</v>
      </c>
      <c r="T23" s="83">
        <v>34970.800000000003</v>
      </c>
      <c r="U23" s="83">
        <v>34970.800000000003</v>
      </c>
      <c r="V23" s="359">
        <v>38804.400000000001</v>
      </c>
      <c r="W23" s="359">
        <v>38804.400000000001</v>
      </c>
      <c r="X23" s="359">
        <v>38804.800000000003</v>
      </c>
      <c r="Y23" s="359">
        <v>38804.400000000009</v>
      </c>
      <c r="Z23" s="267">
        <v>34970.400000000001</v>
      </c>
      <c r="AA23" s="267">
        <v>32821.200000000004</v>
      </c>
      <c r="AB23" s="359">
        <v>36655.22</v>
      </c>
      <c r="AC23" s="267">
        <v>36655.22</v>
      </c>
      <c r="AD23" s="267">
        <v>32821.200000000004</v>
      </c>
      <c r="AE23" s="267">
        <v>32821.200000000004</v>
      </c>
      <c r="AF23" s="359">
        <v>36655.200000000004</v>
      </c>
      <c r="AG23" s="359">
        <v>36655.200000000004</v>
      </c>
      <c r="AH23" s="267">
        <v>32821.200000000004</v>
      </c>
      <c r="AI23" s="267">
        <v>32821.200000000004</v>
      </c>
      <c r="AJ23" s="359">
        <v>36655.200000000004</v>
      </c>
      <c r="AK23" s="359">
        <v>36655.200000000004</v>
      </c>
      <c r="AL23" s="359">
        <v>36655.200000000004</v>
      </c>
      <c r="AM23" s="359">
        <v>36655.200000000004</v>
      </c>
      <c r="AN23" s="359">
        <v>36655.200000000004</v>
      </c>
      <c r="AO23" s="359">
        <v>36655.200000000004</v>
      </c>
      <c r="AP23" s="38"/>
      <c r="AQ23" s="38"/>
      <c r="AR23" s="31"/>
      <c r="AS23" s="31"/>
      <c r="AT23" s="31"/>
    </row>
    <row r="24" spans="1:46">
      <c r="A24" s="87" t="s">
        <v>130</v>
      </c>
      <c r="B24" s="366"/>
      <c r="C24" s="38"/>
      <c r="D24" s="375" t="s">
        <v>44</v>
      </c>
      <c r="E24" s="90"/>
      <c r="F24" s="90"/>
      <c r="G24" s="90"/>
      <c r="H24" s="90"/>
      <c r="I24" s="90"/>
      <c r="J24" s="90"/>
      <c r="K24" s="90"/>
      <c r="L24" s="90"/>
      <c r="M24" s="90"/>
      <c r="N24" s="90"/>
      <c r="O24" s="90"/>
      <c r="P24" s="90"/>
      <c r="Q24" s="90">
        <v>20938.5</v>
      </c>
      <c r="R24" s="90">
        <v>10177.919999999998</v>
      </c>
      <c r="S24" s="90">
        <v>13403.88</v>
      </c>
      <c r="T24" s="90">
        <v>10026.720000000001</v>
      </c>
      <c r="U24" s="90">
        <v>18209.88</v>
      </c>
      <c r="V24" s="90">
        <v>10209.780000000001</v>
      </c>
      <c r="W24" s="90">
        <v>16867.98</v>
      </c>
      <c r="X24" s="90">
        <v>14649.770160000002</v>
      </c>
      <c r="Y24" s="90">
        <v>15728.580000000002</v>
      </c>
      <c r="Z24" s="90">
        <f t="shared" ref="Z24:AO24" si="24">Y24+Z17+((Z56+Z61+Z8-Z9+Z10-Z98-Z101-Z106-Z107-Z108-Z109-Z110-Z111-Z112-Z113-Z114-Z115-Z116-Z117-Z118-Z119-Z120-Z121-Z122-Z123-Z124-Z125-Z126-Z127-Z128-Z129-Z130-Z131-Z135-Z136-Z137-Z138-Z139-Z140-Z141-Z142-Z143-Z144-Z145-Z146-Z147-Z148-Z149-Z150-Z151)*1000)</f>
        <v>25479.838805474872</v>
      </c>
      <c r="AA24" s="90">
        <v>15617.668320000001</v>
      </c>
      <c r="AB24" s="90">
        <v>25090.560000000001</v>
      </c>
      <c r="AC24" s="90">
        <f t="shared" si="24"/>
        <v>27550.560000000005</v>
      </c>
      <c r="AD24" s="90">
        <f t="shared" si="24"/>
        <v>14154.098110734652</v>
      </c>
      <c r="AE24" s="90">
        <f t="shared" si="24"/>
        <v>20944.536740734649</v>
      </c>
      <c r="AF24" s="90">
        <f t="shared" si="24"/>
        <v>16744.880950734645</v>
      </c>
      <c r="AG24" s="90">
        <f t="shared" si="24"/>
        <v>15269.754920734587</v>
      </c>
      <c r="AH24" s="90">
        <f t="shared" si="24"/>
        <v>14678.156597979498</v>
      </c>
      <c r="AI24" s="90">
        <f t="shared" si="24"/>
        <v>17602.217489740477</v>
      </c>
      <c r="AJ24" s="90">
        <f t="shared" si="24"/>
        <v>17224.10233575026</v>
      </c>
      <c r="AK24" s="90">
        <f t="shared" si="24"/>
        <v>17446.529542871096</v>
      </c>
      <c r="AL24" s="90">
        <f t="shared" si="24"/>
        <v>18545.611908335115</v>
      </c>
      <c r="AM24" s="90">
        <f t="shared" si="24"/>
        <v>18773.603745455959</v>
      </c>
      <c r="AN24" s="90">
        <f t="shared" si="24"/>
        <v>19537.681252024577</v>
      </c>
      <c r="AO24" s="90">
        <f t="shared" si="24"/>
        <v>19386.222789145417</v>
      </c>
      <c r="AP24" s="38"/>
      <c r="AQ24" s="38"/>
      <c r="AR24" s="31"/>
      <c r="AS24" s="31"/>
      <c r="AT24" s="31"/>
    </row>
    <row r="25" spans="1:46" ht="15" thickBot="1">
      <c r="A25" s="221" t="s">
        <v>155</v>
      </c>
      <c r="B25" s="368"/>
      <c r="C25" s="48"/>
      <c r="D25" s="376" t="s">
        <v>45</v>
      </c>
      <c r="E25" s="99" t="e">
        <f>E24/E23</f>
        <v>#DIV/0!</v>
      </c>
      <c r="F25" s="99" t="e">
        <f t="shared" ref="F25:AJ25" si="25">F24/F23</f>
        <v>#DIV/0!</v>
      </c>
      <c r="G25" s="99" t="e">
        <f t="shared" si="25"/>
        <v>#DIV/0!</v>
      </c>
      <c r="H25" s="116" t="e">
        <f t="shared" si="25"/>
        <v>#DIV/0!</v>
      </c>
      <c r="I25" s="116" t="e">
        <f t="shared" si="25"/>
        <v>#DIV/0!</v>
      </c>
      <c r="J25" s="116" t="e">
        <f t="shared" si="25"/>
        <v>#DIV/0!</v>
      </c>
      <c r="K25" s="116" t="e">
        <f t="shared" si="25"/>
        <v>#DIV/0!</v>
      </c>
      <c r="L25" s="116" t="e">
        <f t="shared" si="25"/>
        <v>#DIV/0!</v>
      </c>
      <c r="M25" s="116" t="e">
        <f t="shared" si="25"/>
        <v>#DIV/0!</v>
      </c>
      <c r="N25" s="116" t="e">
        <f t="shared" si="25"/>
        <v>#DIV/0!</v>
      </c>
      <c r="O25" s="116" t="e">
        <f t="shared" si="25"/>
        <v>#DIV/0!</v>
      </c>
      <c r="P25" s="116" t="e">
        <f t="shared" si="25"/>
        <v>#DIV/0!</v>
      </c>
      <c r="Q25" s="116">
        <f t="shared" si="25"/>
        <v>0.59874237935649166</v>
      </c>
      <c r="R25" s="402">
        <f t="shared" si="25"/>
        <v>0.29104052523819868</v>
      </c>
      <c r="S25" s="403">
        <f t="shared" si="25"/>
        <v>0.38328777151223303</v>
      </c>
      <c r="T25" s="403">
        <f t="shared" si="25"/>
        <v>0.28671691811454131</v>
      </c>
      <c r="U25" s="403">
        <f t="shared" si="25"/>
        <v>0.5207167122284877</v>
      </c>
      <c r="V25" s="403">
        <f t="shared" si="25"/>
        <v>0.26310882271082664</v>
      </c>
      <c r="W25" s="403">
        <f t="shared" si="25"/>
        <v>0.43469245755635955</v>
      </c>
      <c r="X25" s="403">
        <f t="shared" si="25"/>
        <v>0.3775246917907063</v>
      </c>
      <c r="Y25" s="403">
        <f t="shared" si="25"/>
        <v>0.40532980795992202</v>
      </c>
      <c r="Z25" s="403">
        <f t="shared" si="25"/>
        <v>0.72861159167395484</v>
      </c>
      <c r="AA25" s="403">
        <f t="shared" si="25"/>
        <v>0.47584086870681142</v>
      </c>
      <c r="AB25" s="403">
        <f t="shared" si="25"/>
        <v>0.68450168898181485</v>
      </c>
      <c r="AC25" s="403">
        <f t="shared" si="25"/>
        <v>0.7516135491752608</v>
      </c>
      <c r="AD25" s="403">
        <f t="shared" si="25"/>
        <v>0.43124864754288844</v>
      </c>
      <c r="AE25" s="403">
        <f t="shared" si="25"/>
        <v>0.6381404927526918</v>
      </c>
      <c r="AF25" s="403">
        <f t="shared" si="25"/>
        <v>0.45682143190419483</v>
      </c>
      <c r="AG25" s="403">
        <f t="shared" si="25"/>
        <v>0.41657813681918487</v>
      </c>
      <c r="AH25" s="403">
        <f t="shared" si="25"/>
        <v>0.44721572026554468</v>
      </c>
      <c r="AI25" s="403">
        <f t="shared" si="25"/>
        <v>0.53630633522663629</v>
      </c>
      <c r="AJ25" s="403">
        <f t="shared" si="25"/>
        <v>0.46989519456312495</v>
      </c>
      <c r="AK25" s="403">
        <f>AK24/AK23</f>
        <v>0.47596328877952088</v>
      </c>
      <c r="AL25" s="403">
        <f>AL24/AL23</f>
        <v>0.50594763930725006</v>
      </c>
      <c r="AM25" s="403">
        <f>AM24/AM23</f>
        <v>0.51216754363517203</v>
      </c>
      <c r="AN25" s="403">
        <f>AN24/AN23</f>
        <v>0.53301253988587083</v>
      </c>
      <c r="AO25" s="403">
        <f>AO24/AO23</f>
        <v>0.52888056235255609</v>
      </c>
      <c r="AP25" s="38"/>
      <c r="AQ25" s="38"/>
      <c r="AR25" s="31"/>
      <c r="AS25" s="31"/>
      <c r="AT25" s="31"/>
    </row>
    <row r="26" spans="1:46" ht="16.2" thickBot="1">
      <c r="A26" s="561" t="s">
        <v>215</v>
      </c>
      <c r="B26" s="562"/>
      <c r="C26" s="563"/>
      <c r="D26" s="564"/>
      <c r="E26" s="31"/>
      <c r="F26" s="31"/>
      <c r="G26" s="217">
        <v>43678</v>
      </c>
      <c r="H26" s="217">
        <v>43698</v>
      </c>
      <c r="I26" s="31"/>
      <c r="J26" s="31"/>
      <c r="K26" s="31"/>
      <c r="L26" s="271">
        <f t="shared" ref="L26:Q26" si="26">L30/1000</f>
        <v>0</v>
      </c>
      <c r="M26" s="271">
        <f t="shared" si="26"/>
        <v>0</v>
      </c>
      <c r="N26" s="271">
        <f t="shared" si="26"/>
        <v>0</v>
      </c>
      <c r="O26" s="271">
        <f t="shared" si="26"/>
        <v>0</v>
      </c>
      <c r="P26" s="271">
        <f t="shared" si="26"/>
        <v>0</v>
      </c>
      <c r="Q26" s="271">
        <f t="shared" si="26"/>
        <v>0</v>
      </c>
      <c r="R26" s="271"/>
      <c r="S26" s="271"/>
      <c r="T26" s="271"/>
      <c r="U26" s="271"/>
      <c r="V26" s="271"/>
      <c r="W26" s="271"/>
      <c r="X26" s="271"/>
      <c r="Y26" s="271"/>
      <c r="Z26" s="271"/>
      <c r="AA26" s="271"/>
      <c r="AB26" s="271"/>
      <c r="AC26" s="271"/>
      <c r="AD26" s="271"/>
      <c r="AE26" s="271"/>
      <c r="AF26" s="271"/>
      <c r="AG26" s="271"/>
      <c r="AH26" s="271"/>
      <c r="AI26" s="271"/>
      <c r="AJ26" s="271"/>
      <c r="AK26" s="271"/>
      <c r="AL26" s="271"/>
      <c r="AM26" s="271"/>
      <c r="AN26" s="271"/>
      <c r="AO26" s="271"/>
      <c r="AP26" s="38"/>
      <c r="AQ26" s="38"/>
      <c r="AR26" s="31"/>
      <c r="AS26" s="31"/>
      <c r="AT26" s="31"/>
    </row>
    <row r="27" spans="1:46" s="75" customFormat="1" ht="15" thickBot="1">
      <c r="A27" s="657" t="s">
        <v>32</v>
      </c>
      <c r="B27" s="658"/>
      <c r="C27" s="565"/>
      <c r="D27" s="566"/>
      <c r="E27" s="77">
        <v>43587</v>
      </c>
      <c r="F27" s="78">
        <v>43618</v>
      </c>
      <c r="G27" s="78">
        <v>43648</v>
      </c>
      <c r="H27" s="78">
        <v>43679</v>
      </c>
      <c r="I27" s="229">
        <v>43710</v>
      </c>
      <c r="J27" s="229">
        <v>43740</v>
      </c>
      <c r="K27" s="78">
        <v>43771</v>
      </c>
      <c r="L27" s="257">
        <v>43801</v>
      </c>
      <c r="M27" s="229">
        <v>43832</v>
      </c>
      <c r="N27" s="229">
        <v>43863</v>
      </c>
      <c r="O27" s="78">
        <v>43892</v>
      </c>
      <c r="P27" s="78">
        <v>43923</v>
      </c>
      <c r="Q27" s="78">
        <v>43953</v>
      </c>
      <c r="R27" s="229">
        <v>43984</v>
      </c>
      <c r="S27" s="229">
        <v>44014</v>
      </c>
      <c r="T27" s="229">
        <v>44045</v>
      </c>
      <c r="U27" s="229">
        <v>44076</v>
      </c>
      <c r="V27" s="229">
        <v>44106</v>
      </c>
      <c r="W27" s="229">
        <v>44137</v>
      </c>
      <c r="X27" s="229">
        <v>44167</v>
      </c>
      <c r="Y27" s="229">
        <v>44198</v>
      </c>
      <c r="Z27" s="229">
        <f t="shared" ref="Z27:AL27" si="27">Z3</f>
        <v>44229</v>
      </c>
      <c r="AA27" s="229">
        <f t="shared" si="27"/>
        <v>44257</v>
      </c>
      <c r="AB27" s="229">
        <f t="shared" si="27"/>
        <v>44288</v>
      </c>
      <c r="AC27" s="229">
        <f t="shared" si="27"/>
        <v>44318</v>
      </c>
      <c r="AD27" s="229">
        <f t="shared" si="27"/>
        <v>44349</v>
      </c>
      <c r="AE27" s="229">
        <f t="shared" si="27"/>
        <v>44379</v>
      </c>
      <c r="AF27" s="229">
        <f t="shared" si="27"/>
        <v>44410</v>
      </c>
      <c r="AG27" s="229">
        <f t="shared" si="27"/>
        <v>44441</v>
      </c>
      <c r="AH27" s="229">
        <f t="shared" si="27"/>
        <v>44471</v>
      </c>
      <c r="AI27" s="229">
        <f t="shared" si="27"/>
        <v>44502</v>
      </c>
      <c r="AJ27" s="229">
        <f t="shared" si="27"/>
        <v>44532</v>
      </c>
      <c r="AK27" s="229">
        <f t="shared" si="27"/>
        <v>44563</v>
      </c>
      <c r="AL27" s="229">
        <f t="shared" si="27"/>
        <v>44594</v>
      </c>
      <c r="AM27" s="229">
        <f t="shared" ref="AM27:AN27" si="28">AM3</f>
        <v>44622</v>
      </c>
      <c r="AN27" s="229">
        <f t="shared" si="28"/>
        <v>44653</v>
      </c>
      <c r="AO27" s="229">
        <f t="shared" ref="AO27" si="29">AO3</f>
        <v>44683</v>
      </c>
      <c r="AP27" s="31"/>
      <c r="AQ27" s="73"/>
      <c r="AR27" s="74"/>
      <c r="AS27" s="74"/>
      <c r="AT27" s="74"/>
    </row>
    <row r="28" spans="1:46">
      <c r="A28" s="567" t="s">
        <v>3</v>
      </c>
      <c r="B28" s="568"/>
      <c r="C28" s="569"/>
      <c r="D28" s="570"/>
      <c r="E28" s="92"/>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38"/>
      <c r="AQ28" s="38"/>
      <c r="AR28" s="31"/>
      <c r="AS28" s="31"/>
      <c r="AT28" s="31"/>
    </row>
    <row r="29" spans="1:46">
      <c r="A29" s="571" t="s">
        <v>188</v>
      </c>
      <c r="B29" s="572"/>
      <c r="C29" s="573"/>
      <c r="D29" s="574" t="s">
        <v>44</v>
      </c>
      <c r="E29" s="82"/>
      <c r="F29" s="82"/>
      <c r="G29" s="82"/>
      <c r="H29" s="83"/>
      <c r="I29" s="82"/>
      <c r="J29" s="83"/>
      <c r="K29" s="82"/>
      <c r="L29" s="82"/>
      <c r="M29" s="82"/>
      <c r="N29" s="82"/>
      <c r="O29" s="82"/>
      <c r="P29" s="82"/>
      <c r="Q29" s="82"/>
      <c r="R29" s="82"/>
      <c r="S29" s="82"/>
      <c r="T29" s="82"/>
      <c r="U29" s="82"/>
      <c r="V29" s="82"/>
      <c r="W29" s="82"/>
      <c r="X29" s="82"/>
      <c r="Y29" s="359">
        <v>11502</v>
      </c>
      <c r="Z29" s="359">
        <v>11502.000000000002</v>
      </c>
      <c r="AA29" s="359">
        <v>11502.000000000002</v>
      </c>
      <c r="AB29" s="359">
        <v>11502.000000000002</v>
      </c>
      <c r="AC29" s="359">
        <v>11502.000000000002</v>
      </c>
      <c r="AD29" s="359">
        <v>11502.000000000002</v>
      </c>
      <c r="AE29" s="359">
        <v>11502.000000000002</v>
      </c>
      <c r="AF29" s="359">
        <v>11502.000000000002</v>
      </c>
      <c r="AG29" s="359">
        <v>11502.000000000002</v>
      </c>
      <c r="AH29" s="359">
        <v>11502.000000000002</v>
      </c>
      <c r="AI29" s="359">
        <v>11502.000000000002</v>
      </c>
      <c r="AJ29" s="359">
        <v>11502.000000000002</v>
      </c>
      <c r="AK29" s="359">
        <v>11502.000000000002</v>
      </c>
      <c r="AL29" s="359">
        <v>11502.000000000002</v>
      </c>
      <c r="AM29" s="359">
        <v>11502.000000000002</v>
      </c>
      <c r="AN29" s="359">
        <v>11502.000000000002</v>
      </c>
      <c r="AO29" s="359">
        <v>11502.000000000002</v>
      </c>
      <c r="AP29" s="38"/>
      <c r="AQ29" s="38"/>
      <c r="AR29" s="31"/>
      <c r="AS29" s="31"/>
      <c r="AT29" s="31"/>
    </row>
    <row r="30" spans="1:46">
      <c r="A30" s="571" t="s">
        <v>189</v>
      </c>
      <c r="B30" s="572"/>
      <c r="C30" s="573"/>
      <c r="D30" s="574" t="s">
        <v>44</v>
      </c>
      <c r="E30" s="90"/>
      <c r="F30" s="90"/>
      <c r="G30" s="90"/>
      <c r="H30" s="90"/>
      <c r="I30" s="90"/>
      <c r="J30" s="90"/>
      <c r="K30" s="90"/>
      <c r="L30" s="90"/>
      <c r="M30" s="90"/>
      <c r="N30" s="90"/>
      <c r="O30" s="90"/>
      <c r="P30" s="90"/>
      <c r="Q30" s="90"/>
      <c r="R30" s="90"/>
      <c r="S30" s="90"/>
      <c r="T30" s="90"/>
      <c r="U30" s="90"/>
      <c r="V30" s="90"/>
      <c r="W30" s="90"/>
      <c r="X30" s="90"/>
      <c r="Y30" s="90">
        <v>3245.94</v>
      </c>
      <c r="Z30" s="90">
        <f>Y30-Z31+(Z57-Z98-Z101)*1000</f>
        <v>3358.3049839286928</v>
      </c>
      <c r="AA30" s="90">
        <v>4658.3424000000005</v>
      </c>
      <c r="AB30" s="90">
        <v>9310.68</v>
      </c>
      <c r="AC30" s="90">
        <f t="shared" ref="AC30:AO30" si="30">AB30-AC31+(AC57-AC98-AC101)*1000</f>
        <v>6676.0551615507484</v>
      </c>
      <c r="AD30" s="90">
        <f t="shared" si="30"/>
        <v>674.05516155075293</v>
      </c>
      <c r="AE30" s="90">
        <f t="shared" si="30"/>
        <v>-36521.94483844925</v>
      </c>
      <c r="AF30" s="90">
        <f t="shared" si="30"/>
        <v>-36234.94483844925</v>
      </c>
      <c r="AG30" s="90">
        <f t="shared" si="30"/>
        <v>-67441.944838449243</v>
      </c>
      <c r="AH30" s="90">
        <f t="shared" si="30"/>
        <v>-117217.94483844924</v>
      </c>
      <c r="AI30" s="90">
        <f t="shared" si="30"/>
        <v>-134554.92044820535</v>
      </c>
      <c r="AJ30" s="90">
        <f t="shared" si="30"/>
        <v>-138732.94483844924</v>
      </c>
      <c r="AK30" s="90">
        <f t="shared" si="30"/>
        <v>-149171.96922869314</v>
      </c>
      <c r="AL30" s="90">
        <f t="shared" si="30"/>
        <v>-160342.70093601022</v>
      </c>
      <c r="AM30" s="90">
        <f t="shared" si="30"/>
        <v>-170781.72532625412</v>
      </c>
      <c r="AN30" s="90">
        <f t="shared" si="30"/>
        <v>-181464.6521555224</v>
      </c>
      <c r="AO30" s="90">
        <f t="shared" si="30"/>
        <v>-191903.6765457663</v>
      </c>
      <c r="AP30" s="38"/>
      <c r="AQ30" s="38"/>
      <c r="AR30" s="31"/>
      <c r="AS30" s="31"/>
      <c r="AT30" s="31"/>
    </row>
    <row r="31" spans="1:46">
      <c r="A31" s="571" t="s">
        <v>200</v>
      </c>
      <c r="B31" s="572"/>
      <c r="C31" s="573"/>
      <c r="D31" s="574"/>
      <c r="E31" s="90"/>
      <c r="F31" s="90"/>
      <c r="G31" s="90"/>
      <c r="H31" s="90"/>
      <c r="I31" s="90"/>
      <c r="J31" s="90"/>
      <c r="K31" s="90"/>
      <c r="L31" s="90"/>
      <c r="M31" s="90"/>
      <c r="N31" s="90"/>
      <c r="O31" s="90"/>
      <c r="P31" s="90"/>
      <c r="Q31" s="90"/>
      <c r="R31" s="90"/>
      <c r="S31" s="90"/>
      <c r="T31" s="90"/>
      <c r="U31" s="90"/>
      <c r="V31" s="90"/>
      <c r="W31" s="90"/>
      <c r="X31" s="90"/>
      <c r="Y31" s="90"/>
      <c r="Z31" s="90">
        <v>1000</v>
      </c>
      <c r="AA31" s="90">
        <v>6000</v>
      </c>
      <c r="AB31" s="90">
        <v>5000</v>
      </c>
      <c r="AC31" s="90">
        <v>1000</v>
      </c>
      <c r="AD31" s="90">
        <v>1000</v>
      </c>
      <c r="AE31" s="90">
        <v>1000</v>
      </c>
      <c r="AF31" s="90">
        <v>1000</v>
      </c>
      <c r="AG31" s="90">
        <v>15000</v>
      </c>
      <c r="AH31" s="90">
        <v>15000</v>
      </c>
      <c r="AI31" s="90">
        <v>15000</v>
      </c>
      <c r="AJ31" s="90">
        <v>15000</v>
      </c>
      <c r="AK31" s="90">
        <v>15000</v>
      </c>
      <c r="AL31" s="90">
        <v>15000</v>
      </c>
      <c r="AM31" s="90">
        <v>15000</v>
      </c>
      <c r="AN31" s="90">
        <v>15000</v>
      </c>
      <c r="AO31" s="90">
        <v>15000</v>
      </c>
      <c r="AP31" s="38"/>
      <c r="AQ31" s="38"/>
      <c r="AR31" s="31"/>
      <c r="AS31" s="31"/>
      <c r="AT31" s="31"/>
    </row>
    <row r="32" spans="1:46" ht="15" thickBot="1">
      <c r="A32" s="575" t="s">
        <v>190</v>
      </c>
      <c r="B32" s="576"/>
      <c r="C32" s="577"/>
      <c r="D32" s="578" t="s">
        <v>45</v>
      </c>
      <c r="E32" s="99"/>
      <c r="F32" s="99"/>
      <c r="G32" s="99"/>
      <c r="H32" s="116"/>
      <c r="I32" s="116"/>
      <c r="J32" s="116"/>
      <c r="K32" s="116"/>
      <c r="L32" s="116"/>
      <c r="M32" s="116"/>
      <c r="N32" s="116"/>
      <c r="O32" s="116"/>
      <c r="P32" s="116"/>
      <c r="Q32" s="116"/>
      <c r="R32" s="116"/>
      <c r="S32" s="116"/>
      <c r="T32" s="116"/>
      <c r="U32" s="116"/>
      <c r="V32" s="116"/>
      <c r="W32" s="116"/>
      <c r="X32" s="116"/>
      <c r="Y32" s="116"/>
      <c r="Z32" s="557">
        <f t="shared" ref="Z32:AJ32" si="31">Z30/Z29</f>
        <v>0.29197574195172077</v>
      </c>
      <c r="AA32" s="557">
        <f t="shared" si="31"/>
        <v>0.40500281690140844</v>
      </c>
      <c r="AB32" s="557">
        <f t="shared" si="31"/>
        <v>0.80948356807511723</v>
      </c>
      <c r="AC32" s="557">
        <f t="shared" si="31"/>
        <v>0.58042559220576828</v>
      </c>
      <c r="AD32" s="557">
        <f t="shared" si="31"/>
        <v>5.8603300430425387E-2</v>
      </c>
      <c r="AE32" s="557">
        <f t="shared" si="31"/>
        <v>-3.1752690695921792</v>
      </c>
      <c r="AF32" s="557">
        <f t="shared" si="31"/>
        <v>-3.1503168873630014</v>
      </c>
      <c r="AG32" s="557">
        <f t="shared" si="31"/>
        <v>-5.8634972038297022</v>
      </c>
      <c r="AH32" s="557">
        <f t="shared" si="31"/>
        <v>-10.191092404664339</v>
      </c>
      <c r="AI32" s="557">
        <f t="shared" si="31"/>
        <v>-11.698393361867964</v>
      </c>
      <c r="AJ32" s="557">
        <f t="shared" si="31"/>
        <v>-12.061636657837699</v>
      </c>
      <c r="AK32" s="557">
        <f>AK30/AK29</f>
        <v>-12.969220068570085</v>
      </c>
      <c r="AL32" s="557">
        <f>AL30/AL29</f>
        <v>-13.940419138933246</v>
      </c>
      <c r="AM32" s="557">
        <f>AM30/AM29</f>
        <v>-14.848002549665631</v>
      </c>
      <c r="AN32" s="557">
        <f>AN30/AN29</f>
        <v>-15.776791180274941</v>
      </c>
      <c r="AO32" s="557">
        <f>AO30/AO29</f>
        <v>-16.684374591007327</v>
      </c>
      <c r="AP32" s="38"/>
      <c r="AQ32" s="38"/>
      <c r="AR32" s="31"/>
      <c r="AS32" s="31"/>
      <c r="AT32" s="31"/>
    </row>
    <row r="33" spans="1:46" ht="16.2" thickBot="1">
      <c r="A33" s="561" t="s">
        <v>191</v>
      </c>
      <c r="B33" s="562"/>
      <c r="C33" s="563"/>
      <c r="D33" s="564"/>
      <c r="E33" s="31"/>
      <c r="F33" s="31"/>
      <c r="G33" s="217">
        <v>43678</v>
      </c>
      <c r="H33" s="217">
        <v>43698</v>
      </c>
      <c r="I33" s="31"/>
      <c r="J33" s="31"/>
      <c r="K33" s="31"/>
      <c r="L33" s="271">
        <f t="shared" ref="L33:Q33" si="32">L37/1000</f>
        <v>0</v>
      </c>
      <c r="M33" s="271">
        <f t="shared" si="32"/>
        <v>0</v>
      </c>
      <c r="N33" s="271">
        <f t="shared" si="32"/>
        <v>0</v>
      </c>
      <c r="O33" s="271">
        <f t="shared" si="32"/>
        <v>0</v>
      </c>
      <c r="P33" s="271">
        <f t="shared" si="32"/>
        <v>0</v>
      </c>
      <c r="Q33" s="271">
        <f t="shared" si="32"/>
        <v>0</v>
      </c>
      <c r="R33" s="271"/>
      <c r="S33" s="271"/>
      <c r="T33" s="271"/>
      <c r="U33" s="271"/>
      <c r="V33" s="271"/>
      <c r="W33" s="271"/>
      <c r="X33" s="271"/>
      <c r="Y33" s="271"/>
      <c r="Z33" s="271"/>
      <c r="AA33" s="271"/>
      <c r="AB33" s="271"/>
      <c r="AC33" s="271"/>
      <c r="AD33" s="271"/>
      <c r="AE33" s="271"/>
      <c r="AF33" s="271"/>
      <c r="AG33" s="271"/>
      <c r="AH33" s="271"/>
      <c r="AI33" s="271"/>
      <c r="AJ33" s="271"/>
      <c r="AK33" s="271"/>
      <c r="AL33" s="271"/>
      <c r="AM33" s="271"/>
      <c r="AN33" s="271"/>
      <c r="AO33" s="271"/>
      <c r="AP33" s="38"/>
      <c r="AQ33" s="38"/>
      <c r="AR33" s="31"/>
      <c r="AS33" s="31"/>
      <c r="AT33" s="31"/>
    </row>
    <row r="34" spans="1:46" s="75" customFormat="1" ht="15" thickBot="1">
      <c r="A34" s="657" t="s">
        <v>32</v>
      </c>
      <c r="B34" s="658"/>
      <c r="C34" s="565"/>
      <c r="D34" s="566"/>
      <c r="E34" s="77">
        <v>43587</v>
      </c>
      <c r="F34" s="78">
        <v>43618</v>
      </c>
      <c r="G34" s="78">
        <v>43648</v>
      </c>
      <c r="H34" s="78">
        <v>43679</v>
      </c>
      <c r="I34" s="229">
        <v>43710</v>
      </c>
      <c r="J34" s="229">
        <v>43740</v>
      </c>
      <c r="K34" s="78">
        <v>43771</v>
      </c>
      <c r="L34" s="257">
        <v>43801</v>
      </c>
      <c r="M34" s="229">
        <v>43832</v>
      </c>
      <c r="N34" s="229">
        <v>43863</v>
      </c>
      <c r="O34" s="78">
        <v>43892</v>
      </c>
      <c r="P34" s="78">
        <v>43923</v>
      </c>
      <c r="Q34" s="78">
        <v>43953</v>
      </c>
      <c r="R34" s="229">
        <v>43984</v>
      </c>
      <c r="S34" s="229">
        <v>44014</v>
      </c>
      <c r="T34" s="229">
        <v>44045</v>
      </c>
      <c r="U34" s="229">
        <v>44076</v>
      </c>
      <c r="V34" s="229">
        <v>44106</v>
      </c>
      <c r="W34" s="229">
        <v>44137</v>
      </c>
      <c r="X34" s="229">
        <v>44167</v>
      </c>
      <c r="Y34" s="229">
        <v>44198</v>
      </c>
      <c r="Z34" s="229">
        <f t="shared" ref="Z34:AL34" si="33">Z3</f>
        <v>44229</v>
      </c>
      <c r="AA34" s="229">
        <f t="shared" si="33"/>
        <v>44257</v>
      </c>
      <c r="AB34" s="229">
        <f t="shared" si="33"/>
        <v>44288</v>
      </c>
      <c r="AC34" s="229">
        <f t="shared" si="33"/>
        <v>44318</v>
      </c>
      <c r="AD34" s="229">
        <f t="shared" si="33"/>
        <v>44349</v>
      </c>
      <c r="AE34" s="229">
        <f t="shared" si="33"/>
        <v>44379</v>
      </c>
      <c r="AF34" s="229">
        <f t="shared" si="33"/>
        <v>44410</v>
      </c>
      <c r="AG34" s="229">
        <f t="shared" si="33"/>
        <v>44441</v>
      </c>
      <c r="AH34" s="229">
        <f t="shared" si="33"/>
        <v>44471</v>
      </c>
      <c r="AI34" s="229">
        <f t="shared" si="33"/>
        <v>44502</v>
      </c>
      <c r="AJ34" s="229">
        <f t="shared" si="33"/>
        <v>44532</v>
      </c>
      <c r="AK34" s="229">
        <f t="shared" si="33"/>
        <v>44563</v>
      </c>
      <c r="AL34" s="229">
        <f t="shared" si="33"/>
        <v>44594</v>
      </c>
      <c r="AM34" s="229">
        <f t="shared" ref="AM34:AN34" si="34">AM3</f>
        <v>44622</v>
      </c>
      <c r="AN34" s="229">
        <f t="shared" si="34"/>
        <v>44653</v>
      </c>
      <c r="AO34" s="229">
        <f t="shared" ref="AO34" si="35">AO3</f>
        <v>44683</v>
      </c>
      <c r="AP34" s="31"/>
      <c r="AQ34" s="73"/>
      <c r="AR34" s="74"/>
      <c r="AS34" s="74"/>
      <c r="AT34" s="74"/>
    </row>
    <row r="35" spans="1:46">
      <c r="A35" s="567" t="s">
        <v>3</v>
      </c>
      <c r="B35" s="568"/>
      <c r="C35" s="569"/>
      <c r="D35" s="570"/>
      <c r="E35" s="92"/>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38"/>
      <c r="AQ35" s="38"/>
      <c r="AR35" s="31"/>
      <c r="AS35" s="31"/>
      <c r="AT35" s="31"/>
    </row>
    <row r="36" spans="1:46">
      <c r="A36" s="571" t="s">
        <v>196</v>
      </c>
      <c r="B36" s="572"/>
      <c r="C36" s="573"/>
      <c r="D36" s="574" t="s">
        <v>44</v>
      </c>
      <c r="E36" s="82"/>
      <c r="F36" s="82"/>
      <c r="G36" s="82"/>
      <c r="H36" s="83"/>
      <c r="I36" s="82"/>
      <c r="J36" s="83"/>
      <c r="K36" s="82"/>
      <c r="L36" s="82"/>
      <c r="M36" s="82"/>
      <c r="N36" s="82"/>
      <c r="O36" s="82"/>
      <c r="P36" s="82"/>
      <c r="Q36" s="82"/>
      <c r="R36" s="82"/>
      <c r="S36" s="82"/>
      <c r="T36" s="82"/>
      <c r="U36" s="82"/>
      <c r="V36" s="82"/>
      <c r="W36" s="82"/>
      <c r="X36" s="82"/>
      <c r="Y36" s="82">
        <v>27302.400000000005</v>
      </c>
      <c r="Z36" s="267">
        <v>23468.400000000001</v>
      </c>
      <c r="AA36" s="267">
        <v>21319.200000000004</v>
      </c>
      <c r="AB36" s="359">
        <v>25153.22</v>
      </c>
      <c r="AC36" s="267">
        <v>25153.22</v>
      </c>
      <c r="AD36" s="267">
        <v>21319.200000000004</v>
      </c>
      <c r="AE36" s="267">
        <v>21319.200000000004</v>
      </c>
      <c r="AF36" s="359">
        <v>25153.200000000004</v>
      </c>
      <c r="AG36" s="359">
        <v>25153.200000000004</v>
      </c>
      <c r="AH36" s="267">
        <v>21319.200000000004</v>
      </c>
      <c r="AI36" s="267">
        <v>21319.200000000004</v>
      </c>
      <c r="AJ36" s="359">
        <v>25153.200000000004</v>
      </c>
      <c r="AK36" s="359">
        <v>25153.200000000004</v>
      </c>
      <c r="AL36" s="359">
        <v>25153.200000000004</v>
      </c>
      <c r="AM36" s="359">
        <v>25153.200000000004</v>
      </c>
      <c r="AN36" s="359">
        <v>25153.200000000004</v>
      </c>
      <c r="AO36" s="359">
        <v>25153.200000000004</v>
      </c>
      <c r="AP36" s="38"/>
      <c r="AQ36" s="38"/>
      <c r="AR36" s="31"/>
      <c r="AS36" s="31"/>
      <c r="AT36" s="31"/>
    </row>
    <row r="37" spans="1:46">
      <c r="A37" s="571" t="s">
        <v>192</v>
      </c>
      <c r="B37" s="572"/>
      <c r="C37" s="573"/>
      <c r="D37" s="574" t="s">
        <v>44</v>
      </c>
      <c r="E37" s="90"/>
      <c r="F37" s="90"/>
      <c r="G37" s="90"/>
      <c r="H37" s="90"/>
      <c r="I37" s="90"/>
      <c r="J37" s="90"/>
      <c r="K37" s="90"/>
      <c r="L37" s="90"/>
      <c r="M37" s="90"/>
      <c r="N37" s="90"/>
      <c r="O37" s="90"/>
      <c r="P37" s="90"/>
      <c r="Q37" s="90"/>
      <c r="R37" s="90"/>
      <c r="S37" s="90"/>
      <c r="T37" s="90"/>
      <c r="U37" s="90"/>
      <c r="V37" s="90"/>
      <c r="W37" s="90"/>
      <c r="X37" s="90"/>
      <c r="Y37" s="90">
        <v>12482.64</v>
      </c>
      <c r="Z37" s="90">
        <f>Y37+Z17+Z31+((Z58+Z61+Z8-Z9+Z10-Z106-Z107-Z108-Z109-Z110-Z111-Z112-Z113-Z114-Z115-Z116-Z117-Z118-Z119-Z120-Z121-Z122-Z123-Z124-Z125-Z126-Z127-Z128-Z129-Z130-Z131-Z135-Z136-Z137-Z138-Z139-Z140-Z141-Z142-Z143-Z144-Z145-Z146-Z147-Z148-Z149-Z150-Z151)*1000)</f>
        <v>22121.533821546196</v>
      </c>
      <c r="AA37" s="90">
        <v>10959.325920000001</v>
      </c>
      <c r="AB37" s="90">
        <v>15779.880000000001</v>
      </c>
      <c r="AC37" s="90">
        <f t="shared" ref="AC37:AO37" si="36">AB37+AC17+AC31+((AC58+AC61+AC8-AC9+AC10-AC106-AC107-AC108-AC109-AC110-AC111-AC112-AC113-AC114-AC115-AC116-AC117-AC118-AC119-AC120-AC121-AC122-AC123-AC124-AC125-AC126-AC127-AC128-AC129-AC130-AC131-AC135-AC136-AC137-AC138-AC139-AC140-AC141-AC142-AC143-AC144-AC145-AC146-AC147-AC148-AC149-AC150-AC151)*1000)</f>
        <v>14727.790910682619</v>
      </c>
      <c r="AD37" s="90">
        <f t="shared" si="36"/>
        <v>7333.3290214172157</v>
      </c>
      <c r="AE37" s="90">
        <f t="shared" si="36"/>
        <v>51319.76765141722</v>
      </c>
      <c r="AF37" s="90">
        <f t="shared" si="36"/>
        <v>46833.111861417237</v>
      </c>
      <c r="AG37" s="90">
        <f t="shared" si="36"/>
        <v>76564.985831417231</v>
      </c>
      <c r="AH37" s="90">
        <f t="shared" si="36"/>
        <v>125749.38750866214</v>
      </c>
      <c r="AI37" s="90">
        <f t="shared" si="36"/>
        <v>146010.42401017921</v>
      </c>
      <c r="AJ37" s="90">
        <f t="shared" si="36"/>
        <v>149810.33324643286</v>
      </c>
      <c r="AK37" s="90">
        <f t="shared" si="36"/>
        <v>160471.78484379762</v>
      </c>
      <c r="AL37" s="90">
        <f t="shared" si="36"/>
        <v>172741.59891657875</v>
      </c>
      <c r="AM37" s="90">
        <f t="shared" si="36"/>
        <v>183408.61514394352</v>
      </c>
      <c r="AN37" s="90">
        <f t="shared" si="36"/>
        <v>194855.61947978041</v>
      </c>
      <c r="AO37" s="90">
        <f t="shared" si="36"/>
        <v>205143.18540714518</v>
      </c>
      <c r="AP37" s="38"/>
      <c r="AQ37" s="38"/>
      <c r="AR37" s="31"/>
      <c r="AS37" s="31"/>
      <c r="AT37" s="31"/>
    </row>
    <row r="38" spans="1:46" ht="15" thickBot="1">
      <c r="A38" s="575" t="s">
        <v>193</v>
      </c>
      <c r="B38" s="576"/>
      <c r="C38" s="577"/>
      <c r="D38" s="578" t="s">
        <v>45</v>
      </c>
      <c r="E38" s="99"/>
      <c r="F38" s="99"/>
      <c r="G38" s="99"/>
      <c r="H38" s="116"/>
      <c r="I38" s="116"/>
      <c r="J38" s="116"/>
      <c r="K38" s="116"/>
      <c r="L38" s="116"/>
      <c r="M38" s="116"/>
      <c r="N38" s="116"/>
      <c r="O38" s="116"/>
      <c r="P38" s="116"/>
      <c r="Q38" s="116"/>
      <c r="R38" s="116"/>
      <c r="S38" s="116"/>
      <c r="T38" s="116"/>
      <c r="U38" s="116"/>
      <c r="V38" s="116"/>
      <c r="W38" s="116"/>
      <c r="X38" s="116"/>
      <c r="Y38" s="116"/>
      <c r="Z38" s="403">
        <f t="shared" ref="Z38:AJ38" si="37">Z37/Z36</f>
        <v>0.94260937352125385</v>
      </c>
      <c r="AA38" s="403">
        <f t="shared" si="37"/>
        <v>0.51405896656534944</v>
      </c>
      <c r="AB38" s="403">
        <f t="shared" si="37"/>
        <v>0.6273502955088851</v>
      </c>
      <c r="AC38" s="403">
        <f t="shared" si="37"/>
        <v>0.58552308255891761</v>
      </c>
      <c r="AD38" s="403">
        <f t="shared" si="37"/>
        <v>0.34397768309398169</v>
      </c>
      <c r="AE38" s="403">
        <f t="shared" si="37"/>
        <v>2.4072088845461934</v>
      </c>
      <c r="AF38" s="403">
        <f t="shared" si="37"/>
        <v>1.8619146614115591</v>
      </c>
      <c r="AG38" s="403">
        <f t="shared" si="37"/>
        <v>3.043946131363692</v>
      </c>
      <c r="AH38" s="403">
        <f t="shared" si="37"/>
        <v>5.8984102362500526</v>
      </c>
      <c r="AI38" s="403">
        <f t="shared" si="37"/>
        <v>6.8487759395370924</v>
      </c>
      <c r="AJ38" s="403">
        <f t="shared" si="37"/>
        <v>5.9559154797971168</v>
      </c>
      <c r="AK38" s="403">
        <f>AK37/AK36</f>
        <v>6.3797761256538967</v>
      </c>
      <c r="AL38" s="403">
        <f>AL37/AL36</f>
        <v>6.8675794299166197</v>
      </c>
      <c r="AM38" s="403">
        <f>AM37/AM36</f>
        <v>7.29166130527899</v>
      </c>
      <c r="AN38" s="403">
        <f>AN37/AN36</f>
        <v>7.7467526787756773</v>
      </c>
      <c r="AO38" s="403">
        <f>AO37/AO36</f>
        <v>8.1557489864965547</v>
      </c>
      <c r="AP38" s="38"/>
      <c r="AQ38" s="38"/>
      <c r="AR38" s="31"/>
      <c r="AS38" s="31"/>
      <c r="AT38" s="31"/>
    </row>
    <row r="39" spans="1:46" s="31" customFormat="1" ht="23.4">
      <c r="A39" s="39" t="s">
        <v>4</v>
      </c>
      <c r="B39" s="30"/>
    </row>
    <row r="40" spans="1:46" s="31" customFormat="1" ht="15" thickBot="1">
      <c r="A40" s="40" t="s">
        <v>34</v>
      </c>
      <c r="B40" s="30"/>
    </row>
    <row r="41" spans="1:46" s="75" customFormat="1" ht="15" thickBot="1">
      <c r="A41" s="652" t="s">
        <v>32</v>
      </c>
      <c r="B41" s="653"/>
      <c r="C41" s="653" t="s">
        <v>33</v>
      </c>
      <c r="D41" s="656"/>
      <c r="E41" s="78">
        <f t="shared" ref="E41:AL41" si="38">E3</f>
        <v>43587</v>
      </c>
      <c r="F41" s="78">
        <f t="shared" si="38"/>
        <v>43618</v>
      </c>
      <c r="G41" s="78">
        <f t="shared" si="38"/>
        <v>43648</v>
      </c>
      <c r="H41" s="78">
        <f t="shared" si="38"/>
        <v>43679</v>
      </c>
      <c r="I41" s="78">
        <f t="shared" si="38"/>
        <v>43710</v>
      </c>
      <c r="J41" s="78">
        <f t="shared" si="38"/>
        <v>43740</v>
      </c>
      <c r="K41" s="78">
        <f t="shared" si="38"/>
        <v>43771</v>
      </c>
      <c r="L41" s="78">
        <f t="shared" si="38"/>
        <v>43801</v>
      </c>
      <c r="M41" s="78">
        <f t="shared" si="38"/>
        <v>43832</v>
      </c>
      <c r="N41" s="78">
        <f t="shared" si="38"/>
        <v>43863</v>
      </c>
      <c r="O41" s="78">
        <f t="shared" si="38"/>
        <v>43892</v>
      </c>
      <c r="P41" s="78">
        <f t="shared" si="38"/>
        <v>43923</v>
      </c>
      <c r="Q41" s="78">
        <f t="shared" si="38"/>
        <v>43953</v>
      </c>
      <c r="R41" s="78">
        <f t="shared" si="38"/>
        <v>43984</v>
      </c>
      <c r="S41" s="78">
        <f t="shared" si="38"/>
        <v>44014</v>
      </c>
      <c r="T41" s="78">
        <f t="shared" si="38"/>
        <v>44045</v>
      </c>
      <c r="U41" s="78">
        <f t="shared" si="38"/>
        <v>44076</v>
      </c>
      <c r="V41" s="78">
        <f t="shared" si="38"/>
        <v>44106</v>
      </c>
      <c r="W41" s="78">
        <f t="shared" si="38"/>
        <v>44137</v>
      </c>
      <c r="X41" s="78">
        <f t="shared" si="38"/>
        <v>44167</v>
      </c>
      <c r="Y41" s="78">
        <f t="shared" si="38"/>
        <v>44198</v>
      </c>
      <c r="Z41" s="78">
        <f t="shared" si="38"/>
        <v>44229</v>
      </c>
      <c r="AA41" s="78">
        <f t="shared" si="38"/>
        <v>44257</v>
      </c>
      <c r="AB41" s="78">
        <f t="shared" si="38"/>
        <v>44288</v>
      </c>
      <c r="AC41" s="78">
        <f t="shared" si="38"/>
        <v>44318</v>
      </c>
      <c r="AD41" s="78">
        <f t="shared" si="38"/>
        <v>44349</v>
      </c>
      <c r="AE41" s="78">
        <f t="shared" si="38"/>
        <v>44379</v>
      </c>
      <c r="AF41" s="78">
        <f t="shared" si="38"/>
        <v>44410</v>
      </c>
      <c r="AG41" s="78">
        <f t="shared" si="38"/>
        <v>44441</v>
      </c>
      <c r="AH41" s="78">
        <f t="shared" si="38"/>
        <v>44471</v>
      </c>
      <c r="AI41" s="78">
        <f t="shared" si="38"/>
        <v>44502</v>
      </c>
      <c r="AJ41" s="78">
        <f t="shared" si="38"/>
        <v>44532</v>
      </c>
      <c r="AK41" s="78">
        <f t="shared" si="38"/>
        <v>44563</v>
      </c>
      <c r="AL41" s="78">
        <f t="shared" si="38"/>
        <v>44594</v>
      </c>
      <c r="AM41" s="78">
        <f t="shared" ref="AM41:AN41" si="39">AM3</f>
        <v>44622</v>
      </c>
      <c r="AN41" s="601">
        <f t="shared" si="39"/>
        <v>44653</v>
      </c>
      <c r="AO41" s="601">
        <f t="shared" ref="AO41" si="40">AO3</f>
        <v>44683</v>
      </c>
      <c r="AP41" s="73"/>
      <c r="AQ41" s="74"/>
      <c r="AR41" s="74"/>
      <c r="AS41" s="74"/>
      <c r="AT41" s="74"/>
    </row>
    <row r="42" spans="1:46" s="75" customFormat="1">
      <c r="A42" s="41" t="s">
        <v>133</v>
      </c>
      <c r="B42" s="42"/>
      <c r="C42" s="654" t="s">
        <v>213</v>
      </c>
      <c r="D42" s="655"/>
      <c r="E42" s="360"/>
      <c r="F42" s="360"/>
      <c r="G42" s="360"/>
      <c r="H42" s="360"/>
      <c r="I42" s="360"/>
      <c r="J42" s="360"/>
      <c r="K42" s="360"/>
      <c r="L42" s="360"/>
      <c r="M42" s="360"/>
      <c r="N42" s="360"/>
      <c r="O42" s="360"/>
      <c r="P42" s="360"/>
      <c r="Q42" s="113"/>
      <c r="R42" s="373">
        <v>70.534090909090878</v>
      </c>
      <c r="S42" s="373">
        <v>73.725999999999999</v>
      </c>
      <c r="T42" s="373">
        <v>79.739999999999995</v>
      </c>
      <c r="U42" s="373">
        <v>75.221000000000004</v>
      </c>
      <c r="V42" s="373">
        <v>84.823999999999998</v>
      </c>
      <c r="W42" s="373">
        <v>81.861999999999995</v>
      </c>
      <c r="X42" s="373">
        <v>79.42</v>
      </c>
      <c r="Y42" s="373">
        <v>93.733999999999995</v>
      </c>
      <c r="Z42" s="373">
        <v>82.968179950302002</v>
      </c>
      <c r="AA42" s="373">
        <v>96.633323189846323</v>
      </c>
      <c r="AB42" s="614">
        <v>92.405205902591902</v>
      </c>
      <c r="AC42" s="373">
        <v>95</v>
      </c>
      <c r="AD42" s="373">
        <v>94.14</v>
      </c>
      <c r="AE42" s="373">
        <v>52.351963636363635</v>
      </c>
      <c r="AF42" s="373">
        <v>97.277999999999992</v>
      </c>
      <c r="AG42" s="373">
        <v>90.43</v>
      </c>
      <c r="AH42" s="373">
        <v>82.229233194009041</v>
      </c>
      <c r="AI42" s="373">
        <v>91.593115426765593</v>
      </c>
      <c r="AJ42" s="373">
        <v>93.892536959162683</v>
      </c>
      <c r="AK42" s="373">
        <v>93.892536959162683</v>
      </c>
      <c r="AL42" s="373">
        <v>84.806162414727595</v>
      </c>
      <c r="AM42" s="373">
        <v>93.892536959162683</v>
      </c>
      <c r="AN42" s="373">
        <v>90.863745444350997</v>
      </c>
      <c r="AO42" s="373">
        <v>90.863745444350997</v>
      </c>
      <c r="AP42" s="73"/>
      <c r="AQ42" s="74"/>
      <c r="AR42" s="74"/>
      <c r="AS42" s="74"/>
      <c r="AT42" s="74"/>
    </row>
    <row r="43" spans="1:46" s="75" customFormat="1">
      <c r="A43" s="43" t="s">
        <v>134</v>
      </c>
      <c r="B43" s="44"/>
      <c r="C43" s="640" t="s">
        <v>213</v>
      </c>
      <c r="D43" s="641"/>
      <c r="E43" s="360"/>
      <c r="F43" s="360"/>
      <c r="G43" s="360"/>
      <c r="H43" s="360"/>
      <c r="I43" s="360"/>
      <c r="J43" s="360"/>
      <c r="K43" s="360"/>
      <c r="L43" s="360"/>
      <c r="M43" s="360"/>
      <c r="N43" s="360"/>
      <c r="O43" s="360"/>
      <c r="P43" s="360"/>
      <c r="Q43" s="113"/>
      <c r="R43" s="373">
        <v>169.55890909090911</v>
      </c>
      <c r="S43" s="373">
        <f>S46-S42</f>
        <v>177.61747858181801</v>
      </c>
      <c r="T43" s="373">
        <v>191.2</v>
      </c>
      <c r="U43" s="373">
        <v>200.779</v>
      </c>
      <c r="V43" s="373">
        <v>203.572</v>
      </c>
      <c r="W43" s="373">
        <v>170.31</v>
      </c>
      <c r="X43" s="373">
        <v>158.72500000000002</v>
      </c>
      <c r="Y43" s="373">
        <v>183.55100000000004</v>
      </c>
      <c r="Z43" s="373">
        <v>163.03182004969801</v>
      </c>
      <c r="AA43" s="373">
        <v>188.8815558949461</v>
      </c>
      <c r="AB43" s="373">
        <v>183.15295573005574</v>
      </c>
      <c r="AC43" s="373">
        <v>192.15300000000002</v>
      </c>
      <c r="AD43" s="373">
        <v>183.41724537132683</v>
      </c>
      <c r="AE43" s="373">
        <v>157.42153636363639</v>
      </c>
      <c r="AF43" s="373">
        <v>196.292</v>
      </c>
      <c r="AG43" s="373">
        <v>181.51999999999998</v>
      </c>
      <c r="AH43" s="373">
        <v>173.11555520724488</v>
      </c>
      <c r="AI43" s="373">
        <v>188.64144570176094</v>
      </c>
      <c r="AJ43" s="373">
        <v>197.05315269600976</v>
      </c>
      <c r="AK43" s="373">
        <v>192.40315269600973</v>
      </c>
      <c r="AL43" s="373">
        <v>173.78349275768622</v>
      </c>
      <c r="AM43" s="373">
        <v>192.40315269600973</v>
      </c>
      <c r="AN43" s="373">
        <v>186.19659938323528</v>
      </c>
      <c r="AO43" s="373">
        <v>186.19659938323528</v>
      </c>
      <c r="AP43" s="73"/>
      <c r="AQ43" s="74"/>
      <c r="AR43" s="74"/>
      <c r="AS43" s="74"/>
      <c r="AT43" s="74"/>
    </row>
    <row r="44" spans="1:46" s="75" customFormat="1">
      <c r="A44" s="556" t="s">
        <v>198</v>
      </c>
      <c r="B44" s="44"/>
      <c r="C44" s="640" t="s">
        <v>213</v>
      </c>
      <c r="D44" s="641"/>
      <c r="E44" s="360"/>
      <c r="F44" s="360"/>
      <c r="G44" s="360"/>
      <c r="H44" s="360"/>
      <c r="I44" s="360"/>
      <c r="J44" s="360"/>
      <c r="K44" s="360"/>
      <c r="L44" s="360"/>
      <c r="M44" s="360"/>
      <c r="N44" s="360"/>
      <c r="O44" s="360"/>
      <c r="P44" s="360"/>
      <c r="Q44" s="113"/>
      <c r="R44" s="373"/>
      <c r="S44" s="373"/>
      <c r="T44" s="373"/>
      <c r="U44" s="373"/>
      <c r="V44" s="373"/>
      <c r="W44" s="373"/>
      <c r="X44" s="373"/>
      <c r="Y44" s="373"/>
      <c r="Z44" s="373"/>
      <c r="AA44" s="373">
        <v>46.344512195121951</v>
      </c>
      <c r="AB44" s="373">
        <v>56.996333333333332</v>
      </c>
      <c r="AC44" s="373">
        <v>40.486000000000004</v>
      </c>
      <c r="AD44" s="373">
        <v>40.462994052877605</v>
      </c>
      <c r="AE44" s="373">
        <v>40.299999999999997</v>
      </c>
      <c r="AF44" s="373">
        <v>42.78</v>
      </c>
      <c r="AG44" s="373">
        <v>31.050000000000004</v>
      </c>
      <c r="AH44" s="373">
        <v>19.5</v>
      </c>
      <c r="AI44" s="373">
        <v>39.439024390243901</v>
      </c>
      <c r="AJ44" s="373">
        <v>41.6609756097561</v>
      </c>
      <c r="AK44" s="373">
        <v>41.6609756097561</v>
      </c>
      <c r="AL44" s="373">
        <v>37.629268292682923</v>
      </c>
      <c r="AM44" s="373">
        <v>41.6609756097561</v>
      </c>
      <c r="AN44" s="373">
        <v>40.31707317073171</v>
      </c>
      <c r="AO44" s="373">
        <v>40.31707317073171</v>
      </c>
      <c r="AP44" s="73"/>
      <c r="AQ44" s="74"/>
      <c r="AR44" s="74"/>
      <c r="AS44" s="74"/>
      <c r="AT44" s="74"/>
    </row>
    <row r="45" spans="1:46" s="75" customFormat="1">
      <c r="A45" s="556" t="s">
        <v>199</v>
      </c>
      <c r="B45" s="44"/>
      <c r="C45" s="640" t="s">
        <v>213</v>
      </c>
      <c r="D45" s="641"/>
      <c r="E45" s="360"/>
      <c r="F45" s="360"/>
      <c r="G45" s="360"/>
      <c r="H45" s="360"/>
      <c r="I45" s="360"/>
      <c r="J45" s="360"/>
      <c r="K45" s="360"/>
      <c r="L45" s="360"/>
      <c r="M45" s="360"/>
      <c r="N45" s="360"/>
      <c r="O45" s="360"/>
      <c r="P45" s="360"/>
      <c r="Q45" s="113"/>
      <c r="R45" s="373"/>
      <c r="S45" s="373"/>
      <c r="T45" s="373"/>
      <c r="U45" s="373"/>
      <c r="V45" s="373"/>
      <c r="W45" s="373"/>
      <c r="X45" s="373"/>
      <c r="Y45" s="373"/>
      <c r="Z45" s="373"/>
      <c r="AA45" s="373">
        <v>142.53704369982415</v>
      </c>
      <c r="AB45" s="373">
        <v>125.18600000000001</v>
      </c>
      <c r="AC45" s="373">
        <v>150.679</v>
      </c>
      <c r="AD45" s="373">
        <v>142.95425131844922</v>
      </c>
      <c r="AE45" s="373">
        <v>117.12153636363637</v>
      </c>
      <c r="AF45" s="373">
        <v>153.512</v>
      </c>
      <c r="AG45" s="373">
        <v>150.47</v>
      </c>
      <c r="AH45" s="373">
        <v>153.61555520724488</v>
      </c>
      <c r="AI45" s="373">
        <v>149.20242131151704</v>
      </c>
      <c r="AJ45" s="373">
        <v>155.39217708625364</v>
      </c>
      <c r="AK45" s="373">
        <v>150.74217708625366</v>
      </c>
      <c r="AL45" s="373">
        <v>136.15422446500332</v>
      </c>
      <c r="AM45" s="373">
        <v>150.74217708625366</v>
      </c>
      <c r="AN45" s="373">
        <v>145.87952621250355</v>
      </c>
      <c r="AO45" s="373">
        <v>145.87952621250355</v>
      </c>
      <c r="AP45" s="73"/>
      <c r="AQ45" s="74"/>
      <c r="AR45" s="74"/>
      <c r="AS45" s="74"/>
      <c r="AT45" s="74"/>
    </row>
    <row r="46" spans="1:46" s="3" customFormat="1">
      <c r="A46" s="43" t="s">
        <v>132</v>
      </c>
      <c r="B46" s="35"/>
      <c r="C46" s="640" t="s">
        <v>213</v>
      </c>
      <c r="D46" s="641"/>
      <c r="E46" s="65">
        <v>290.613</v>
      </c>
      <c r="F46" s="113">
        <v>302.52800000000002</v>
      </c>
      <c r="G46" s="113">
        <v>330.5</v>
      </c>
      <c r="H46" s="113">
        <v>317.95</v>
      </c>
      <c r="I46" s="113">
        <v>319.5</v>
      </c>
      <c r="J46" s="113">
        <v>314</v>
      </c>
      <c r="K46" s="113">
        <v>315</v>
      </c>
      <c r="L46" s="113">
        <v>310</v>
      </c>
      <c r="M46" s="113">
        <v>288</v>
      </c>
      <c r="N46" s="113">
        <v>270.45</v>
      </c>
      <c r="O46" s="113">
        <v>313.10000000000002</v>
      </c>
      <c r="P46" s="113">
        <v>291</v>
      </c>
      <c r="Q46" s="113">
        <v>225</v>
      </c>
      <c r="R46" s="373">
        <v>239.1825882138433</v>
      </c>
      <c r="S46" s="373">
        <v>251.343478581818</v>
      </c>
      <c r="T46" s="373">
        <v>270.94</v>
      </c>
      <c r="U46" s="373">
        <v>276</v>
      </c>
      <c r="V46" s="373">
        <v>288.39600000000002</v>
      </c>
      <c r="W46" s="373">
        <v>252.172</v>
      </c>
      <c r="X46" s="373">
        <v>238.14500000000001</v>
      </c>
      <c r="Y46" s="373">
        <v>277.28500000000003</v>
      </c>
      <c r="Z46" s="373">
        <v>246</v>
      </c>
      <c r="AA46" s="373">
        <v>285.51487908479243</v>
      </c>
      <c r="AB46" s="614">
        <v>272.33308494533202</v>
      </c>
      <c r="AC46" s="373">
        <v>287.15300000000002</v>
      </c>
      <c r="AD46" s="373">
        <v>277.55724537132681</v>
      </c>
      <c r="AE46" s="373">
        <v>209.77350000000001</v>
      </c>
      <c r="AF46" s="373">
        <v>293.57</v>
      </c>
      <c r="AG46" s="373">
        <v>271.95</v>
      </c>
      <c r="AH46" s="373">
        <v>255.34478840125394</v>
      </c>
      <c r="AI46" s="373">
        <v>280.23456112852654</v>
      </c>
      <c r="AJ46" s="373">
        <v>290.94568965517243</v>
      </c>
      <c r="AK46" s="373">
        <v>286.2956896551724</v>
      </c>
      <c r="AL46" s="373">
        <v>258.58965517241381</v>
      </c>
      <c r="AM46" s="373">
        <v>286.2956896551724</v>
      </c>
      <c r="AN46" s="373">
        <v>277.06034482758628</v>
      </c>
      <c r="AO46" s="373">
        <v>277.06034482758628</v>
      </c>
      <c r="AP46" s="38"/>
      <c r="AQ46" s="31"/>
      <c r="AR46" s="31"/>
      <c r="AS46" s="31"/>
      <c r="AT46" s="31"/>
    </row>
    <row r="47" spans="1:46" s="3" customFormat="1">
      <c r="A47" s="43" t="s">
        <v>28</v>
      </c>
      <c r="B47" s="35"/>
      <c r="C47" s="642">
        <v>44295</v>
      </c>
      <c r="D47" s="649"/>
      <c r="E47" s="65"/>
      <c r="F47" s="113"/>
      <c r="G47" s="113"/>
      <c r="H47" s="113"/>
      <c r="I47" s="113"/>
      <c r="J47" s="113"/>
      <c r="K47" s="113"/>
      <c r="L47" s="113"/>
      <c r="M47" s="113"/>
      <c r="N47" s="113"/>
      <c r="O47" s="113">
        <v>0.68</v>
      </c>
      <c r="P47" s="113">
        <v>0.6</v>
      </c>
      <c r="Q47" s="113">
        <v>0.6</v>
      </c>
      <c r="R47" s="113">
        <v>0</v>
      </c>
      <c r="S47" s="113">
        <v>0.6</v>
      </c>
      <c r="T47" s="113">
        <v>1.2</v>
      </c>
      <c r="U47" s="113">
        <v>0.6</v>
      </c>
      <c r="V47" s="113">
        <v>0.6</v>
      </c>
      <c r="W47" s="113">
        <v>0</v>
      </c>
      <c r="X47" s="113">
        <v>0.6</v>
      </c>
      <c r="Y47" s="113">
        <v>1.2</v>
      </c>
      <c r="Z47" s="113">
        <v>2.4</v>
      </c>
      <c r="AA47" s="113">
        <v>1.2</v>
      </c>
      <c r="AB47" s="113">
        <v>1.2</v>
      </c>
      <c r="AC47" s="113">
        <v>1.2</v>
      </c>
      <c r="AD47" s="113">
        <v>1.2</v>
      </c>
      <c r="AE47" s="113">
        <v>1.2</v>
      </c>
      <c r="AF47" s="113">
        <v>1.2</v>
      </c>
      <c r="AG47" s="113">
        <v>1.2</v>
      </c>
      <c r="AH47" s="113">
        <v>1.2</v>
      </c>
      <c r="AI47" s="113">
        <v>1.2</v>
      </c>
      <c r="AJ47" s="113">
        <v>1.2</v>
      </c>
      <c r="AK47" s="113">
        <v>0</v>
      </c>
      <c r="AL47" s="113">
        <v>0</v>
      </c>
      <c r="AM47" s="113">
        <v>0</v>
      </c>
      <c r="AN47" s="113">
        <v>0</v>
      </c>
      <c r="AO47" s="113">
        <v>0</v>
      </c>
      <c r="AP47" s="38"/>
      <c r="AQ47" s="31"/>
      <c r="AR47" s="31"/>
      <c r="AS47" s="31"/>
      <c r="AT47" s="31"/>
    </row>
    <row r="48" spans="1:46">
      <c r="A48" s="43" t="s">
        <v>0</v>
      </c>
      <c r="B48" s="35"/>
      <c r="C48" s="642">
        <v>44295</v>
      </c>
      <c r="D48" s="649"/>
      <c r="E48" s="58">
        <v>15.573</v>
      </c>
      <c r="F48" s="58">
        <v>19</v>
      </c>
      <c r="G48" s="58">
        <v>19</v>
      </c>
      <c r="H48" s="58">
        <v>25</v>
      </c>
      <c r="I48" s="58">
        <v>25</v>
      </c>
      <c r="J48" s="58">
        <v>25</v>
      </c>
      <c r="K48" s="58">
        <v>21</v>
      </c>
      <c r="L48" s="58">
        <v>23.5</v>
      </c>
      <c r="M48" s="58">
        <v>23</v>
      </c>
      <c r="N48" s="58">
        <v>16</v>
      </c>
      <c r="O48" s="58">
        <v>7</v>
      </c>
      <c r="P48" s="58">
        <v>14</v>
      </c>
      <c r="Q48" s="58">
        <v>6</v>
      </c>
      <c r="R48" s="58">
        <v>0</v>
      </c>
      <c r="S48" s="58">
        <v>8</v>
      </c>
      <c r="T48" s="58">
        <v>0</v>
      </c>
      <c r="U48" s="58">
        <v>3</v>
      </c>
      <c r="V48" s="58">
        <v>0</v>
      </c>
      <c r="W48" s="58">
        <v>11</v>
      </c>
      <c r="X48" s="58">
        <v>14</v>
      </c>
      <c r="Y48" s="58">
        <v>2.5</v>
      </c>
      <c r="Z48" s="58">
        <v>3</v>
      </c>
      <c r="AA48" s="58">
        <v>0</v>
      </c>
      <c r="AB48" s="58">
        <v>0</v>
      </c>
      <c r="AC48" s="58">
        <v>0</v>
      </c>
      <c r="AD48" s="58">
        <v>0</v>
      </c>
      <c r="AE48" s="58">
        <v>0</v>
      </c>
      <c r="AF48" s="58">
        <v>0</v>
      </c>
      <c r="AG48" s="58">
        <v>0</v>
      </c>
      <c r="AH48" s="58">
        <v>0</v>
      </c>
      <c r="AI48" s="58">
        <v>0</v>
      </c>
      <c r="AJ48" s="58">
        <v>0</v>
      </c>
      <c r="AK48" s="58">
        <v>0</v>
      </c>
      <c r="AL48" s="58">
        <v>0</v>
      </c>
      <c r="AM48" s="58">
        <v>0</v>
      </c>
      <c r="AN48" s="58">
        <v>0</v>
      </c>
      <c r="AO48" s="58">
        <v>0</v>
      </c>
      <c r="AP48" s="38"/>
      <c r="AQ48" s="31"/>
      <c r="AR48" s="31"/>
      <c r="AS48" s="31"/>
      <c r="AT48" s="31"/>
    </row>
    <row r="49" spans="1:46">
      <c r="A49" s="43" t="s">
        <v>1</v>
      </c>
      <c r="B49" s="35"/>
      <c r="C49" s="642">
        <v>44302</v>
      </c>
      <c r="D49" s="649"/>
      <c r="E49" s="58">
        <v>8.4</v>
      </c>
      <c r="F49" s="58">
        <v>6.2</v>
      </c>
      <c r="G49" s="58">
        <v>6.1</v>
      </c>
      <c r="H49" s="58">
        <v>7.2</v>
      </c>
      <c r="I49" s="58">
        <v>6.7</v>
      </c>
      <c r="J49" s="58">
        <v>6.7</v>
      </c>
      <c r="K49" s="58">
        <v>0</v>
      </c>
      <c r="L49" s="58">
        <v>5.4</v>
      </c>
      <c r="M49" s="58">
        <v>7.2</v>
      </c>
      <c r="N49" s="58">
        <v>6.5</v>
      </c>
      <c r="O49" s="58">
        <v>6.4799999999999995</v>
      </c>
      <c r="P49" s="58">
        <v>6.3</v>
      </c>
      <c r="Q49" s="58">
        <v>6.5</v>
      </c>
      <c r="R49" s="58">
        <v>3.6</v>
      </c>
      <c r="S49" s="58">
        <v>3.6</v>
      </c>
      <c r="T49" s="58">
        <v>5</v>
      </c>
      <c r="U49" s="58">
        <v>4.24</v>
      </c>
      <c r="V49" s="58">
        <v>7.36</v>
      </c>
      <c r="W49" s="58">
        <v>5.36</v>
      </c>
      <c r="X49" s="58">
        <v>5.47</v>
      </c>
      <c r="Y49" s="58">
        <v>6.2</v>
      </c>
      <c r="Z49" s="58">
        <v>7.08</v>
      </c>
      <c r="AA49" s="58">
        <v>7.07</v>
      </c>
      <c r="AB49" s="58">
        <v>6.63</v>
      </c>
      <c r="AC49" s="58">
        <v>5.78</v>
      </c>
      <c r="AD49" s="58">
        <v>6.12</v>
      </c>
      <c r="AE49" s="58">
        <v>6.12</v>
      </c>
      <c r="AF49" s="58">
        <v>6.12</v>
      </c>
      <c r="AG49" s="58">
        <v>6.12</v>
      </c>
      <c r="AH49" s="58">
        <v>6.12</v>
      </c>
      <c r="AI49" s="58">
        <v>6.12</v>
      </c>
      <c r="AJ49" s="58">
        <v>6.12</v>
      </c>
      <c r="AK49" s="58">
        <v>6.12</v>
      </c>
      <c r="AL49" s="58">
        <v>6.12</v>
      </c>
      <c r="AM49" s="58">
        <v>6.12</v>
      </c>
      <c r="AN49" s="58">
        <v>6.12</v>
      </c>
      <c r="AO49" s="58">
        <v>6.12</v>
      </c>
      <c r="AP49" s="38"/>
      <c r="AQ49" s="31"/>
      <c r="AR49" s="31"/>
      <c r="AS49" s="31"/>
      <c r="AT49" s="31"/>
    </row>
    <row r="50" spans="1:46">
      <c r="A50" s="43" t="s">
        <v>27</v>
      </c>
      <c r="B50" s="35"/>
      <c r="C50" s="642">
        <v>44302</v>
      </c>
      <c r="D50" s="649"/>
      <c r="E50" s="58">
        <v>5.89</v>
      </c>
      <c r="F50" s="58">
        <v>5.7</v>
      </c>
      <c r="G50" s="58">
        <v>5.89</v>
      </c>
      <c r="H50" s="58">
        <v>5.89</v>
      </c>
      <c r="I50" s="58">
        <v>5.85</v>
      </c>
      <c r="J50" s="58">
        <v>6.05</v>
      </c>
      <c r="K50" s="58">
        <v>5.85</v>
      </c>
      <c r="L50" s="58">
        <v>6.05</v>
      </c>
      <c r="M50" s="58">
        <v>6.05</v>
      </c>
      <c r="N50" s="58">
        <v>5.66</v>
      </c>
      <c r="O50" s="58">
        <v>6.0449999999999999</v>
      </c>
      <c r="P50" s="58">
        <v>5.85</v>
      </c>
      <c r="Q50" s="58">
        <v>6.05</v>
      </c>
      <c r="R50" s="58">
        <v>5.4</v>
      </c>
      <c r="S50" s="58">
        <v>4.5599999999999996</v>
      </c>
      <c r="T50" s="58">
        <v>5.58</v>
      </c>
      <c r="U50" s="58">
        <v>5.58</v>
      </c>
      <c r="V50" s="58">
        <v>5.58</v>
      </c>
      <c r="W50" s="58">
        <v>5.4</v>
      </c>
      <c r="X50" s="58">
        <v>5.58</v>
      </c>
      <c r="Y50" s="58">
        <v>5.89</v>
      </c>
      <c r="Z50" s="58">
        <v>5.32</v>
      </c>
      <c r="AA50" s="58">
        <v>5.89</v>
      </c>
      <c r="AB50" s="58">
        <v>5.55</v>
      </c>
      <c r="AC50" s="58">
        <v>5.7350000000000003</v>
      </c>
      <c r="AD50" s="58">
        <v>5.55</v>
      </c>
      <c r="AE50" s="58">
        <v>5.7350000000000003</v>
      </c>
      <c r="AF50" s="58">
        <v>5.7350000000000003</v>
      </c>
      <c r="AG50" s="58">
        <v>5.55</v>
      </c>
      <c r="AH50" s="58">
        <v>5.7350000000000003</v>
      </c>
      <c r="AI50" s="58">
        <v>5.7350000000000003</v>
      </c>
      <c r="AJ50" s="58">
        <v>5.7350000000000003</v>
      </c>
      <c r="AK50" s="58">
        <v>5.7350000000000003</v>
      </c>
      <c r="AL50" s="58">
        <v>5.7350000000000003</v>
      </c>
      <c r="AM50" s="58">
        <v>5.7350000000000003</v>
      </c>
      <c r="AN50" s="58">
        <v>5.7350000000000003</v>
      </c>
      <c r="AO50" s="58">
        <v>5.7350000000000003</v>
      </c>
      <c r="AP50" s="38"/>
      <c r="AQ50" s="31"/>
      <c r="AR50" s="31"/>
      <c r="AS50" s="31"/>
      <c r="AT50" s="31"/>
    </row>
    <row r="51" spans="1:46" ht="15" thickBot="1">
      <c r="A51" s="51" t="s">
        <v>5</v>
      </c>
      <c r="B51" s="361"/>
      <c r="C51" s="643">
        <v>44289</v>
      </c>
      <c r="D51" s="650"/>
      <c r="E51" s="58">
        <v>15.6</v>
      </c>
      <c r="F51" s="58">
        <v>15.42</v>
      </c>
      <c r="G51" s="58">
        <v>16.027000000000001</v>
      </c>
      <c r="H51" s="58">
        <v>15.93</v>
      </c>
      <c r="I51" s="58">
        <v>15.45</v>
      </c>
      <c r="J51" s="58">
        <v>10.85</v>
      </c>
      <c r="K51" s="58">
        <v>10.5</v>
      </c>
      <c r="L51" s="58">
        <v>13.26</v>
      </c>
      <c r="M51" s="58">
        <v>14.281000000000001</v>
      </c>
      <c r="N51" s="58">
        <v>16</v>
      </c>
      <c r="O51" s="58">
        <v>17</v>
      </c>
      <c r="P51" s="58">
        <v>15.6</v>
      </c>
      <c r="Q51" s="58">
        <v>17.05</v>
      </c>
      <c r="R51" s="58">
        <v>15.6</v>
      </c>
      <c r="S51" s="58">
        <v>16.739999999999998</v>
      </c>
      <c r="T51" s="58">
        <v>14.56</v>
      </c>
      <c r="U51" s="58">
        <v>17.2</v>
      </c>
      <c r="V51" s="58">
        <v>16.739999999999998</v>
      </c>
      <c r="W51" s="58">
        <v>16.2</v>
      </c>
      <c r="X51" s="58">
        <v>16.12</v>
      </c>
      <c r="Y51" s="58">
        <v>13.12</v>
      </c>
      <c r="Z51" s="58">
        <v>8.83</v>
      </c>
      <c r="AA51" s="58">
        <v>15.56</v>
      </c>
      <c r="AB51" s="58">
        <v>15</v>
      </c>
      <c r="AC51" s="58">
        <v>15.5</v>
      </c>
      <c r="AD51" s="58">
        <v>13.95</v>
      </c>
      <c r="AE51" s="58">
        <v>8.99</v>
      </c>
      <c r="AF51" s="58">
        <v>14.66</v>
      </c>
      <c r="AG51" s="58">
        <v>15</v>
      </c>
      <c r="AH51" s="58">
        <v>15.5</v>
      </c>
      <c r="AI51" s="58">
        <v>15</v>
      </c>
      <c r="AJ51" s="58">
        <v>15.08</v>
      </c>
      <c r="AK51" s="58">
        <v>14.87</v>
      </c>
      <c r="AL51" s="58">
        <v>14</v>
      </c>
      <c r="AM51" s="58">
        <v>15.5</v>
      </c>
      <c r="AN51" s="58">
        <v>15</v>
      </c>
      <c r="AO51" s="58">
        <v>15</v>
      </c>
      <c r="AP51" s="38"/>
      <c r="AQ51" s="31"/>
      <c r="AR51" s="31"/>
      <c r="AS51" s="31"/>
      <c r="AT51" s="31"/>
    </row>
    <row r="52" spans="1:46" ht="15" thickBot="1">
      <c r="A52" s="645" t="s">
        <v>31</v>
      </c>
      <c r="B52" s="646"/>
      <c r="C52" s="646"/>
      <c r="D52" s="651"/>
      <c r="E52" s="59">
        <f>SUM(E46:E51)</f>
        <v>336.07599999999996</v>
      </c>
      <c r="F52" s="60">
        <f t="shared" ref="F52:Y52" si="41">SUM(F46:F51)</f>
        <v>348.84800000000001</v>
      </c>
      <c r="G52" s="60">
        <f t="shared" si="41"/>
        <v>377.517</v>
      </c>
      <c r="H52" s="60">
        <f t="shared" si="41"/>
        <v>371.96999999999997</v>
      </c>
      <c r="I52" s="60">
        <f t="shared" si="41"/>
        <v>372.5</v>
      </c>
      <c r="J52" s="60">
        <f t="shared" si="41"/>
        <v>362.6</v>
      </c>
      <c r="K52" s="60">
        <f t="shared" si="41"/>
        <v>352.35</v>
      </c>
      <c r="L52" s="60">
        <f t="shared" si="41"/>
        <v>358.21</v>
      </c>
      <c r="M52" s="60">
        <f t="shared" si="41"/>
        <v>338.53100000000001</v>
      </c>
      <c r="N52" s="60">
        <f t="shared" si="41"/>
        <v>314.61</v>
      </c>
      <c r="O52" s="60">
        <f t="shared" si="41"/>
        <v>350.30500000000006</v>
      </c>
      <c r="P52" s="60">
        <f t="shared" si="41"/>
        <v>333.35000000000008</v>
      </c>
      <c r="Q52" s="60">
        <f t="shared" si="41"/>
        <v>261.2</v>
      </c>
      <c r="R52" s="60">
        <f t="shared" si="41"/>
        <v>263.78258821384333</v>
      </c>
      <c r="S52" s="60">
        <f>SUM(S46:S51)</f>
        <v>284.84347858181803</v>
      </c>
      <c r="T52" s="60">
        <f>SUM(T46:T51)</f>
        <v>297.27999999999997</v>
      </c>
      <c r="U52" s="60">
        <f>SUM(U46:U51)</f>
        <v>306.62</v>
      </c>
      <c r="V52" s="60">
        <f t="shared" si="41"/>
        <v>318.67600000000004</v>
      </c>
      <c r="W52" s="60">
        <f t="shared" si="41"/>
        <v>290.13200000000001</v>
      </c>
      <c r="X52" s="60">
        <f t="shared" si="41"/>
        <v>279.91500000000002</v>
      </c>
      <c r="Y52" s="60">
        <f t="shared" si="41"/>
        <v>306.19499999999999</v>
      </c>
      <c r="Z52" s="60">
        <f t="shared" ref="Z52:AE52" si="42">SUM(Z46:Z51)</f>
        <v>272.63</v>
      </c>
      <c r="AA52" s="60">
        <f t="shared" si="42"/>
        <v>315.2348790847924</v>
      </c>
      <c r="AB52" s="60">
        <f t="shared" si="42"/>
        <v>300.71308494533201</v>
      </c>
      <c r="AC52" s="60">
        <f t="shared" si="42"/>
        <v>315.36799999999999</v>
      </c>
      <c r="AD52" s="60">
        <f t="shared" si="42"/>
        <v>304.37724537132681</v>
      </c>
      <c r="AE52" s="60">
        <f t="shared" si="42"/>
        <v>231.81850000000003</v>
      </c>
      <c r="AF52" s="60">
        <f t="shared" ref="AF52:AK52" si="43">SUM(AF46:AF51)</f>
        <v>321.28500000000003</v>
      </c>
      <c r="AG52" s="60">
        <f t="shared" si="43"/>
        <v>299.82</v>
      </c>
      <c r="AH52" s="60">
        <f t="shared" si="43"/>
        <v>283.89978840125394</v>
      </c>
      <c r="AI52" s="60">
        <f t="shared" si="43"/>
        <v>308.28956112852654</v>
      </c>
      <c r="AJ52" s="60">
        <f t="shared" si="43"/>
        <v>319.08068965517242</v>
      </c>
      <c r="AK52" s="60">
        <f t="shared" si="43"/>
        <v>313.02068965517242</v>
      </c>
      <c r="AL52" s="60">
        <f t="shared" ref="AL52:AM52" si="44">SUM(AL46:AL51)</f>
        <v>284.44465517241383</v>
      </c>
      <c r="AM52" s="60">
        <f t="shared" si="44"/>
        <v>313.65068965517241</v>
      </c>
      <c r="AN52" s="60">
        <f t="shared" ref="AN52:AO52" si="45">SUM(AN46:AN51)</f>
        <v>303.9153448275863</v>
      </c>
      <c r="AO52" s="60">
        <f t="shared" si="45"/>
        <v>303.9153448275863</v>
      </c>
      <c r="AP52" s="38"/>
      <c r="AQ52" s="31"/>
      <c r="AR52" s="31"/>
      <c r="AS52" s="31"/>
      <c r="AT52" s="31"/>
    </row>
    <row r="53" spans="1:46" ht="15" thickBot="1">
      <c r="A53" s="40" t="s">
        <v>35</v>
      </c>
      <c r="B53" s="30"/>
      <c r="C53" s="31"/>
      <c r="D53" s="31"/>
      <c r="E53" s="31"/>
      <c r="F53" s="31"/>
      <c r="G53" s="31"/>
      <c r="H53" s="31"/>
      <c r="I53" s="31"/>
      <c r="J53" s="31"/>
      <c r="K53" s="31"/>
      <c r="L53" s="31"/>
      <c r="M53" s="270">
        <f>M59-M95-M101-M102-M103-M111-M112-M113-M114-M115-M116-M117-M118-M120-M121-M123-M124-M125-M126-M127-M128-M129-M130-M131</f>
        <v>118.10699999999997</v>
      </c>
      <c r="N53" s="270">
        <f>N59-N95-N101-N102-N103-N111-N112-N113-N114-N115-N116-N117-N118-N120-N121-N123-N124-N125-N126-N127-N128-N129-N130-N131</f>
        <v>139.47399999999999</v>
      </c>
      <c r="O53" s="270">
        <f>O59-O95-O101-O102-O103-O111-O112-O113-O114-O115-O116-O117-O118-O120-O121-O123-O124-O125-O126-O127-O128-O129-O130-O131</f>
        <v>140.74199999999999</v>
      </c>
      <c r="P53" s="270">
        <f>P59-P95-P101-P102-P103-P111-P112-P113-P114-P115-P116-P117-P118-P120-P121-P123-P124-P125-P126-P127-P128-P129-P130-P131</f>
        <v>89.700999999999979</v>
      </c>
      <c r="Q53" s="270">
        <f>Q59-Q95-Q101-Q102-Q103-Q111-Q112-Q113-Q114-Q115-Q116-Q117-Q118-Q120-Q121-Q123-Q124-Q125-Q126-Q127-Q128-Q129-Q130-Q131</f>
        <v>115.392</v>
      </c>
      <c r="R53" s="270">
        <f t="shared" ref="R53:AD53" si="46">R59-R95-R99-R101-R102-R103-R111-R112-R113-R114-R115-R116-R117-R118-R120-R121-R123-R124-R125-R126-R127-R128-R129-R130-R131</f>
        <v>90.575999999999993</v>
      </c>
      <c r="S53" s="363">
        <f t="shared" si="46"/>
        <v>104.07799999999997</v>
      </c>
      <c r="T53" s="363">
        <f t="shared" si="46"/>
        <v>105.9876373626374</v>
      </c>
      <c r="U53" s="363">
        <f>U59-U95-U99-U101-U102-U103-U111-U112-U113-U114-U115-U116-U117-U118-U120-U121-U123-U124-U125-U126-U127-U128-U129-U130-U131</f>
        <v>124.39</v>
      </c>
      <c r="V53" s="363">
        <f>V59-V95-V99-V101-V102-V103-V111-V112-V113-V114-V115-V116-V117-V118-V120-V121-V123-V124-V125-V126-V127-V128-V129-V130-V131</f>
        <v>118.44200000000002</v>
      </c>
      <c r="W53" s="363">
        <f t="shared" si="46"/>
        <v>108.9</v>
      </c>
      <c r="X53" s="363">
        <f t="shared" si="46"/>
        <v>106.32599999999999</v>
      </c>
      <c r="Y53" s="363">
        <f t="shared" si="46"/>
        <v>119.73485793868549</v>
      </c>
      <c r="Z53" s="363">
        <f t="shared" si="46"/>
        <v>88.984232274350305</v>
      </c>
      <c r="AA53" s="363">
        <f t="shared" si="46"/>
        <v>107.17399999999996</v>
      </c>
      <c r="AB53" s="363">
        <f t="shared" si="46"/>
        <v>102.68900000000004</v>
      </c>
      <c r="AC53" s="363">
        <f t="shared" si="46"/>
        <v>87.452999999999989</v>
      </c>
      <c r="AD53" s="363">
        <f t="shared" si="46"/>
        <v>94.40753811073462</v>
      </c>
      <c r="AE53" s="363">
        <f t="shared" ref="AE53:AK53" si="47">AE59-AE95-AE99-AE101-AE102-AE103-AE111-AE112-AE113-AE114-AE115-AE116-AE117-AE118-AE120-AE121-AE123-AE124-AE125-AE126-AE127-AE128-AE129-AE130-AE131</f>
        <v>38.312999999999981</v>
      </c>
      <c r="AF53" s="363">
        <f t="shared" si="47"/>
        <v>109.61199999999997</v>
      </c>
      <c r="AG53" s="363">
        <f t="shared" si="47"/>
        <v>93.673999999999978</v>
      </c>
      <c r="AH53" s="363">
        <f t="shared" si="47"/>
        <v>97.381788401253942</v>
      </c>
      <c r="AI53" s="363">
        <f t="shared" si="47"/>
        <v>101.89056112852654</v>
      </c>
      <c r="AJ53" s="363">
        <f t="shared" si="47"/>
        <v>119.79968965517239</v>
      </c>
      <c r="AK53" s="363">
        <f t="shared" si="47"/>
        <v>103.87281294284364</v>
      </c>
      <c r="AL53" s="363">
        <f t="shared" ref="AL53:AM53" si="48">AL59-AL95-AL99-AL101-AL102-AL103-AL111-AL112-AL113-AL114-AL115-AL116-AL117-AL118-AL120-AL121-AL123-AL124-AL125-AL126-AL127-AL128-AL129-AL130-AL131</f>
        <v>87.251572980633</v>
      </c>
      <c r="AM53" s="363">
        <f t="shared" si="48"/>
        <v>103.87281294284364</v>
      </c>
      <c r="AN53" s="363">
        <f t="shared" ref="AN53:AO53" si="49">AN59-AN95-AN99-AN101-AN102-AN103-AN111-AN112-AN113-AN114-AN115-AN116-AN117-AN118-AN120-AN121-AN123-AN124-AN125-AN126-AN127-AN128-AN129-AN130-AN131</f>
        <v>98.332399622106834</v>
      </c>
      <c r="AO53" s="363">
        <f t="shared" si="49"/>
        <v>103.87281294284364</v>
      </c>
      <c r="AP53" s="31"/>
      <c r="AQ53" s="31"/>
      <c r="AR53" s="31"/>
      <c r="AS53" s="31"/>
      <c r="AT53" s="31"/>
    </row>
    <row r="54" spans="1:46" s="75" customFormat="1" ht="15" thickBot="1">
      <c r="A54" s="652" t="s">
        <v>32</v>
      </c>
      <c r="B54" s="653"/>
      <c r="C54" s="653" t="s">
        <v>33</v>
      </c>
      <c r="D54" s="653"/>
      <c r="E54" s="77">
        <f t="shared" ref="E54:AL54" si="50">E3</f>
        <v>43587</v>
      </c>
      <c r="F54" s="78">
        <f t="shared" si="50"/>
        <v>43618</v>
      </c>
      <c r="G54" s="78">
        <f t="shared" si="50"/>
        <v>43648</v>
      </c>
      <c r="H54" s="78">
        <f t="shared" si="50"/>
        <v>43679</v>
      </c>
      <c r="I54" s="78">
        <f t="shared" si="50"/>
        <v>43710</v>
      </c>
      <c r="J54" s="78">
        <f t="shared" si="50"/>
        <v>43740</v>
      </c>
      <c r="K54" s="78">
        <f t="shared" si="50"/>
        <v>43771</v>
      </c>
      <c r="L54" s="78">
        <f t="shared" si="50"/>
        <v>43801</v>
      </c>
      <c r="M54" s="78">
        <f t="shared" si="50"/>
        <v>43832</v>
      </c>
      <c r="N54" s="78">
        <f t="shared" si="50"/>
        <v>43863</v>
      </c>
      <c r="O54" s="78">
        <f t="shared" si="50"/>
        <v>43892</v>
      </c>
      <c r="P54" s="78">
        <f t="shared" si="50"/>
        <v>43923</v>
      </c>
      <c r="Q54" s="78">
        <f t="shared" si="50"/>
        <v>43953</v>
      </c>
      <c r="R54" s="78">
        <f t="shared" si="50"/>
        <v>43984</v>
      </c>
      <c r="S54" s="78">
        <f t="shared" si="50"/>
        <v>44014</v>
      </c>
      <c r="T54" s="78">
        <f t="shared" si="50"/>
        <v>44045</v>
      </c>
      <c r="U54" s="78">
        <f t="shared" si="50"/>
        <v>44076</v>
      </c>
      <c r="V54" s="78">
        <f t="shared" si="50"/>
        <v>44106</v>
      </c>
      <c r="W54" s="78">
        <f t="shared" si="50"/>
        <v>44137</v>
      </c>
      <c r="X54" s="78">
        <f t="shared" si="50"/>
        <v>44167</v>
      </c>
      <c r="Y54" s="78">
        <f t="shared" si="50"/>
        <v>44198</v>
      </c>
      <c r="Z54" s="78">
        <f t="shared" si="50"/>
        <v>44229</v>
      </c>
      <c r="AA54" s="78">
        <f t="shared" si="50"/>
        <v>44257</v>
      </c>
      <c r="AB54" s="78">
        <f t="shared" si="50"/>
        <v>44288</v>
      </c>
      <c r="AC54" s="78">
        <f t="shared" si="50"/>
        <v>44318</v>
      </c>
      <c r="AD54" s="78">
        <f t="shared" si="50"/>
        <v>44349</v>
      </c>
      <c r="AE54" s="78">
        <f t="shared" si="50"/>
        <v>44379</v>
      </c>
      <c r="AF54" s="78">
        <f t="shared" si="50"/>
        <v>44410</v>
      </c>
      <c r="AG54" s="78">
        <f t="shared" si="50"/>
        <v>44441</v>
      </c>
      <c r="AH54" s="78">
        <f t="shared" si="50"/>
        <v>44471</v>
      </c>
      <c r="AI54" s="78">
        <f t="shared" si="50"/>
        <v>44502</v>
      </c>
      <c r="AJ54" s="78">
        <f t="shared" si="50"/>
        <v>44532</v>
      </c>
      <c r="AK54" s="78">
        <f t="shared" si="50"/>
        <v>44563</v>
      </c>
      <c r="AL54" s="78">
        <f t="shared" si="50"/>
        <v>44594</v>
      </c>
      <c r="AM54" s="78">
        <f t="shared" ref="AM54:AN54" si="51">AM3</f>
        <v>44622</v>
      </c>
      <c r="AN54" s="601">
        <f t="shared" si="51"/>
        <v>44653</v>
      </c>
      <c r="AO54" s="601">
        <f t="shared" ref="AO54" si="52">AO3</f>
        <v>44683</v>
      </c>
      <c r="AP54" s="73"/>
      <c r="AQ54" s="74"/>
      <c r="AR54" s="74"/>
      <c r="AS54" s="74"/>
      <c r="AT54" s="74"/>
    </row>
    <row r="55" spans="1:46" s="75" customFormat="1">
      <c r="A55" s="41" t="s">
        <v>133</v>
      </c>
      <c r="B55" s="42"/>
      <c r="C55" s="654" t="s">
        <v>218</v>
      </c>
      <c r="D55" s="655"/>
      <c r="E55" s="360"/>
      <c r="F55" s="360"/>
      <c r="G55" s="360"/>
      <c r="H55" s="360"/>
      <c r="I55" s="360"/>
      <c r="J55" s="360"/>
      <c r="K55" s="360"/>
      <c r="L55" s="360"/>
      <c r="M55" s="360"/>
      <c r="N55" s="360"/>
      <c r="O55" s="360"/>
      <c r="P55" s="360"/>
      <c r="Q55" s="218"/>
      <c r="R55" s="218">
        <v>70</v>
      </c>
      <c r="S55" s="218">
        <v>74.078409090909062</v>
      </c>
      <c r="T55" s="218">
        <v>80.5</v>
      </c>
      <c r="U55" s="218">
        <v>75.221000000000004</v>
      </c>
      <c r="V55" s="218">
        <v>85.72</v>
      </c>
      <c r="W55" s="218">
        <v>83.730999999999995</v>
      </c>
      <c r="X55" s="218">
        <v>85</v>
      </c>
      <c r="Y55" s="218">
        <v>93.219380729154906</v>
      </c>
      <c r="Z55" s="218">
        <v>85.441534018875444</v>
      </c>
      <c r="AA55" s="218">
        <v>98</v>
      </c>
      <c r="AB55" s="218">
        <v>86.9</v>
      </c>
      <c r="AC55" s="218">
        <v>89</v>
      </c>
      <c r="AD55" s="218">
        <v>92.25</v>
      </c>
      <c r="AE55" s="218">
        <v>52.35</v>
      </c>
      <c r="AF55" s="218">
        <v>97.277999999999992</v>
      </c>
      <c r="AG55" s="218">
        <v>91.830000000000013</v>
      </c>
      <c r="AH55" s="218">
        <v>89.929233194009043</v>
      </c>
      <c r="AI55" s="218">
        <v>91.593115426765593</v>
      </c>
      <c r="AJ55" s="218">
        <v>93.892536959162683</v>
      </c>
      <c r="AK55" s="218">
        <v>92.411425848051579</v>
      </c>
      <c r="AL55" s="218">
        <v>83.468384636949807</v>
      </c>
      <c r="AM55" s="218">
        <v>92.411425848051579</v>
      </c>
      <c r="AN55" s="218">
        <v>89.43041211101766</v>
      </c>
      <c r="AO55" s="218">
        <v>92.411425848051579</v>
      </c>
      <c r="AP55" s="73"/>
      <c r="AQ55" s="434">
        <f>SUM(Y55:AJ55)</f>
        <v>1061.6838003279677</v>
      </c>
      <c r="AR55" s="74"/>
      <c r="AS55" s="74"/>
      <c r="AT55" s="74"/>
    </row>
    <row r="56" spans="1:46" s="75" customFormat="1">
      <c r="A56" s="43" t="s">
        <v>134</v>
      </c>
      <c r="B56" s="44"/>
      <c r="C56" s="640" t="str">
        <f>C55</f>
        <v>Ability 6rev0_7May'21 (ฉบับแก้ไข)</v>
      </c>
      <c r="D56" s="641"/>
      <c r="E56" s="360"/>
      <c r="F56" s="360"/>
      <c r="G56" s="360"/>
      <c r="H56" s="360"/>
      <c r="I56" s="360"/>
      <c r="J56" s="360"/>
      <c r="K56" s="360"/>
      <c r="L56" s="360"/>
      <c r="M56" s="360"/>
      <c r="N56" s="360"/>
      <c r="O56" s="360"/>
      <c r="P56" s="360"/>
      <c r="Q56" s="218"/>
      <c r="R56" s="218">
        <f t="shared" ref="R56:W56" si="53">R59-R55</f>
        <v>168.5</v>
      </c>
      <c r="S56" s="218">
        <f t="shared" si="53"/>
        <v>176.52959090909093</v>
      </c>
      <c r="T56" s="218">
        <f t="shared" si="53"/>
        <v>189.8</v>
      </c>
      <c r="U56" s="218">
        <f t="shared" si="53"/>
        <v>200.779</v>
      </c>
      <c r="V56" s="218">
        <f t="shared" si="53"/>
        <v>194.08200000000002</v>
      </c>
      <c r="W56" s="218">
        <f t="shared" si="53"/>
        <v>171.96899999999999</v>
      </c>
      <c r="X56" s="218">
        <f t="shared" ref="X56:AL56" si="54">X59-X55</f>
        <v>182.7</v>
      </c>
      <c r="Y56" s="218">
        <f t="shared" si="54"/>
        <v>184.18247720953059</v>
      </c>
      <c r="Z56" s="560">
        <f t="shared" si="54"/>
        <v>168.89869825547487</v>
      </c>
      <c r="AA56" s="560">
        <f t="shared" si="54"/>
        <v>187</v>
      </c>
      <c r="AB56" s="560">
        <f t="shared" si="54"/>
        <v>177.6</v>
      </c>
      <c r="AC56" s="560">
        <f t="shared" si="54"/>
        <v>199.8</v>
      </c>
      <c r="AD56" s="560">
        <f t="shared" si="54"/>
        <v>186.14553811073461</v>
      </c>
      <c r="AE56" s="560">
        <f t="shared" si="54"/>
        <v>158.66</v>
      </c>
      <c r="AF56" s="560">
        <f t="shared" si="54"/>
        <v>195.982</v>
      </c>
      <c r="AG56" s="560">
        <f t="shared" si="54"/>
        <v>176.00999999999996</v>
      </c>
      <c r="AH56" s="560">
        <f t="shared" si="54"/>
        <v>165.41555520724489</v>
      </c>
      <c r="AI56" s="560">
        <f t="shared" si="54"/>
        <v>188.64144570176094</v>
      </c>
      <c r="AJ56" s="560">
        <f t="shared" si="54"/>
        <v>197.05315269600976</v>
      </c>
      <c r="AK56" s="560">
        <f t="shared" si="54"/>
        <v>189.23426380712084</v>
      </c>
      <c r="AL56" s="560">
        <f t="shared" si="54"/>
        <v>170.92127053546403</v>
      </c>
      <c r="AM56" s="560">
        <f t="shared" ref="AM56:AN56" si="55">AM59-AM55</f>
        <v>189.23426380712084</v>
      </c>
      <c r="AN56" s="560">
        <f t="shared" si="55"/>
        <v>183.12993271656862</v>
      </c>
      <c r="AO56" s="560">
        <f t="shared" ref="AO56" si="56">AO59-AO55</f>
        <v>189.23426380712084</v>
      </c>
      <c r="AP56" s="73"/>
      <c r="AQ56" s="559"/>
      <c r="AR56" s="74"/>
      <c r="AS56" s="74"/>
      <c r="AT56" s="74"/>
    </row>
    <row r="57" spans="1:46" s="75" customFormat="1">
      <c r="A57" s="556" t="s">
        <v>198</v>
      </c>
      <c r="B57" s="44"/>
      <c r="C57" s="660" t="str">
        <f>C55</f>
        <v>Ability 6rev0_7May'21 (ฉบับแก้ไข)</v>
      </c>
      <c r="D57" s="661"/>
      <c r="E57" s="360"/>
      <c r="F57" s="360"/>
      <c r="G57" s="360"/>
      <c r="H57" s="360"/>
      <c r="I57" s="360"/>
      <c r="J57" s="360"/>
      <c r="K57" s="360"/>
      <c r="L57" s="360"/>
      <c r="M57" s="360"/>
      <c r="N57" s="360"/>
      <c r="O57" s="360"/>
      <c r="P57" s="360"/>
      <c r="Q57" s="218"/>
      <c r="R57" s="218"/>
      <c r="S57" s="218"/>
      <c r="T57" s="218"/>
      <c r="U57" s="218"/>
      <c r="V57" s="218"/>
      <c r="W57" s="218"/>
      <c r="X57" s="218"/>
      <c r="Y57" s="218"/>
      <c r="Z57" s="558">
        <v>38.612364983928693</v>
      </c>
      <c r="AA57" s="558">
        <v>43.169512195121946</v>
      </c>
      <c r="AB57" s="558">
        <v>56.726731707317072</v>
      </c>
      <c r="AC57" s="558">
        <v>71.565375161550747</v>
      </c>
      <c r="AD57" s="558">
        <v>52.03</v>
      </c>
      <c r="AE57" s="558">
        <v>40.92</v>
      </c>
      <c r="AF57" s="558">
        <v>48.05</v>
      </c>
      <c r="AG57" s="558">
        <v>31.740000000000002</v>
      </c>
      <c r="AH57" s="558">
        <v>15</v>
      </c>
      <c r="AI57" s="558">
        <v>39.439024390243901</v>
      </c>
      <c r="AJ57" s="558">
        <v>41.6609756097561</v>
      </c>
      <c r="AK57" s="558">
        <v>41.6609756097561</v>
      </c>
      <c r="AL57" s="558">
        <v>37.629268292682923</v>
      </c>
      <c r="AM57" s="558">
        <v>41.6609756097561</v>
      </c>
      <c r="AN57" s="558">
        <v>40.31707317073171</v>
      </c>
      <c r="AO57" s="558">
        <v>41.6609756097561</v>
      </c>
      <c r="AP57" s="73"/>
      <c r="AQ57" s="559"/>
      <c r="AR57" s="74"/>
      <c r="AS57" s="74"/>
      <c r="AT57" s="74"/>
    </row>
    <row r="58" spans="1:46" s="75" customFormat="1">
      <c r="A58" s="556" t="s">
        <v>199</v>
      </c>
      <c r="B58" s="44"/>
      <c r="C58" s="660" t="str">
        <f>C55</f>
        <v>Ability 6rev0_7May'21 (ฉบับแก้ไข)</v>
      </c>
      <c r="D58" s="661"/>
      <c r="E58" s="360"/>
      <c r="F58" s="360"/>
      <c r="G58" s="360"/>
      <c r="H58" s="360"/>
      <c r="I58" s="360"/>
      <c r="J58" s="360"/>
      <c r="K58" s="360"/>
      <c r="L58" s="360"/>
      <c r="M58" s="360"/>
      <c r="N58" s="360"/>
      <c r="O58" s="360"/>
      <c r="P58" s="360"/>
      <c r="Q58" s="218"/>
      <c r="R58" s="218"/>
      <c r="S58" s="218"/>
      <c r="T58" s="218"/>
      <c r="U58" s="218"/>
      <c r="V58" s="218"/>
      <c r="W58" s="218"/>
      <c r="X58" s="218"/>
      <c r="Y58" s="218"/>
      <c r="Z58" s="558">
        <v>130.2863332715462</v>
      </c>
      <c r="AA58" s="558">
        <v>148.70393375022635</v>
      </c>
      <c r="AB58" s="558">
        <v>123.2011473354232</v>
      </c>
      <c r="AC58" s="558">
        <v>122.08791091068261</v>
      </c>
      <c r="AD58" s="558">
        <v>134.11553811073458</v>
      </c>
      <c r="AE58" s="558">
        <v>117.74</v>
      </c>
      <c r="AF58" s="558">
        <v>147.93200000000002</v>
      </c>
      <c r="AG58" s="558">
        <v>144.26999999999998</v>
      </c>
      <c r="AH58" s="558">
        <v>150.41555520724489</v>
      </c>
      <c r="AI58" s="558">
        <v>149.20242131151704</v>
      </c>
      <c r="AJ58" s="558">
        <v>155.39217708625364</v>
      </c>
      <c r="AK58" s="558">
        <v>147.57328819736477</v>
      </c>
      <c r="AL58" s="558">
        <v>133.29200224278111</v>
      </c>
      <c r="AM58" s="558">
        <v>147.57328819736477</v>
      </c>
      <c r="AN58" s="558">
        <v>142.81285954583689</v>
      </c>
      <c r="AO58" s="558">
        <v>147.57328819736477</v>
      </c>
      <c r="AP58" s="73"/>
      <c r="AQ58" s="74"/>
      <c r="AR58" s="74"/>
      <c r="AS58" s="74"/>
      <c r="AT58" s="74"/>
    </row>
    <row r="59" spans="1:46" s="3" customFormat="1">
      <c r="A59" s="43" t="s">
        <v>132</v>
      </c>
      <c r="B59" s="44"/>
      <c r="C59" s="640" t="str">
        <f>C55</f>
        <v>Ability 6rev0_7May'21 (ฉบับแก้ไข)</v>
      </c>
      <c r="D59" s="641"/>
      <c r="E59" s="362">
        <v>290.613</v>
      </c>
      <c r="F59" s="117">
        <v>302.52800000000002</v>
      </c>
      <c r="G59" s="117">
        <v>320.20999999999998</v>
      </c>
      <c r="H59" s="69">
        <v>318.428</v>
      </c>
      <c r="I59" s="69">
        <v>304.23599999999999</v>
      </c>
      <c r="J59" s="218">
        <v>311</v>
      </c>
      <c r="K59" s="218">
        <v>316.3</v>
      </c>
      <c r="L59" s="258">
        <v>308.76</v>
      </c>
      <c r="M59" s="218">
        <v>274.16699999999997</v>
      </c>
      <c r="N59" s="218">
        <v>269</v>
      </c>
      <c r="O59" s="218">
        <v>299.5</v>
      </c>
      <c r="P59" s="340">
        <v>248.80099999999999</v>
      </c>
      <c r="Q59" s="218">
        <v>225</v>
      </c>
      <c r="R59" s="218">
        <v>238.5</v>
      </c>
      <c r="S59" s="218">
        <f>251.608-1</f>
        <v>250.608</v>
      </c>
      <c r="T59" s="218">
        <v>270.3</v>
      </c>
      <c r="U59" s="218">
        <v>276</v>
      </c>
      <c r="V59" s="218">
        <v>279.80200000000002</v>
      </c>
      <c r="W59" s="218">
        <v>255.7</v>
      </c>
      <c r="X59" s="258">
        <v>267.7</v>
      </c>
      <c r="Y59" s="218">
        <v>277.40185793868551</v>
      </c>
      <c r="Z59" s="218">
        <v>254.34023227435031</v>
      </c>
      <c r="AA59" s="218">
        <f>286-1</f>
        <v>285</v>
      </c>
      <c r="AB59" s="218">
        <v>264.5</v>
      </c>
      <c r="AC59" s="218">
        <v>288.8</v>
      </c>
      <c r="AD59" s="218">
        <v>278.39553811073461</v>
      </c>
      <c r="AE59" s="218">
        <v>211.01</v>
      </c>
      <c r="AF59" s="218">
        <v>293.26</v>
      </c>
      <c r="AG59" s="218">
        <v>267.83999999999997</v>
      </c>
      <c r="AH59" s="218">
        <v>255.34478840125394</v>
      </c>
      <c r="AI59" s="218">
        <v>280.23456112852654</v>
      </c>
      <c r="AJ59" s="218">
        <v>290.94568965517243</v>
      </c>
      <c r="AK59" s="218">
        <v>281.64568965517242</v>
      </c>
      <c r="AL59" s="218">
        <v>254.38965517241382</v>
      </c>
      <c r="AM59" s="218">
        <v>281.64568965517242</v>
      </c>
      <c r="AN59" s="218">
        <v>272.56034482758628</v>
      </c>
      <c r="AO59" s="218">
        <v>281.64568965517242</v>
      </c>
      <c r="AP59" s="38"/>
      <c r="AQ59" s="434">
        <f>SUM(Y59:AJ59)</f>
        <v>3247.072667508723</v>
      </c>
      <c r="AR59" s="31"/>
      <c r="AS59" s="31"/>
      <c r="AT59" s="31"/>
    </row>
    <row r="60" spans="1:46" s="3" customFormat="1">
      <c r="A60" s="43" t="s">
        <v>28</v>
      </c>
      <c r="B60" s="44"/>
      <c r="C60" s="642">
        <v>44327</v>
      </c>
      <c r="D60" s="649"/>
      <c r="E60" s="362"/>
      <c r="F60" s="117"/>
      <c r="G60" s="117"/>
      <c r="H60" s="69"/>
      <c r="I60" s="69"/>
      <c r="J60" s="218"/>
      <c r="K60" s="218"/>
      <c r="L60" s="258"/>
      <c r="M60" s="218"/>
      <c r="N60" s="218"/>
      <c r="O60" s="322">
        <v>0.68</v>
      </c>
      <c r="P60" s="319">
        <v>0.7</v>
      </c>
      <c r="Q60" s="319">
        <v>0.6</v>
      </c>
      <c r="R60" s="319">
        <v>0</v>
      </c>
      <c r="S60" s="319">
        <v>0.6</v>
      </c>
      <c r="T60" s="322">
        <v>0.6</v>
      </c>
      <c r="U60" s="322">
        <v>1.2</v>
      </c>
      <c r="V60" s="451">
        <v>0</v>
      </c>
      <c r="W60" s="451">
        <v>0.6</v>
      </c>
      <c r="X60" s="319">
        <v>1.88</v>
      </c>
      <c r="Y60" s="466">
        <v>0</v>
      </c>
      <c r="Z60" s="534">
        <v>2.4</v>
      </c>
      <c r="AA60" s="516">
        <v>1.2</v>
      </c>
      <c r="AB60" s="516">
        <v>1.2</v>
      </c>
      <c r="AC60" s="516">
        <v>1.2</v>
      </c>
      <c r="AD60" s="516">
        <v>1.2</v>
      </c>
      <c r="AE60" s="516">
        <v>0</v>
      </c>
      <c r="AF60" s="516">
        <v>1.2</v>
      </c>
      <c r="AG60" s="516">
        <v>1.2</v>
      </c>
      <c r="AH60" s="516">
        <v>1.2</v>
      </c>
      <c r="AI60" s="516">
        <v>1.2</v>
      </c>
      <c r="AJ60" s="516">
        <v>1.2</v>
      </c>
      <c r="AK60" s="517">
        <v>0</v>
      </c>
      <c r="AL60" s="517">
        <v>0</v>
      </c>
      <c r="AM60" s="517">
        <v>0</v>
      </c>
      <c r="AN60" s="517">
        <v>0</v>
      </c>
      <c r="AO60" s="517">
        <v>0</v>
      </c>
      <c r="AP60" s="38"/>
      <c r="AQ60" s="31"/>
      <c r="AR60" s="31"/>
      <c r="AS60" s="31"/>
      <c r="AT60" s="31"/>
    </row>
    <row r="61" spans="1:46">
      <c r="A61" s="43" t="s">
        <v>0</v>
      </c>
      <c r="B61" s="44"/>
      <c r="C61" s="642">
        <v>44327</v>
      </c>
      <c r="D61" s="649"/>
      <c r="E61" s="70">
        <v>15.573</v>
      </c>
      <c r="F61" s="93">
        <v>16</v>
      </c>
      <c r="G61" s="70">
        <v>21</v>
      </c>
      <c r="H61" s="93">
        <v>25</v>
      </c>
      <c r="I61" s="93">
        <v>25</v>
      </c>
      <c r="J61" s="93">
        <v>22</v>
      </c>
      <c r="K61" s="219">
        <v>23</v>
      </c>
      <c r="L61" s="219">
        <v>25</v>
      </c>
      <c r="M61" s="218">
        <f>23-3</f>
        <v>20</v>
      </c>
      <c r="N61" s="268">
        <v>18</v>
      </c>
      <c r="O61" s="258">
        <v>7</v>
      </c>
      <c r="P61" s="258">
        <v>2</v>
      </c>
      <c r="Q61" s="220">
        <v>6</v>
      </c>
      <c r="R61" s="220">
        <v>0</v>
      </c>
      <c r="S61" s="256">
        <v>4</v>
      </c>
      <c r="T61" s="256">
        <v>1.2</v>
      </c>
      <c r="U61" s="256">
        <v>0</v>
      </c>
      <c r="V61" s="256">
        <v>0</v>
      </c>
      <c r="W61" s="255">
        <v>13</v>
      </c>
      <c r="X61" s="255">
        <v>11.6</v>
      </c>
      <c r="Y61" s="255">
        <v>19</v>
      </c>
      <c r="Z61" s="255">
        <f>3+12</f>
        <v>15</v>
      </c>
      <c r="AA61" s="256">
        <v>0</v>
      </c>
      <c r="AB61" s="256">
        <v>2</v>
      </c>
      <c r="AC61" s="256">
        <v>0</v>
      </c>
      <c r="AD61" s="256">
        <v>0</v>
      </c>
      <c r="AE61" s="256">
        <v>0</v>
      </c>
      <c r="AF61" s="256">
        <v>0</v>
      </c>
      <c r="AG61" s="256">
        <v>0</v>
      </c>
      <c r="AH61" s="256">
        <v>0</v>
      </c>
      <c r="AI61" s="256">
        <v>0</v>
      </c>
      <c r="AJ61" s="256">
        <v>0</v>
      </c>
      <c r="AK61" s="256">
        <v>0</v>
      </c>
      <c r="AL61" s="256">
        <v>0</v>
      </c>
      <c r="AM61" s="256">
        <v>0</v>
      </c>
      <c r="AN61" s="256">
        <v>0</v>
      </c>
      <c r="AO61" s="256">
        <v>0</v>
      </c>
      <c r="AP61" s="38"/>
      <c r="AQ61" s="31"/>
      <c r="AR61" s="31"/>
      <c r="AS61" s="31"/>
      <c r="AT61" s="31"/>
    </row>
    <row r="62" spans="1:46">
      <c r="A62" s="43" t="s">
        <v>1</v>
      </c>
      <c r="B62" s="44"/>
      <c r="C62" s="642">
        <v>44327</v>
      </c>
      <c r="D62" s="649"/>
      <c r="E62" s="70">
        <v>8.4</v>
      </c>
      <c r="F62" s="70">
        <v>6.2</v>
      </c>
      <c r="G62" s="93">
        <v>7.2</v>
      </c>
      <c r="H62" s="224">
        <v>7.2</v>
      </c>
      <c r="I62" s="93">
        <v>7.4</v>
      </c>
      <c r="J62" s="93">
        <v>6.7</v>
      </c>
      <c r="K62" s="256">
        <v>0</v>
      </c>
      <c r="L62" s="259">
        <v>3.96</v>
      </c>
      <c r="M62" s="256">
        <v>6.37</v>
      </c>
      <c r="N62" s="256">
        <v>6.1</v>
      </c>
      <c r="O62" s="256">
        <v>6.4799999999999995</v>
      </c>
      <c r="P62" s="256">
        <v>4.3</v>
      </c>
      <c r="Q62" s="256">
        <v>3</v>
      </c>
      <c r="R62" s="256">
        <v>3</v>
      </c>
      <c r="S62" s="256">
        <v>3.5</v>
      </c>
      <c r="T62" s="256">
        <v>3</v>
      </c>
      <c r="U62" s="255">
        <v>3.6</v>
      </c>
      <c r="V62" s="255">
        <f>8.06-2+0.7</f>
        <v>6.7600000000000007</v>
      </c>
      <c r="W62" s="255">
        <v>6.06</v>
      </c>
      <c r="X62" s="259">
        <v>6.67</v>
      </c>
      <c r="Y62" s="259">
        <v>8.3699999999999992</v>
      </c>
      <c r="Z62" s="259">
        <f>6.48+0.6+0.6</f>
        <v>7.68</v>
      </c>
      <c r="AA62" s="259">
        <v>6.63</v>
      </c>
      <c r="AB62" s="256">
        <v>5.73</v>
      </c>
      <c r="AC62" s="255">
        <v>5.76</v>
      </c>
      <c r="AD62" s="256">
        <v>5.78</v>
      </c>
      <c r="AE62" s="256">
        <v>6.12</v>
      </c>
      <c r="AF62" s="256">
        <v>6.12</v>
      </c>
      <c r="AG62" s="256">
        <v>6.12</v>
      </c>
      <c r="AH62" s="256">
        <v>6.12</v>
      </c>
      <c r="AI62" s="256">
        <v>6.12</v>
      </c>
      <c r="AJ62" s="256">
        <v>6.12</v>
      </c>
      <c r="AK62" s="256">
        <v>6.12</v>
      </c>
      <c r="AL62" s="256">
        <v>6.12</v>
      </c>
      <c r="AM62" s="256">
        <v>6.12</v>
      </c>
      <c r="AN62" s="256">
        <v>6.12</v>
      </c>
      <c r="AO62" s="256">
        <v>6.12</v>
      </c>
      <c r="AP62" s="38"/>
      <c r="AQ62" s="31"/>
      <c r="AR62" s="31"/>
      <c r="AS62" s="31"/>
      <c r="AT62" s="31"/>
    </row>
    <row r="63" spans="1:46">
      <c r="A63" s="43" t="s">
        <v>27</v>
      </c>
      <c r="B63" s="44"/>
      <c r="C63" s="642">
        <v>44327</v>
      </c>
      <c r="D63" s="649"/>
      <c r="E63" s="70">
        <v>5.89</v>
      </c>
      <c r="F63" s="70">
        <v>6.22</v>
      </c>
      <c r="G63" s="70">
        <v>5.89</v>
      </c>
      <c r="H63" s="70">
        <v>6.05</v>
      </c>
      <c r="I63" s="70">
        <v>5.85</v>
      </c>
      <c r="J63" s="70">
        <v>6.05</v>
      </c>
      <c r="K63" s="255">
        <v>6.7</v>
      </c>
      <c r="L63" s="256">
        <v>6.05</v>
      </c>
      <c r="M63" s="256">
        <v>6.2</v>
      </c>
      <c r="N63" s="256">
        <v>5.66</v>
      </c>
      <c r="O63" s="256">
        <v>6.0449999999999999</v>
      </c>
      <c r="P63" s="256">
        <v>5.85</v>
      </c>
      <c r="Q63" s="256">
        <v>4.5999999999999996</v>
      </c>
      <c r="R63" s="256">
        <v>5.7</v>
      </c>
      <c r="S63" s="256">
        <v>5.7</v>
      </c>
      <c r="T63" s="256">
        <v>5.68</v>
      </c>
      <c r="U63" s="256">
        <v>5.4</v>
      </c>
      <c r="V63" s="259">
        <v>5.8</v>
      </c>
      <c r="W63" s="259">
        <v>5.4</v>
      </c>
      <c r="X63" s="259">
        <v>5.58</v>
      </c>
      <c r="Y63" s="259">
        <v>5.4870000000000001</v>
      </c>
      <c r="Z63" s="259">
        <v>5.32</v>
      </c>
      <c r="AA63" s="259">
        <v>5.74</v>
      </c>
      <c r="AB63" s="256">
        <v>5.8220000000000001</v>
      </c>
      <c r="AC63" s="256">
        <v>5.7350000000000003</v>
      </c>
      <c r="AD63" s="256">
        <v>5.55</v>
      </c>
      <c r="AE63" s="256">
        <v>5.7350000000000003</v>
      </c>
      <c r="AF63" s="256">
        <v>5.7350000000000003</v>
      </c>
      <c r="AG63" s="256">
        <v>5.55</v>
      </c>
      <c r="AH63" s="256">
        <v>5.7350000000000003</v>
      </c>
      <c r="AI63" s="256">
        <v>5.7350000000000003</v>
      </c>
      <c r="AJ63" s="256">
        <v>5.7350000000000003</v>
      </c>
      <c r="AK63" s="256">
        <v>5.7350000000000003</v>
      </c>
      <c r="AL63" s="256">
        <v>5.7350000000000003</v>
      </c>
      <c r="AM63" s="256">
        <v>5.7350000000000003</v>
      </c>
      <c r="AN63" s="256">
        <v>5.7350000000000003</v>
      </c>
      <c r="AO63" s="256">
        <v>5.7350000000000003</v>
      </c>
      <c r="AP63" s="38"/>
      <c r="AQ63" s="31"/>
      <c r="AR63" s="31"/>
      <c r="AS63" s="31"/>
      <c r="AT63" s="31"/>
    </row>
    <row r="64" spans="1:46" ht="15" thickBot="1">
      <c r="A64" s="51" t="s">
        <v>5</v>
      </c>
      <c r="B64" s="52"/>
      <c r="C64" s="643">
        <v>44321</v>
      </c>
      <c r="D64" s="659"/>
      <c r="E64" s="70">
        <v>15.6</v>
      </c>
      <c r="F64" s="70">
        <v>16.100000000000001</v>
      </c>
      <c r="G64" s="70">
        <v>16.027000000000001</v>
      </c>
      <c r="H64" s="70">
        <v>14</v>
      </c>
      <c r="I64" s="70">
        <v>15.45</v>
      </c>
      <c r="J64" s="70">
        <v>10.85</v>
      </c>
      <c r="K64" s="220">
        <v>13.15</v>
      </c>
      <c r="L64" s="220">
        <v>13.26</v>
      </c>
      <c r="M64" s="220">
        <v>17</v>
      </c>
      <c r="N64" s="220">
        <v>17.5</v>
      </c>
      <c r="O64" s="220">
        <v>15</v>
      </c>
      <c r="P64" s="256">
        <v>16.5</v>
      </c>
      <c r="Q64" s="220">
        <v>15</v>
      </c>
      <c r="R64" s="256">
        <v>14.5</v>
      </c>
      <c r="S64" s="256">
        <v>15.5</v>
      </c>
      <c r="T64" s="256">
        <v>13.04</v>
      </c>
      <c r="U64" s="256">
        <v>17.2</v>
      </c>
      <c r="V64" s="255">
        <v>15.83</v>
      </c>
      <c r="W64" s="256">
        <v>16.2</v>
      </c>
      <c r="X64" s="259">
        <v>15.4</v>
      </c>
      <c r="Y64" s="255">
        <v>11</v>
      </c>
      <c r="Z64" s="259">
        <v>6.72</v>
      </c>
      <c r="AA64" s="259">
        <v>13.5</v>
      </c>
      <c r="AB64" s="259">
        <v>15</v>
      </c>
      <c r="AC64" s="259">
        <v>15.5</v>
      </c>
      <c r="AD64" s="259">
        <v>13.95</v>
      </c>
      <c r="AE64" s="259">
        <v>8.99</v>
      </c>
      <c r="AF64" s="259">
        <v>14.66</v>
      </c>
      <c r="AG64" s="259">
        <v>15</v>
      </c>
      <c r="AH64" s="259">
        <v>15.5</v>
      </c>
      <c r="AI64" s="259">
        <v>15</v>
      </c>
      <c r="AJ64" s="259">
        <v>15.08</v>
      </c>
      <c r="AK64" s="259">
        <v>14.87</v>
      </c>
      <c r="AL64" s="259">
        <v>14</v>
      </c>
      <c r="AM64" s="259">
        <v>15.5</v>
      </c>
      <c r="AN64" s="259">
        <v>15</v>
      </c>
      <c r="AO64" s="259">
        <v>15.5</v>
      </c>
      <c r="AP64" s="31"/>
      <c r="AQ64" s="31"/>
      <c r="AR64" s="31"/>
      <c r="AS64" s="31"/>
      <c r="AT64" s="31"/>
    </row>
    <row r="65" spans="1:46" ht="15" thickBot="1">
      <c r="A65" s="645" t="s">
        <v>31</v>
      </c>
      <c r="B65" s="646"/>
      <c r="C65" s="646"/>
      <c r="D65" s="646"/>
      <c r="E65" s="59">
        <f>SUM(E59:E64)</f>
        <v>336.07599999999996</v>
      </c>
      <c r="F65" s="60">
        <f t="shared" ref="F65:Y65" si="57">SUM(F59:F64)</f>
        <v>347.04800000000006</v>
      </c>
      <c r="G65" s="60">
        <f t="shared" si="57"/>
        <v>370.32699999999994</v>
      </c>
      <c r="H65" s="60">
        <f t="shared" si="57"/>
        <v>370.678</v>
      </c>
      <c r="I65" s="60">
        <f t="shared" si="57"/>
        <v>357.93599999999998</v>
      </c>
      <c r="J65" s="60">
        <f t="shared" si="57"/>
        <v>356.6</v>
      </c>
      <c r="K65" s="60">
        <f t="shared" si="57"/>
        <v>359.15</v>
      </c>
      <c r="L65" s="60">
        <f t="shared" si="57"/>
        <v>357.03</v>
      </c>
      <c r="M65" s="60">
        <f t="shared" si="57"/>
        <v>323.73699999999997</v>
      </c>
      <c r="N65" s="60">
        <f t="shared" si="57"/>
        <v>316.26000000000005</v>
      </c>
      <c r="O65" s="60">
        <f t="shared" si="57"/>
        <v>334.70500000000004</v>
      </c>
      <c r="P65" s="60">
        <f t="shared" si="57"/>
        <v>278.15100000000001</v>
      </c>
      <c r="Q65" s="60">
        <f t="shared" si="57"/>
        <v>254.2</v>
      </c>
      <c r="R65" s="60">
        <f t="shared" si="57"/>
        <v>261.7</v>
      </c>
      <c r="S65" s="60">
        <f>SUM(S59:S64)</f>
        <v>279.90799999999996</v>
      </c>
      <c r="T65" s="60">
        <f>SUM(T59:T64)</f>
        <v>293.82000000000005</v>
      </c>
      <c r="U65" s="60">
        <f>SUM(U59:U64)</f>
        <v>303.39999999999998</v>
      </c>
      <c r="V65" s="60">
        <f t="shared" si="57"/>
        <v>308.19200000000001</v>
      </c>
      <c r="W65" s="60">
        <f t="shared" si="57"/>
        <v>296.95999999999998</v>
      </c>
      <c r="X65" s="60">
        <f t="shared" si="57"/>
        <v>308.83</v>
      </c>
      <c r="Y65" s="60">
        <f t="shared" si="57"/>
        <v>321.25885793868554</v>
      </c>
      <c r="Z65" s="60">
        <f t="shared" ref="Z65:AE65" si="58">SUM(Z59:Z64)</f>
        <v>291.46023227435035</v>
      </c>
      <c r="AA65" s="60">
        <f t="shared" si="58"/>
        <v>312.07</v>
      </c>
      <c r="AB65" s="60">
        <f t="shared" si="58"/>
        <v>294.25200000000001</v>
      </c>
      <c r="AC65" s="60">
        <f t="shared" si="58"/>
        <v>316.995</v>
      </c>
      <c r="AD65" s="60">
        <f t="shared" si="58"/>
        <v>304.87553811073457</v>
      </c>
      <c r="AE65" s="60">
        <f t="shared" si="58"/>
        <v>231.85500000000002</v>
      </c>
      <c r="AF65" s="60">
        <f t="shared" ref="AF65:AK65" si="59">SUM(AF59:AF64)</f>
        <v>320.97500000000002</v>
      </c>
      <c r="AG65" s="60">
        <f t="shared" si="59"/>
        <v>295.70999999999998</v>
      </c>
      <c r="AH65" s="60">
        <f t="shared" si="59"/>
        <v>283.89978840125394</v>
      </c>
      <c r="AI65" s="60">
        <f t="shared" si="59"/>
        <v>308.28956112852654</v>
      </c>
      <c r="AJ65" s="60">
        <f t="shared" si="59"/>
        <v>319.08068965517242</v>
      </c>
      <c r="AK65" s="60">
        <f t="shared" si="59"/>
        <v>308.37068965517244</v>
      </c>
      <c r="AL65" s="60">
        <f t="shared" ref="AL65:AM65" si="60">SUM(AL59:AL64)</f>
        <v>280.24465517241384</v>
      </c>
      <c r="AM65" s="60">
        <f t="shared" si="60"/>
        <v>309.00068965517244</v>
      </c>
      <c r="AN65" s="60">
        <f t="shared" ref="AN65:AO65" si="61">SUM(AN59:AN64)</f>
        <v>299.4153448275863</v>
      </c>
      <c r="AO65" s="60">
        <f t="shared" si="61"/>
        <v>309.00068965517244</v>
      </c>
      <c r="AP65" s="38"/>
      <c r="AQ65" s="31"/>
      <c r="AR65" s="31"/>
      <c r="AS65" s="31"/>
      <c r="AT65" s="31"/>
    </row>
    <row r="66" spans="1:46" ht="15" thickBot="1">
      <c r="A66" s="40" t="s">
        <v>42</v>
      </c>
      <c r="B66" s="30"/>
      <c r="C66" s="31"/>
      <c r="D66" s="31"/>
      <c r="E66" s="31"/>
      <c r="F66" s="31"/>
      <c r="G66" s="31"/>
      <c r="H66" s="31"/>
      <c r="I66" s="31"/>
      <c r="J66" s="31"/>
      <c r="K66" s="31"/>
      <c r="L66" s="31"/>
      <c r="M66" s="31"/>
      <c r="N66" s="31"/>
      <c r="O66" s="31"/>
      <c r="P66" s="348"/>
      <c r="Q66" s="348"/>
      <c r="R66" s="348"/>
      <c r="S66" s="348"/>
      <c r="T66" s="348"/>
      <c r="U66" s="348"/>
      <c r="V66" s="348"/>
      <c r="W66" s="348">
        <v>25</v>
      </c>
      <c r="X66" s="348">
        <v>9</v>
      </c>
      <c r="Y66" s="348"/>
      <c r="Z66" s="348"/>
      <c r="AA66" s="348"/>
      <c r="AB66" s="348"/>
      <c r="AC66" s="348"/>
      <c r="AD66" s="348"/>
      <c r="AE66" s="348"/>
      <c r="AF66" s="348"/>
      <c r="AG66" s="348"/>
      <c r="AH66" s="348"/>
      <c r="AI66" s="348"/>
      <c r="AJ66" s="348"/>
      <c r="AK66" s="348"/>
      <c r="AL66" s="348"/>
      <c r="AM66" s="348"/>
      <c r="AN66" s="348"/>
      <c r="AO66" s="348"/>
      <c r="AP66" s="31"/>
      <c r="AQ66" s="31"/>
      <c r="AR66" s="31"/>
      <c r="AS66" s="31"/>
      <c r="AT66" s="31"/>
    </row>
    <row r="67" spans="1:46" s="75" customFormat="1" ht="15" thickBot="1">
      <c r="A67" s="647" t="s">
        <v>32</v>
      </c>
      <c r="B67" s="648"/>
      <c r="C67" s="648" t="s">
        <v>33</v>
      </c>
      <c r="D67" s="648"/>
      <c r="E67" s="79">
        <f t="shared" ref="E67:AL67" si="62">E3</f>
        <v>43587</v>
      </c>
      <c r="F67" s="80">
        <f t="shared" si="62"/>
        <v>43618</v>
      </c>
      <c r="G67" s="80">
        <f t="shared" si="62"/>
        <v>43648</v>
      </c>
      <c r="H67" s="80">
        <f t="shared" si="62"/>
        <v>43679</v>
      </c>
      <c r="I67" s="80">
        <f t="shared" si="62"/>
        <v>43710</v>
      </c>
      <c r="J67" s="80">
        <f t="shared" si="62"/>
        <v>43740</v>
      </c>
      <c r="K67" s="80">
        <f t="shared" si="62"/>
        <v>43771</v>
      </c>
      <c r="L67" s="80">
        <f t="shared" si="62"/>
        <v>43801</v>
      </c>
      <c r="M67" s="80">
        <f t="shared" si="62"/>
        <v>43832</v>
      </c>
      <c r="N67" s="80">
        <f t="shared" si="62"/>
        <v>43863</v>
      </c>
      <c r="O67" s="80">
        <f t="shared" si="62"/>
        <v>43892</v>
      </c>
      <c r="P67" s="80">
        <f t="shared" si="62"/>
        <v>43923</v>
      </c>
      <c r="Q67" s="80">
        <f t="shared" si="62"/>
        <v>43953</v>
      </c>
      <c r="R67" s="80">
        <f t="shared" si="62"/>
        <v>43984</v>
      </c>
      <c r="S67" s="80">
        <f t="shared" si="62"/>
        <v>44014</v>
      </c>
      <c r="T67" s="80">
        <f t="shared" si="62"/>
        <v>44045</v>
      </c>
      <c r="U67" s="80">
        <f t="shared" si="62"/>
        <v>44076</v>
      </c>
      <c r="V67" s="80">
        <f t="shared" si="62"/>
        <v>44106</v>
      </c>
      <c r="W67" s="80">
        <f t="shared" si="62"/>
        <v>44137</v>
      </c>
      <c r="X67" s="80">
        <f t="shared" si="62"/>
        <v>44167</v>
      </c>
      <c r="Y67" s="80">
        <f t="shared" si="62"/>
        <v>44198</v>
      </c>
      <c r="Z67" s="80">
        <f t="shared" si="62"/>
        <v>44229</v>
      </c>
      <c r="AA67" s="80">
        <f t="shared" si="62"/>
        <v>44257</v>
      </c>
      <c r="AB67" s="80">
        <f t="shared" si="62"/>
        <v>44288</v>
      </c>
      <c r="AC67" s="80">
        <f t="shared" si="62"/>
        <v>44318</v>
      </c>
      <c r="AD67" s="80">
        <f t="shared" si="62"/>
        <v>44349</v>
      </c>
      <c r="AE67" s="80">
        <f t="shared" si="62"/>
        <v>44379</v>
      </c>
      <c r="AF67" s="80">
        <f t="shared" si="62"/>
        <v>44410</v>
      </c>
      <c r="AG67" s="80">
        <f t="shared" si="62"/>
        <v>44441</v>
      </c>
      <c r="AH67" s="80">
        <f t="shared" si="62"/>
        <v>44471</v>
      </c>
      <c r="AI67" s="80">
        <f t="shared" si="62"/>
        <v>44502</v>
      </c>
      <c r="AJ67" s="80">
        <f t="shared" si="62"/>
        <v>44532</v>
      </c>
      <c r="AK67" s="80">
        <f t="shared" si="62"/>
        <v>44563</v>
      </c>
      <c r="AL67" s="80">
        <f t="shared" si="62"/>
        <v>44594</v>
      </c>
      <c r="AM67" s="80">
        <f t="shared" ref="AM67:AN67" si="63">AM3</f>
        <v>44622</v>
      </c>
      <c r="AN67" s="80">
        <f t="shared" si="63"/>
        <v>44653</v>
      </c>
      <c r="AO67" s="80">
        <f t="shared" ref="AO67" si="64">AO3</f>
        <v>44683</v>
      </c>
      <c r="AP67" s="73"/>
      <c r="AQ67" s="74"/>
      <c r="AR67" s="74"/>
      <c r="AS67" s="74"/>
      <c r="AT67" s="74"/>
    </row>
    <row r="68" spans="1:46" s="75" customFormat="1" ht="15" thickBot="1">
      <c r="A68" s="41" t="s">
        <v>133</v>
      </c>
      <c r="B68" s="42"/>
      <c r="C68" s="654"/>
      <c r="D68" s="655"/>
      <c r="E68" s="79"/>
      <c r="F68" s="80"/>
      <c r="G68" s="80"/>
      <c r="H68" s="80"/>
      <c r="I68" s="80"/>
      <c r="J68" s="80"/>
      <c r="K68" s="80"/>
      <c r="L68" s="80"/>
      <c r="M68" s="80"/>
      <c r="N68" s="80"/>
      <c r="O68" s="80"/>
      <c r="P68" s="80"/>
      <c r="Q68" s="66">
        <f t="shared" ref="Q68:AD68" si="65">Q55-Q42</f>
        <v>0</v>
      </c>
      <c r="R68" s="66">
        <f t="shared" si="65"/>
        <v>-0.53409090909087809</v>
      </c>
      <c r="S68" s="66">
        <f t="shared" si="65"/>
        <v>0.35240909090906314</v>
      </c>
      <c r="T68" s="66">
        <f t="shared" si="65"/>
        <v>0.76000000000000512</v>
      </c>
      <c r="U68" s="66">
        <f t="shared" si="65"/>
        <v>0</v>
      </c>
      <c r="V68" s="66">
        <f t="shared" si="65"/>
        <v>0.8960000000000008</v>
      </c>
      <c r="W68" s="66">
        <f t="shared" si="65"/>
        <v>1.8689999999999998</v>
      </c>
      <c r="X68" s="66">
        <f t="shared" si="65"/>
        <v>5.5799999999999983</v>
      </c>
      <c r="Y68" s="66">
        <f t="shared" si="65"/>
        <v>-0.51461927084508829</v>
      </c>
      <c r="Z68" s="66">
        <f t="shared" si="65"/>
        <v>2.4733540685734425</v>
      </c>
      <c r="AA68" s="66">
        <f t="shared" si="65"/>
        <v>1.3666768101536775</v>
      </c>
      <c r="AB68" s="66">
        <f t="shared" si="65"/>
        <v>-5.5052059025918965</v>
      </c>
      <c r="AC68" s="66">
        <f t="shared" si="65"/>
        <v>-6</v>
      </c>
      <c r="AD68" s="66">
        <f t="shared" si="65"/>
        <v>-1.8900000000000006</v>
      </c>
      <c r="AE68" s="66">
        <f t="shared" ref="AE68:AK69" si="66">AE55-AE42</f>
        <v>-1.9636363636337251E-3</v>
      </c>
      <c r="AF68" s="66">
        <f t="shared" si="66"/>
        <v>0</v>
      </c>
      <c r="AG68" s="66">
        <f t="shared" si="66"/>
        <v>1.4000000000000057</v>
      </c>
      <c r="AH68" s="66">
        <f t="shared" si="66"/>
        <v>7.7000000000000028</v>
      </c>
      <c r="AI68" s="66">
        <f t="shared" si="66"/>
        <v>0</v>
      </c>
      <c r="AJ68" s="66">
        <f t="shared" si="66"/>
        <v>0</v>
      </c>
      <c r="AK68" s="66">
        <f t="shared" si="66"/>
        <v>-1.4811111111111046</v>
      </c>
      <c r="AL68" s="66">
        <f t="shared" ref="AL68:AM68" si="67">AL55-AL42</f>
        <v>-1.3377777777777879</v>
      </c>
      <c r="AM68" s="66">
        <f t="shared" si="67"/>
        <v>-1.4811111111111046</v>
      </c>
      <c r="AN68" s="66">
        <f t="shared" ref="AN68:AO68" si="68">AN55-AN42</f>
        <v>-1.4333333333333371</v>
      </c>
      <c r="AO68" s="66">
        <f t="shared" si="68"/>
        <v>1.547680403700582</v>
      </c>
      <c r="AP68" s="73"/>
      <c r="AQ68" s="74"/>
      <c r="AR68" s="74"/>
      <c r="AS68" s="74"/>
      <c r="AT68" s="74"/>
    </row>
    <row r="69" spans="1:46" s="75" customFormat="1" ht="15" thickBot="1">
      <c r="A69" s="43" t="s">
        <v>134</v>
      </c>
      <c r="B69" s="44"/>
      <c r="C69" s="640"/>
      <c r="D69" s="641"/>
      <c r="E69" s="79"/>
      <c r="F69" s="80"/>
      <c r="G69" s="80"/>
      <c r="H69" s="80"/>
      <c r="I69" s="80"/>
      <c r="J69" s="80"/>
      <c r="K69" s="80"/>
      <c r="L69" s="80"/>
      <c r="M69" s="80"/>
      <c r="N69" s="80"/>
      <c r="O69" s="80"/>
      <c r="P69" s="80"/>
      <c r="Q69" s="65">
        <f t="shared" ref="Q69:AD69" si="69">Q56-Q43</f>
        <v>0</v>
      </c>
      <c r="R69" s="65">
        <f t="shared" si="69"/>
        <v>-1.0589090909091112</v>
      </c>
      <c r="S69" s="65">
        <f t="shared" si="69"/>
        <v>-1.0878876727270779</v>
      </c>
      <c r="T69" s="65">
        <f t="shared" si="69"/>
        <v>-1.3999999999999773</v>
      </c>
      <c r="U69" s="65">
        <f t="shared" si="69"/>
        <v>0</v>
      </c>
      <c r="V69" s="65">
        <f t="shared" si="69"/>
        <v>-9.4899999999999807</v>
      </c>
      <c r="W69" s="65">
        <f t="shared" si="69"/>
        <v>1.6589999999999918</v>
      </c>
      <c r="X69" s="65">
        <f t="shared" si="69"/>
        <v>23.974999999999966</v>
      </c>
      <c r="Y69" s="65">
        <f t="shared" si="69"/>
        <v>0.63147720953054431</v>
      </c>
      <c r="Z69" s="65">
        <f t="shared" si="69"/>
        <v>5.8668782057768567</v>
      </c>
      <c r="AA69" s="65">
        <f t="shared" si="69"/>
        <v>-1.8815558949461035</v>
      </c>
      <c r="AB69" s="65">
        <f t="shared" si="69"/>
        <v>-5.5529557300557428</v>
      </c>
      <c r="AC69" s="65">
        <f t="shared" si="69"/>
        <v>7.6469999999999914</v>
      </c>
      <c r="AD69" s="65">
        <f t="shared" si="69"/>
        <v>2.7282927394077774</v>
      </c>
      <c r="AE69" s="65">
        <f t="shared" si="66"/>
        <v>1.2384636363636048</v>
      </c>
      <c r="AF69" s="65">
        <f t="shared" si="66"/>
        <v>-0.31000000000000227</v>
      </c>
      <c r="AG69" s="65">
        <f t="shared" si="66"/>
        <v>-5.5100000000000193</v>
      </c>
      <c r="AH69" s="65">
        <f t="shared" si="66"/>
        <v>-7.6999999999999886</v>
      </c>
      <c r="AI69" s="65">
        <f t="shared" si="66"/>
        <v>0</v>
      </c>
      <c r="AJ69" s="65">
        <f t="shared" si="66"/>
        <v>0</v>
      </c>
      <c r="AK69" s="65">
        <f t="shared" si="66"/>
        <v>-3.1688888888888869</v>
      </c>
      <c r="AL69" s="65">
        <f t="shared" ref="AL69:AM69" si="70">AL56-AL43</f>
        <v>-2.8622222222221865</v>
      </c>
      <c r="AM69" s="65">
        <f t="shared" si="70"/>
        <v>-3.1688888888888869</v>
      </c>
      <c r="AN69" s="65">
        <f t="shared" ref="AN69:AO69" si="71">AN56-AN43</f>
        <v>-3.0666666666666629</v>
      </c>
      <c r="AO69" s="65">
        <f t="shared" si="71"/>
        <v>3.037664423885559</v>
      </c>
      <c r="AP69" s="73"/>
      <c r="AQ69" s="74"/>
      <c r="AR69" s="74"/>
      <c r="AS69" s="74"/>
      <c r="AT69" s="74"/>
    </row>
    <row r="70" spans="1:46" s="75" customFormat="1" ht="15" thickBot="1">
      <c r="A70" s="556" t="s">
        <v>198</v>
      </c>
      <c r="B70" s="44"/>
      <c r="C70" s="553"/>
      <c r="D70" s="554"/>
      <c r="E70" s="79"/>
      <c r="F70" s="80"/>
      <c r="G70" s="80"/>
      <c r="H70" s="80"/>
      <c r="I70" s="80"/>
      <c r="J70" s="80"/>
      <c r="K70" s="80"/>
      <c r="L70" s="80"/>
      <c r="M70" s="80"/>
      <c r="N70" s="80"/>
      <c r="O70" s="80"/>
      <c r="P70" s="80"/>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73"/>
      <c r="AQ70" s="74"/>
      <c r="AR70" s="74"/>
      <c r="AS70" s="74"/>
      <c r="AT70" s="74"/>
    </row>
    <row r="71" spans="1:46" s="75" customFormat="1" ht="15" thickBot="1">
      <c r="A71" s="556" t="s">
        <v>199</v>
      </c>
      <c r="B71" s="44"/>
      <c r="C71" s="553"/>
      <c r="D71" s="554"/>
      <c r="E71" s="79"/>
      <c r="F71" s="80"/>
      <c r="G71" s="80"/>
      <c r="H71" s="80"/>
      <c r="I71" s="80"/>
      <c r="J71" s="80"/>
      <c r="K71" s="80"/>
      <c r="L71" s="80"/>
      <c r="M71" s="80"/>
      <c r="N71" s="80"/>
      <c r="O71" s="80"/>
      <c r="P71" s="80"/>
      <c r="Q71" s="65"/>
      <c r="R71" s="65"/>
      <c r="S71" s="65"/>
      <c r="T71" s="65"/>
      <c r="U71" s="65"/>
      <c r="V71" s="65"/>
      <c r="W71" s="65"/>
      <c r="X71" s="65"/>
      <c r="Y71" s="65"/>
      <c r="Z71" s="65"/>
      <c r="AA71" s="65"/>
      <c r="AB71" s="65"/>
      <c r="AC71" s="65"/>
      <c r="AD71" s="65"/>
      <c r="AE71" s="65"/>
      <c r="AF71" s="65"/>
      <c r="AG71" s="65"/>
      <c r="AH71" s="65"/>
      <c r="AI71" s="65"/>
      <c r="AJ71" s="65"/>
      <c r="AK71" s="65"/>
      <c r="AL71" s="65"/>
      <c r="AM71" s="65"/>
      <c r="AN71" s="65"/>
      <c r="AO71" s="65"/>
      <c r="AP71" s="73"/>
      <c r="AQ71" s="74"/>
      <c r="AR71" s="74"/>
      <c r="AS71" s="74"/>
      <c r="AT71" s="74"/>
    </row>
    <row r="72" spans="1:46" s="3" customFormat="1">
      <c r="A72" s="43" t="s">
        <v>132</v>
      </c>
      <c r="B72" s="44"/>
      <c r="C72" s="640"/>
      <c r="D72" s="641"/>
      <c r="E72" s="57">
        <f t="shared" ref="E72:P72" si="72">E59-E46</f>
        <v>0</v>
      </c>
      <c r="F72" s="66">
        <f t="shared" si="72"/>
        <v>0</v>
      </c>
      <c r="G72" s="66">
        <f t="shared" si="72"/>
        <v>-10.29000000000002</v>
      </c>
      <c r="H72" s="66">
        <f t="shared" si="72"/>
        <v>0.47800000000000864</v>
      </c>
      <c r="I72" s="66">
        <f t="shared" si="72"/>
        <v>-15.26400000000001</v>
      </c>
      <c r="J72" s="66">
        <f t="shared" si="72"/>
        <v>-3</v>
      </c>
      <c r="K72" s="66">
        <f t="shared" si="72"/>
        <v>1.3000000000000114</v>
      </c>
      <c r="L72" s="66">
        <f t="shared" si="72"/>
        <v>-1.2400000000000091</v>
      </c>
      <c r="M72" s="66">
        <f t="shared" si="72"/>
        <v>-13.833000000000027</v>
      </c>
      <c r="N72" s="66">
        <f t="shared" si="72"/>
        <v>-1.4499999999999886</v>
      </c>
      <c r="O72" s="66">
        <f t="shared" si="72"/>
        <v>-13.600000000000023</v>
      </c>
      <c r="P72" s="66">
        <f t="shared" si="72"/>
        <v>-42.199000000000012</v>
      </c>
      <c r="Q72" s="65">
        <f t="shared" ref="Q72:AD72" si="73">Q59-Q46</f>
        <v>0</v>
      </c>
      <c r="R72" s="65">
        <f t="shared" si="73"/>
        <v>-0.68258821384330304</v>
      </c>
      <c r="S72" s="65">
        <f t="shared" si="73"/>
        <v>-0.73547858181800052</v>
      </c>
      <c r="T72" s="65">
        <f t="shared" si="73"/>
        <v>-0.63999999999998636</v>
      </c>
      <c r="U72" s="65">
        <f t="shared" si="73"/>
        <v>0</v>
      </c>
      <c r="V72" s="65">
        <f t="shared" si="73"/>
        <v>-8.5939999999999941</v>
      </c>
      <c r="W72" s="65">
        <f t="shared" si="73"/>
        <v>3.5279999999999916</v>
      </c>
      <c r="X72" s="65">
        <f t="shared" si="73"/>
        <v>29.554999999999978</v>
      </c>
      <c r="Y72" s="65">
        <f t="shared" si="73"/>
        <v>0.11685793868548444</v>
      </c>
      <c r="Z72" s="65">
        <f t="shared" si="73"/>
        <v>8.3402322743503134</v>
      </c>
      <c r="AA72" s="65">
        <f t="shared" si="73"/>
        <v>-0.51487908479242606</v>
      </c>
      <c r="AB72" s="65">
        <f t="shared" si="73"/>
        <v>-7.8330849453320184</v>
      </c>
      <c r="AC72" s="65">
        <f t="shared" si="73"/>
        <v>1.6469999999999914</v>
      </c>
      <c r="AD72" s="65">
        <f t="shared" si="73"/>
        <v>0.83829273940779103</v>
      </c>
      <c r="AE72" s="65">
        <f t="shared" ref="AE72:AK72" si="74">AE59-AE46</f>
        <v>1.2364999999999782</v>
      </c>
      <c r="AF72" s="65">
        <f t="shared" si="74"/>
        <v>-0.31000000000000227</v>
      </c>
      <c r="AG72" s="65">
        <f t="shared" si="74"/>
        <v>-4.1100000000000136</v>
      </c>
      <c r="AH72" s="65">
        <f t="shared" si="74"/>
        <v>0</v>
      </c>
      <c r="AI72" s="65">
        <f t="shared" si="74"/>
        <v>0</v>
      </c>
      <c r="AJ72" s="65">
        <f t="shared" si="74"/>
        <v>0</v>
      </c>
      <c r="AK72" s="65">
        <f t="shared" si="74"/>
        <v>-4.6499999999999773</v>
      </c>
      <c r="AL72" s="65">
        <f t="shared" ref="AL72:AM72" si="75">AL59-AL46</f>
        <v>-4.1999999999999886</v>
      </c>
      <c r="AM72" s="65">
        <f t="shared" si="75"/>
        <v>-4.6499999999999773</v>
      </c>
      <c r="AN72" s="65">
        <f t="shared" ref="AN72:AO72" si="76">AN59-AN46</f>
        <v>-4.5</v>
      </c>
      <c r="AO72" s="65">
        <f t="shared" si="76"/>
        <v>4.585344827586141</v>
      </c>
      <c r="AP72" s="38"/>
      <c r="AQ72" s="31"/>
      <c r="AR72" s="31"/>
      <c r="AS72" s="31"/>
      <c r="AT72" s="31"/>
    </row>
    <row r="73" spans="1:46">
      <c r="A73" s="43" t="s">
        <v>0</v>
      </c>
      <c r="B73" s="44"/>
      <c r="C73" s="642"/>
      <c r="D73" s="640"/>
      <c r="E73" s="61">
        <f t="shared" ref="E73:AD73" si="77">E61-E48</f>
        <v>0</v>
      </c>
      <c r="F73" s="65">
        <f t="shared" si="77"/>
        <v>-3</v>
      </c>
      <c r="G73" s="65">
        <f t="shared" si="77"/>
        <v>2</v>
      </c>
      <c r="H73" s="65">
        <f t="shared" si="77"/>
        <v>0</v>
      </c>
      <c r="I73" s="65">
        <f t="shared" si="77"/>
        <v>0</v>
      </c>
      <c r="J73" s="65">
        <f t="shared" si="77"/>
        <v>-3</v>
      </c>
      <c r="K73" s="65">
        <f t="shared" si="77"/>
        <v>2</v>
      </c>
      <c r="L73" s="65">
        <f t="shared" si="77"/>
        <v>1.5</v>
      </c>
      <c r="M73" s="65">
        <f t="shared" si="77"/>
        <v>-3</v>
      </c>
      <c r="N73" s="65">
        <f t="shared" si="77"/>
        <v>2</v>
      </c>
      <c r="O73" s="65">
        <f t="shared" si="77"/>
        <v>0</v>
      </c>
      <c r="P73" s="65">
        <f t="shared" si="77"/>
        <v>-12</v>
      </c>
      <c r="Q73" s="65">
        <f t="shared" si="77"/>
        <v>0</v>
      </c>
      <c r="R73" s="65">
        <f t="shared" si="77"/>
        <v>0</v>
      </c>
      <c r="S73" s="65">
        <f t="shared" si="77"/>
        <v>-4</v>
      </c>
      <c r="T73" s="65">
        <f t="shared" si="77"/>
        <v>1.2</v>
      </c>
      <c r="U73" s="65">
        <f t="shared" si="77"/>
        <v>-3</v>
      </c>
      <c r="V73" s="65">
        <f t="shared" si="77"/>
        <v>0</v>
      </c>
      <c r="W73" s="65">
        <f t="shared" si="77"/>
        <v>2</v>
      </c>
      <c r="X73" s="65">
        <f t="shared" si="77"/>
        <v>-2.4000000000000004</v>
      </c>
      <c r="Y73" s="65">
        <f t="shared" si="77"/>
        <v>16.5</v>
      </c>
      <c r="Z73" s="65">
        <f t="shared" si="77"/>
        <v>12</v>
      </c>
      <c r="AA73" s="65">
        <f t="shared" si="77"/>
        <v>0</v>
      </c>
      <c r="AB73" s="65">
        <f t="shared" si="77"/>
        <v>2</v>
      </c>
      <c r="AC73" s="65">
        <f t="shared" si="77"/>
        <v>0</v>
      </c>
      <c r="AD73" s="65">
        <f t="shared" si="77"/>
        <v>0</v>
      </c>
      <c r="AE73" s="65">
        <f t="shared" ref="AE73:AK76" si="78">AE61-AE48</f>
        <v>0</v>
      </c>
      <c r="AF73" s="65">
        <f t="shared" si="78"/>
        <v>0</v>
      </c>
      <c r="AG73" s="65">
        <f t="shared" si="78"/>
        <v>0</v>
      </c>
      <c r="AH73" s="65">
        <f t="shared" si="78"/>
        <v>0</v>
      </c>
      <c r="AI73" s="65">
        <f t="shared" si="78"/>
        <v>0</v>
      </c>
      <c r="AJ73" s="65">
        <f t="shared" si="78"/>
        <v>0</v>
      </c>
      <c r="AK73" s="65">
        <f t="shared" si="78"/>
        <v>0</v>
      </c>
      <c r="AL73" s="65">
        <f t="shared" ref="AL73:AM73" si="79">AL61-AL48</f>
        <v>0</v>
      </c>
      <c r="AM73" s="65">
        <f t="shared" si="79"/>
        <v>0</v>
      </c>
      <c r="AN73" s="65">
        <f t="shared" ref="AN73:AO73" si="80">AN61-AN48</f>
        <v>0</v>
      </c>
      <c r="AO73" s="65">
        <f t="shared" si="80"/>
        <v>0</v>
      </c>
      <c r="AP73" s="38"/>
      <c r="AQ73" s="31"/>
      <c r="AR73" s="31"/>
      <c r="AS73" s="31"/>
      <c r="AT73" s="31"/>
    </row>
    <row r="74" spans="1:46">
      <c r="A74" s="43" t="s">
        <v>1</v>
      </c>
      <c r="B74" s="44"/>
      <c r="C74" s="642"/>
      <c r="D74" s="640"/>
      <c r="E74" s="61">
        <f t="shared" ref="E74:AD74" si="81">E62-E49</f>
        <v>0</v>
      </c>
      <c r="F74" s="65">
        <f t="shared" si="81"/>
        <v>0</v>
      </c>
      <c r="G74" s="65">
        <f t="shared" si="81"/>
        <v>1.1000000000000005</v>
      </c>
      <c r="H74" s="65">
        <f t="shared" si="81"/>
        <v>0</v>
      </c>
      <c r="I74" s="65">
        <f t="shared" si="81"/>
        <v>0.70000000000000018</v>
      </c>
      <c r="J74" s="65">
        <f t="shared" si="81"/>
        <v>0</v>
      </c>
      <c r="K74" s="65">
        <f t="shared" si="81"/>
        <v>0</v>
      </c>
      <c r="L74" s="65">
        <f t="shared" si="81"/>
        <v>-1.4400000000000004</v>
      </c>
      <c r="M74" s="65">
        <f t="shared" si="81"/>
        <v>-0.83000000000000007</v>
      </c>
      <c r="N74" s="65">
        <f t="shared" si="81"/>
        <v>-0.40000000000000036</v>
      </c>
      <c r="O74" s="65">
        <f t="shared" si="81"/>
        <v>0</v>
      </c>
      <c r="P74" s="65">
        <f t="shared" si="81"/>
        <v>-2</v>
      </c>
      <c r="Q74" s="65">
        <f t="shared" si="81"/>
        <v>-3.5</v>
      </c>
      <c r="R74" s="65">
        <f t="shared" si="81"/>
        <v>-0.60000000000000009</v>
      </c>
      <c r="S74" s="65">
        <f t="shared" si="81"/>
        <v>-0.10000000000000009</v>
      </c>
      <c r="T74" s="65">
        <f t="shared" si="81"/>
        <v>-2</v>
      </c>
      <c r="U74" s="65">
        <f t="shared" si="81"/>
        <v>-0.64000000000000012</v>
      </c>
      <c r="V74" s="65">
        <f t="shared" si="81"/>
        <v>-0.59999999999999964</v>
      </c>
      <c r="W74" s="65">
        <f t="shared" si="81"/>
        <v>0.69999999999999929</v>
      </c>
      <c r="X74" s="65">
        <f t="shared" si="81"/>
        <v>1.2000000000000002</v>
      </c>
      <c r="Y74" s="65">
        <f t="shared" si="81"/>
        <v>2.169999999999999</v>
      </c>
      <c r="Z74" s="65">
        <f t="shared" si="81"/>
        <v>0.59999999999999964</v>
      </c>
      <c r="AA74" s="65">
        <f t="shared" si="81"/>
        <v>-0.44000000000000039</v>
      </c>
      <c r="AB74" s="65">
        <f t="shared" si="81"/>
        <v>-0.89999999999999947</v>
      </c>
      <c r="AC74" s="65">
        <f t="shared" si="81"/>
        <v>-2.0000000000000462E-2</v>
      </c>
      <c r="AD74" s="65">
        <f t="shared" si="81"/>
        <v>-0.33999999999999986</v>
      </c>
      <c r="AE74" s="65">
        <f t="shared" si="78"/>
        <v>0</v>
      </c>
      <c r="AF74" s="65">
        <f t="shared" si="78"/>
        <v>0</v>
      </c>
      <c r="AG74" s="65">
        <f t="shared" si="78"/>
        <v>0</v>
      </c>
      <c r="AH74" s="65">
        <f t="shared" si="78"/>
        <v>0</v>
      </c>
      <c r="AI74" s="65">
        <f t="shared" si="78"/>
        <v>0</v>
      </c>
      <c r="AJ74" s="65">
        <f t="shared" si="78"/>
        <v>0</v>
      </c>
      <c r="AK74" s="65">
        <f t="shared" si="78"/>
        <v>0</v>
      </c>
      <c r="AL74" s="65">
        <f t="shared" ref="AL74:AM74" si="82">AL62-AL49</f>
        <v>0</v>
      </c>
      <c r="AM74" s="65">
        <f t="shared" si="82"/>
        <v>0</v>
      </c>
      <c r="AN74" s="65">
        <f t="shared" ref="AN74:AO74" si="83">AN62-AN49</f>
        <v>0</v>
      </c>
      <c r="AO74" s="65">
        <f t="shared" si="83"/>
        <v>0</v>
      </c>
      <c r="AP74" s="38"/>
      <c r="AQ74" s="31"/>
      <c r="AR74" s="31"/>
      <c r="AS74" s="31"/>
      <c r="AT74" s="31"/>
    </row>
    <row r="75" spans="1:46">
      <c r="A75" s="43" t="s">
        <v>27</v>
      </c>
      <c r="B75" s="44"/>
      <c r="C75" s="642"/>
      <c r="D75" s="640"/>
      <c r="E75" s="61">
        <f t="shared" ref="E75:AD75" si="84">E63-E50</f>
        <v>0</v>
      </c>
      <c r="F75" s="65">
        <f t="shared" si="84"/>
        <v>0.51999999999999957</v>
      </c>
      <c r="G75" s="65">
        <f t="shared" si="84"/>
        <v>0</v>
      </c>
      <c r="H75" s="65">
        <f t="shared" si="84"/>
        <v>0.16000000000000014</v>
      </c>
      <c r="I75" s="65">
        <f t="shared" si="84"/>
        <v>0</v>
      </c>
      <c r="J75" s="65">
        <f t="shared" si="84"/>
        <v>0</v>
      </c>
      <c r="K75" s="65">
        <f t="shared" si="84"/>
        <v>0.85000000000000053</v>
      </c>
      <c r="L75" s="65">
        <f t="shared" si="84"/>
        <v>0</v>
      </c>
      <c r="M75" s="65">
        <f t="shared" si="84"/>
        <v>0.15000000000000036</v>
      </c>
      <c r="N75" s="65">
        <f t="shared" si="84"/>
        <v>0</v>
      </c>
      <c r="O75" s="65">
        <f t="shared" si="84"/>
        <v>0</v>
      </c>
      <c r="P75" s="65">
        <f t="shared" si="84"/>
        <v>0</v>
      </c>
      <c r="Q75" s="65">
        <f t="shared" si="84"/>
        <v>-1.4500000000000002</v>
      </c>
      <c r="R75" s="65">
        <f t="shared" si="84"/>
        <v>0.29999999999999982</v>
      </c>
      <c r="S75" s="65">
        <f t="shared" si="84"/>
        <v>1.1400000000000006</v>
      </c>
      <c r="T75" s="65">
        <f t="shared" si="84"/>
        <v>9.9999999999999645E-2</v>
      </c>
      <c r="U75" s="65">
        <f t="shared" si="84"/>
        <v>-0.17999999999999972</v>
      </c>
      <c r="V75" s="65">
        <f t="shared" si="84"/>
        <v>0.21999999999999975</v>
      </c>
      <c r="W75" s="65">
        <f t="shared" si="84"/>
        <v>0</v>
      </c>
      <c r="X75" s="65">
        <f t="shared" si="84"/>
        <v>0</v>
      </c>
      <c r="Y75" s="65">
        <f t="shared" si="84"/>
        <v>-0.40299999999999958</v>
      </c>
      <c r="Z75" s="65">
        <f t="shared" si="84"/>
        <v>0</v>
      </c>
      <c r="AA75" s="65">
        <f t="shared" si="84"/>
        <v>-0.14999999999999947</v>
      </c>
      <c r="AB75" s="65">
        <f t="shared" si="84"/>
        <v>0.27200000000000024</v>
      </c>
      <c r="AC75" s="65">
        <f t="shared" si="84"/>
        <v>0</v>
      </c>
      <c r="AD75" s="65">
        <f t="shared" si="84"/>
        <v>0</v>
      </c>
      <c r="AE75" s="65">
        <f t="shared" si="78"/>
        <v>0</v>
      </c>
      <c r="AF75" s="65">
        <f t="shared" si="78"/>
        <v>0</v>
      </c>
      <c r="AG75" s="65">
        <f t="shared" si="78"/>
        <v>0</v>
      </c>
      <c r="AH75" s="65">
        <f t="shared" si="78"/>
        <v>0</v>
      </c>
      <c r="AI75" s="65">
        <f t="shared" si="78"/>
        <v>0</v>
      </c>
      <c r="AJ75" s="65">
        <f t="shared" si="78"/>
        <v>0</v>
      </c>
      <c r="AK75" s="65">
        <f t="shared" si="78"/>
        <v>0</v>
      </c>
      <c r="AL75" s="65">
        <f t="shared" ref="AL75:AM75" si="85">AL63-AL50</f>
        <v>0</v>
      </c>
      <c r="AM75" s="65">
        <f t="shared" si="85"/>
        <v>0</v>
      </c>
      <c r="AN75" s="65">
        <f t="shared" ref="AN75:AO75" si="86">AN63-AN50</f>
        <v>0</v>
      </c>
      <c r="AO75" s="65">
        <f t="shared" si="86"/>
        <v>0</v>
      </c>
      <c r="AP75" s="38"/>
      <c r="AQ75" s="31"/>
      <c r="AR75" s="31"/>
      <c r="AS75" s="31"/>
      <c r="AT75" s="31"/>
    </row>
    <row r="76" spans="1:46" ht="15" thickBot="1">
      <c r="A76" s="51" t="s">
        <v>5</v>
      </c>
      <c r="B76" s="52"/>
      <c r="C76" s="643"/>
      <c r="D76" s="644"/>
      <c r="E76" s="67">
        <f t="shared" ref="E76:AD76" si="87">E64-E51</f>
        <v>0</v>
      </c>
      <c r="F76" s="68">
        <f t="shared" si="87"/>
        <v>0.68000000000000149</v>
      </c>
      <c r="G76" s="68">
        <f t="shared" si="87"/>
        <v>0</v>
      </c>
      <c r="H76" s="68">
        <f t="shared" si="87"/>
        <v>-1.9299999999999997</v>
      </c>
      <c r="I76" s="68">
        <f t="shared" si="87"/>
        <v>0</v>
      </c>
      <c r="J76" s="68">
        <f t="shared" si="87"/>
        <v>0</v>
      </c>
      <c r="K76" s="68">
        <f t="shared" si="87"/>
        <v>2.6500000000000004</v>
      </c>
      <c r="L76" s="68">
        <f t="shared" si="87"/>
        <v>0</v>
      </c>
      <c r="M76" s="68">
        <f t="shared" si="87"/>
        <v>2.7189999999999994</v>
      </c>
      <c r="N76" s="68">
        <f t="shared" si="87"/>
        <v>1.5</v>
      </c>
      <c r="O76" s="68">
        <f t="shared" si="87"/>
        <v>-2</v>
      </c>
      <c r="P76" s="68">
        <f t="shared" si="87"/>
        <v>0.90000000000000036</v>
      </c>
      <c r="Q76" s="68">
        <f t="shared" si="87"/>
        <v>-2.0500000000000007</v>
      </c>
      <c r="R76" s="68">
        <f t="shared" si="87"/>
        <v>-1.0999999999999996</v>
      </c>
      <c r="S76" s="68">
        <f t="shared" si="87"/>
        <v>-1.2399999999999984</v>
      </c>
      <c r="T76" s="68">
        <f t="shared" si="87"/>
        <v>-1.5200000000000014</v>
      </c>
      <c r="U76" s="68">
        <f t="shared" si="87"/>
        <v>0</v>
      </c>
      <c r="V76" s="68">
        <f t="shared" si="87"/>
        <v>-0.90999999999999837</v>
      </c>
      <c r="W76" s="68">
        <f t="shared" si="87"/>
        <v>0</v>
      </c>
      <c r="X76" s="68">
        <f t="shared" si="87"/>
        <v>-0.72000000000000064</v>
      </c>
      <c r="Y76" s="68">
        <f t="shared" si="87"/>
        <v>-2.1199999999999992</v>
      </c>
      <c r="Z76" s="68">
        <f t="shared" si="87"/>
        <v>-2.1100000000000003</v>
      </c>
      <c r="AA76" s="68">
        <f t="shared" si="87"/>
        <v>-2.0600000000000005</v>
      </c>
      <c r="AB76" s="68">
        <f t="shared" si="87"/>
        <v>0</v>
      </c>
      <c r="AC76" s="68">
        <f t="shared" si="87"/>
        <v>0</v>
      </c>
      <c r="AD76" s="68">
        <f t="shared" si="87"/>
        <v>0</v>
      </c>
      <c r="AE76" s="68">
        <f t="shared" si="78"/>
        <v>0</v>
      </c>
      <c r="AF76" s="68">
        <f t="shared" si="78"/>
        <v>0</v>
      </c>
      <c r="AG76" s="68">
        <f t="shared" si="78"/>
        <v>0</v>
      </c>
      <c r="AH76" s="68">
        <f t="shared" si="78"/>
        <v>0</v>
      </c>
      <c r="AI76" s="68">
        <f t="shared" si="78"/>
        <v>0</v>
      </c>
      <c r="AJ76" s="68">
        <f t="shared" si="78"/>
        <v>0</v>
      </c>
      <c r="AK76" s="68">
        <f t="shared" si="78"/>
        <v>0</v>
      </c>
      <c r="AL76" s="68">
        <f t="shared" ref="AL76:AM76" si="88">AL64-AL51</f>
        <v>0</v>
      </c>
      <c r="AM76" s="68">
        <f t="shared" si="88"/>
        <v>0</v>
      </c>
      <c r="AN76" s="68">
        <f t="shared" ref="AN76:AO76" si="89">AN64-AN51</f>
        <v>0</v>
      </c>
      <c r="AO76" s="68">
        <f t="shared" si="89"/>
        <v>0.5</v>
      </c>
      <c r="AP76" s="38"/>
      <c r="AQ76" s="31"/>
      <c r="AR76" s="31"/>
      <c r="AS76" s="31"/>
      <c r="AT76" s="31"/>
    </row>
    <row r="77" spans="1:46" ht="15" thickBot="1">
      <c r="A77" s="645" t="s">
        <v>31</v>
      </c>
      <c r="B77" s="646"/>
      <c r="C77" s="646"/>
      <c r="D77" s="646"/>
      <c r="E77" s="63">
        <f t="shared" ref="E77:Z77" si="90">SUM(E72:E76)</f>
        <v>0</v>
      </c>
      <c r="F77" s="64">
        <f t="shared" si="90"/>
        <v>-1.7999999999999989</v>
      </c>
      <c r="G77" s="64">
        <f t="shared" si="90"/>
        <v>-7.1900000000000199</v>
      </c>
      <c r="H77" s="64">
        <f t="shared" si="90"/>
        <v>-1.2919999999999909</v>
      </c>
      <c r="I77" s="64">
        <f t="shared" si="90"/>
        <v>-14.564000000000011</v>
      </c>
      <c r="J77" s="64">
        <f t="shared" si="90"/>
        <v>-6</v>
      </c>
      <c r="K77" s="64">
        <f t="shared" si="90"/>
        <v>6.8000000000000123</v>
      </c>
      <c r="L77" s="64">
        <f t="shared" si="90"/>
        <v>-1.1800000000000095</v>
      </c>
      <c r="M77" s="64">
        <f t="shared" si="90"/>
        <v>-14.794000000000027</v>
      </c>
      <c r="N77" s="64">
        <f t="shared" si="90"/>
        <v>1.650000000000011</v>
      </c>
      <c r="O77" s="64">
        <f t="shared" si="90"/>
        <v>-15.600000000000023</v>
      </c>
      <c r="P77" s="64">
        <f t="shared" si="90"/>
        <v>-55.299000000000014</v>
      </c>
      <c r="Q77" s="64">
        <f t="shared" si="90"/>
        <v>-7.0000000000000009</v>
      </c>
      <c r="R77" s="64">
        <f t="shared" si="90"/>
        <v>-2.0825882138433029</v>
      </c>
      <c r="S77" s="64">
        <f t="shared" si="90"/>
        <v>-4.935478581817998</v>
      </c>
      <c r="T77" s="64">
        <f t="shared" si="90"/>
        <v>-2.8599999999999879</v>
      </c>
      <c r="U77" s="64">
        <f t="shared" si="90"/>
        <v>-3.82</v>
      </c>
      <c r="V77" s="64">
        <f t="shared" si="90"/>
        <v>-9.8839999999999915</v>
      </c>
      <c r="W77" s="64">
        <f t="shared" si="90"/>
        <v>6.2279999999999909</v>
      </c>
      <c r="X77" s="64">
        <f t="shared" si="90"/>
        <v>27.634999999999977</v>
      </c>
      <c r="Y77" s="64">
        <f t="shared" si="90"/>
        <v>16.263857938685483</v>
      </c>
      <c r="Z77" s="64">
        <f t="shared" si="90"/>
        <v>18.830232274350315</v>
      </c>
      <c r="AA77" s="64">
        <f t="shared" ref="AA77:AK77" si="91">SUM(AA72:AA76)</f>
        <v>-3.1648790847924264</v>
      </c>
      <c r="AB77" s="64">
        <f t="shared" si="91"/>
        <v>-6.4610849453320176</v>
      </c>
      <c r="AC77" s="64">
        <f t="shared" si="91"/>
        <v>1.6269999999999909</v>
      </c>
      <c r="AD77" s="64">
        <f t="shared" si="91"/>
        <v>0.49829273940779117</v>
      </c>
      <c r="AE77" s="64">
        <f t="shared" si="91"/>
        <v>1.2364999999999782</v>
      </c>
      <c r="AF77" s="64">
        <f t="shared" si="91"/>
        <v>-0.31000000000000227</v>
      </c>
      <c r="AG77" s="64">
        <f t="shared" si="91"/>
        <v>-4.1100000000000136</v>
      </c>
      <c r="AH77" s="64">
        <f t="shared" si="91"/>
        <v>0</v>
      </c>
      <c r="AI77" s="64">
        <f t="shared" si="91"/>
        <v>0</v>
      </c>
      <c r="AJ77" s="64">
        <f t="shared" si="91"/>
        <v>0</v>
      </c>
      <c r="AK77" s="64">
        <f t="shared" si="91"/>
        <v>-4.6499999999999773</v>
      </c>
      <c r="AL77" s="64">
        <f t="shared" ref="AL77:AM77" si="92">SUM(AL72:AL76)</f>
        <v>-4.1999999999999886</v>
      </c>
      <c r="AM77" s="64">
        <f t="shared" si="92"/>
        <v>-4.6499999999999773</v>
      </c>
      <c r="AN77" s="64">
        <f t="shared" ref="AN77:AO77" si="93">SUM(AN72:AN76)</f>
        <v>-4.5</v>
      </c>
      <c r="AO77" s="64">
        <f t="shared" si="93"/>
        <v>5.085344827586141</v>
      </c>
      <c r="AP77" s="38"/>
      <c r="AQ77" s="31"/>
      <c r="AR77" s="31"/>
      <c r="AS77" s="31"/>
      <c r="AT77" s="31"/>
    </row>
    <row r="78" spans="1:46" ht="13.2" hidden="1" customHeight="1">
      <c r="A78" s="250" t="s">
        <v>85</v>
      </c>
      <c r="B78" s="538"/>
      <c r="C78" s="538" t="s">
        <v>20</v>
      </c>
      <c r="D78" s="538"/>
      <c r="E78" s="62"/>
      <c r="F78" s="62"/>
      <c r="G78" s="62"/>
      <c r="H78" s="62"/>
      <c r="I78" s="62"/>
      <c r="J78" s="62"/>
      <c r="K78" s="62"/>
      <c r="L78" s="62"/>
      <c r="M78" s="62"/>
      <c r="N78" s="62"/>
      <c r="O78" s="62"/>
      <c r="P78" s="62"/>
      <c r="Q78" s="62"/>
      <c r="R78" s="62"/>
      <c r="S78" s="62"/>
      <c r="T78" s="62"/>
      <c r="U78" s="62"/>
      <c r="V78" s="62"/>
      <c r="W78" s="62"/>
      <c r="X78" s="62"/>
      <c r="Y78" s="62"/>
      <c r="Z78" s="342">
        <f t="shared" ref="Z78:AL78" si="94">IF(Z107&gt;Z8,Z8,Z107)</f>
        <v>39</v>
      </c>
      <c r="AA78" s="342">
        <f t="shared" si="94"/>
        <v>37</v>
      </c>
      <c r="AB78" s="342">
        <f t="shared" si="94"/>
        <v>29.5</v>
      </c>
      <c r="AC78" s="342">
        <f t="shared" si="94"/>
        <v>36</v>
      </c>
      <c r="AD78" s="342">
        <f t="shared" si="94"/>
        <v>26</v>
      </c>
      <c r="AE78" s="342">
        <f t="shared" si="94"/>
        <v>60.106688570000003</v>
      </c>
      <c r="AF78" s="342">
        <f t="shared" si="94"/>
        <v>36</v>
      </c>
      <c r="AG78" s="342">
        <f t="shared" si="94"/>
        <v>53</v>
      </c>
      <c r="AH78" s="342">
        <f t="shared" si="94"/>
        <v>50</v>
      </c>
      <c r="AI78" s="342">
        <f t="shared" si="94"/>
        <v>45</v>
      </c>
      <c r="AJ78" s="342">
        <f t="shared" si="94"/>
        <v>27</v>
      </c>
      <c r="AK78" s="342">
        <f t="shared" si="94"/>
        <v>41</v>
      </c>
      <c r="AL78" s="342">
        <f t="shared" si="94"/>
        <v>50</v>
      </c>
      <c r="AM78" s="342">
        <f t="shared" ref="AM78:AN78" si="95">IF(AM107&gt;AM8,AM8,AM107)</f>
        <v>38</v>
      </c>
      <c r="AN78" s="342">
        <f t="shared" si="95"/>
        <v>38</v>
      </c>
      <c r="AO78" s="342">
        <f t="shared" ref="AO78" si="96">IF(AO107&gt;AO8,AO8,AO107)</f>
        <v>33</v>
      </c>
      <c r="AP78" s="38"/>
      <c r="AQ78" s="31"/>
      <c r="AR78" s="31"/>
      <c r="AS78" s="31"/>
      <c r="AT78" s="31"/>
    </row>
    <row r="79" spans="1:46" ht="13.2" hidden="1" customHeight="1">
      <c r="A79" s="249"/>
      <c r="B79" s="538"/>
      <c r="C79" s="538" t="s">
        <v>15</v>
      </c>
      <c r="D79" s="538"/>
      <c r="E79" s="62"/>
      <c r="F79" s="62"/>
      <c r="G79" s="62"/>
      <c r="H79" s="62"/>
      <c r="I79" s="62"/>
      <c r="J79" s="62"/>
      <c r="K79" s="62"/>
      <c r="L79" s="62"/>
      <c r="M79" s="62"/>
      <c r="N79" s="62"/>
      <c r="O79" s="62"/>
      <c r="P79" s="62"/>
      <c r="Q79" s="62"/>
      <c r="R79" s="62"/>
      <c r="S79" s="62"/>
      <c r="T79" s="62"/>
      <c r="U79" s="62"/>
      <c r="V79" s="62"/>
      <c r="W79" s="62"/>
      <c r="X79" s="62"/>
      <c r="Y79" s="62"/>
      <c r="Z79" s="342">
        <f t="shared" ref="Z79:AL79" si="97">IF(Z8=Z78,0,Z8-Z107)</f>
        <v>0</v>
      </c>
      <c r="AA79" s="342">
        <f t="shared" si="97"/>
        <v>0</v>
      </c>
      <c r="AB79" s="342">
        <f t="shared" si="97"/>
        <v>0</v>
      </c>
      <c r="AC79" s="342">
        <f t="shared" si="97"/>
        <v>0</v>
      </c>
      <c r="AD79" s="342">
        <f t="shared" si="97"/>
        <v>0</v>
      </c>
      <c r="AE79" s="342">
        <f t="shared" si="97"/>
        <v>41.893311429999997</v>
      </c>
      <c r="AF79" s="342">
        <f t="shared" si="97"/>
        <v>0</v>
      </c>
      <c r="AG79" s="342">
        <f t="shared" si="97"/>
        <v>0</v>
      </c>
      <c r="AH79" s="342">
        <f t="shared" si="97"/>
        <v>0</v>
      </c>
      <c r="AI79" s="342">
        <f t="shared" si="97"/>
        <v>0</v>
      </c>
      <c r="AJ79" s="342">
        <f t="shared" si="97"/>
        <v>0</v>
      </c>
      <c r="AK79" s="342">
        <f t="shared" si="97"/>
        <v>0</v>
      </c>
      <c r="AL79" s="342">
        <f t="shared" si="97"/>
        <v>0</v>
      </c>
      <c r="AM79" s="342">
        <f t="shared" ref="AM79:AN79" si="98">IF(AM8=AM78,0,AM8-AM107)</f>
        <v>0</v>
      </c>
      <c r="AN79" s="342">
        <f t="shared" si="98"/>
        <v>0</v>
      </c>
      <c r="AO79" s="342">
        <f t="shared" ref="AO79" si="99">IF(AO8=AO78,0,AO8-AO107)</f>
        <v>0</v>
      </c>
      <c r="AP79" s="38"/>
      <c r="AQ79" s="31"/>
      <c r="AR79" s="31"/>
      <c r="AS79" s="31"/>
      <c r="AT79" s="31"/>
    </row>
    <row r="80" spans="1:46" ht="13.2" hidden="1" customHeight="1">
      <c r="A80" s="249"/>
      <c r="B80" s="538"/>
      <c r="C80" s="538" t="s">
        <v>16</v>
      </c>
      <c r="D80" s="538"/>
      <c r="E80" s="62"/>
      <c r="F80" s="62"/>
      <c r="G80" s="62"/>
      <c r="H80" s="62"/>
      <c r="I80" s="62"/>
      <c r="J80" s="62"/>
      <c r="K80" s="62"/>
      <c r="L80" s="62"/>
      <c r="M80" s="62"/>
      <c r="N80" s="62"/>
      <c r="O80" s="62"/>
      <c r="P80" s="62"/>
      <c r="Q80" s="62"/>
      <c r="R80" s="62"/>
      <c r="S80" s="62"/>
      <c r="T80" s="62"/>
      <c r="U80" s="62"/>
      <c r="V80" s="62"/>
      <c r="W80" s="62"/>
      <c r="X80" s="62"/>
      <c r="Y80" s="62"/>
      <c r="Z80" s="342">
        <f t="shared" ref="Z80:AL80" si="100">IF(Z81+Z82&gt;Z8,0,Z8-(Z81+Z82))</f>
        <v>0</v>
      </c>
      <c r="AA80" s="342">
        <f t="shared" si="100"/>
        <v>0</v>
      </c>
      <c r="AB80" s="342">
        <f t="shared" si="100"/>
        <v>0</v>
      </c>
      <c r="AC80" s="342">
        <f t="shared" si="100"/>
        <v>0</v>
      </c>
      <c r="AD80" s="342">
        <f t="shared" si="100"/>
        <v>0</v>
      </c>
      <c r="AE80" s="342">
        <f t="shared" si="100"/>
        <v>28.893311429999997</v>
      </c>
      <c r="AF80" s="342">
        <f t="shared" si="100"/>
        <v>0</v>
      </c>
      <c r="AG80" s="342">
        <f t="shared" si="100"/>
        <v>0</v>
      </c>
      <c r="AH80" s="342">
        <f t="shared" si="100"/>
        <v>0</v>
      </c>
      <c r="AI80" s="342">
        <f t="shared" si="100"/>
        <v>0</v>
      </c>
      <c r="AJ80" s="342">
        <f t="shared" si="100"/>
        <v>0</v>
      </c>
      <c r="AK80" s="342">
        <f t="shared" si="100"/>
        <v>0</v>
      </c>
      <c r="AL80" s="342">
        <f t="shared" si="100"/>
        <v>0</v>
      </c>
      <c r="AM80" s="342">
        <f t="shared" ref="AM80:AN80" si="101">IF(AM81+AM82&gt;AM8,0,AM8-(AM81+AM82))</f>
        <v>0</v>
      </c>
      <c r="AN80" s="342">
        <f t="shared" si="101"/>
        <v>0</v>
      </c>
      <c r="AO80" s="342">
        <f t="shared" ref="AO80" si="102">IF(AO81+AO82&gt;AO8,0,AO8-(AO81+AO82))</f>
        <v>0</v>
      </c>
      <c r="AP80" s="38"/>
      <c r="AQ80" s="31"/>
      <c r="AR80" s="31"/>
      <c r="AS80" s="31"/>
      <c r="AT80" s="31"/>
    </row>
    <row r="81" spans="1:46" ht="13.2" customHeight="1">
      <c r="A81" s="250" t="s">
        <v>85</v>
      </c>
      <c r="B81" s="539" t="s">
        <v>46</v>
      </c>
      <c r="C81" s="539" t="s">
        <v>20</v>
      </c>
      <c r="D81" s="539" t="s">
        <v>14</v>
      </c>
      <c r="E81" s="62"/>
      <c r="F81" s="62"/>
      <c r="G81" s="62"/>
      <c r="H81" s="62"/>
      <c r="I81" s="62"/>
      <c r="J81" s="62"/>
      <c r="K81" s="62"/>
      <c r="L81" s="62"/>
      <c r="M81" s="62"/>
      <c r="N81" s="62"/>
      <c r="O81" s="62"/>
      <c r="P81" s="62"/>
      <c r="Q81" s="62"/>
      <c r="R81" s="62"/>
      <c r="S81" s="62"/>
      <c r="T81" s="62"/>
      <c r="U81" s="62"/>
      <c r="V81" s="62"/>
      <c r="W81" s="62"/>
      <c r="X81" s="62"/>
      <c r="Y81" s="540">
        <v>6</v>
      </c>
      <c r="Z81" s="540">
        <f>Z78</f>
        <v>39</v>
      </c>
      <c r="AA81" s="540">
        <f t="shared" ref="AA81:AL81" si="103">AA78</f>
        <v>37</v>
      </c>
      <c r="AB81" s="540">
        <f t="shared" si="103"/>
        <v>29.5</v>
      </c>
      <c r="AC81" s="540">
        <f t="shared" si="103"/>
        <v>36</v>
      </c>
      <c r="AD81" s="540">
        <f t="shared" si="103"/>
        <v>26</v>
      </c>
      <c r="AE81" s="540">
        <f t="shared" si="103"/>
        <v>60.106688570000003</v>
      </c>
      <c r="AF81" s="540">
        <f t="shared" si="103"/>
        <v>36</v>
      </c>
      <c r="AG81" s="540">
        <f t="shared" si="103"/>
        <v>53</v>
      </c>
      <c r="AH81" s="540">
        <f t="shared" si="103"/>
        <v>50</v>
      </c>
      <c r="AI81" s="540">
        <f t="shared" si="103"/>
        <v>45</v>
      </c>
      <c r="AJ81" s="540">
        <f t="shared" si="103"/>
        <v>27</v>
      </c>
      <c r="AK81" s="540">
        <f t="shared" si="103"/>
        <v>41</v>
      </c>
      <c r="AL81" s="540">
        <f t="shared" si="103"/>
        <v>50</v>
      </c>
      <c r="AM81" s="540">
        <f t="shared" ref="AM81:AN81" si="104">AM78</f>
        <v>38</v>
      </c>
      <c r="AN81" s="540">
        <f t="shared" si="104"/>
        <v>38</v>
      </c>
      <c r="AO81" s="540">
        <f t="shared" ref="AO81" si="105">AO78</f>
        <v>33</v>
      </c>
      <c r="AP81" s="38"/>
      <c r="AQ81" s="31"/>
      <c r="AR81" s="31"/>
      <c r="AS81" s="31"/>
      <c r="AT81" s="31"/>
    </row>
    <row r="82" spans="1:46" ht="13.2" customHeight="1">
      <c r="A82" s="249"/>
      <c r="B82" s="539" t="s">
        <v>46</v>
      </c>
      <c r="C82" s="539" t="s">
        <v>15</v>
      </c>
      <c r="D82" s="539" t="s">
        <v>14</v>
      </c>
      <c r="E82" s="62"/>
      <c r="F82" s="62"/>
      <c r="G82" s="62"/>
      <c r="H82" s="62"/>
      <c r="I82" s="62"/>
      <c r="J82" s="62"/>
      <c r="K82" s="62"/>
      <c r="L82" s="62"/>
      <c r="M82" s="62"/>
      <c r="N82" s="62"/>
      <c r="O82" s="62"/>
      <c r="P82" s="62"/>
      <c r="Q82" s="62"/>
      <c r="R82" s="62"/>
      <c r="S82" s="62"/>
      <c r="T82" s="62"/>
      <c r="U82" s="62"/>
      <c r="V82" s="62"/>
      <c r="W82" s="62"/>
      <c r="X82" s="62"/>
      <c r="Y82" s="62"/>
      <c r="Z82" s="540">
        <f t="shared" ref="Z82:AD82" si="106">IF(Z79&lt;Z111,Z79,Z111)</f>
        <v>0</v>
      </c>
      <c r="AA82" s="540">
        <f t="shared" si="106"/>
        <v>0</v>
      </c>
      <c r="AB82" s="540">
        <f t="shared" si="106"/>
        <v>0</v>
      </c>
      <c r="AC82" s="540">
        <f t="shared" si="106"/>
        <v>0</v>
      </c>
      <c r="AD82" s="540">
        <f t="shared" si="106"/>
        <v>0</v>
      </c>
      <c r="AE82" s="540">
        <f>IF(AE79&lt;AE111,AE79,AE111)</f>
        <v>13</v>
      </c>
      <c r="AF82" s="540">
        <f t="shared" ref="AF82:AL82" si="107">IF(AF79&lt;AF111,AF79,AF111)</f>
        <v>0</v>
      </c>
      <c r="AG82" s="540">
        <f t="shared" si="107"/>
        <v>0</v>
      </c>
      <c r="AH82" s="540">
        <f t="shared" si="107"/>
        <v>0</v>
      </c>
      <c r="AI82" s="540">
        <f t="shared" si="107"/>
        <v>0</v>
      </c>
      <c r="AJ82" s="540">
        <f t="shared" si="107"/>
        <v>0</v>
      </c>
      <c r="AK82" s="540">
        <f t="shared" si="107"/>
        <v>0</v>
      </c>
      <c r="AL82" s="540">
        <f t="shared" si="107"/>
        <v>0</v>
      </c>
      <c r="AM82" s="540">
        <f t="shared" ref="AM82:AN82" si="108">IF(AM79&lt;AM111,AM79,AM111)</f>
        <v>0</v>
      </c>
      <c r="AN82" s="540">
        <f t="shared" si="108"/>
        <v>0</v>
      </c>
      <c r="AO82" s="540">
        <f t="shared" ref="AO82" si="109">IF(AO79&lt;AO111,AO79,AO111)</f>
        <v>0</v>
      </c>
      <c r="AP82" s="38"/>
      <c r="AQ82" s="31"/>
      <c r="AR82" s="31"/>
      <c r="AS82" s="31"/>
      <c r="AT82" s="31"/>
    </row>
    <row r="83" spans="1:46" ht="13.2" customHeight="1">
      <c r="A83" s="249"/>
      <c r="B83" s="539" t="s">
        <v>46</v>
      </c>
      <c r="C83" s="539" t="s">
        <v>16</v>
      </c>
      <c r="D83" s="539" t="s">
        <v>14</v>
      </c>
      <c r="E83" s="62"/>
      <c r="F83" s="62"/>
      <c r="G83" s="62"/>
      <c r="H83" s="62"/>
      <c r="I83" s="62"/>
      <c r="J83" s="62"/>
      <c r="K83" s="62"/>
      <c r="L83" s="62"/>
      <c r="M83" s="62"/>
      <c r="N83" s="62"/>
      <c r="O83" s="62"/>
      <c r="P83" s="62"/>
      <c r="Q83" s="62"/>
      <c r="R83" s="62"/>
      <c r="S83" s="62"/>
      <c r="T83" s="62"/>
      <c r="U83" s="62"/>
      <c r="V83" s="62"/>
      <c r="W83" s="62"/>
      <c r="X83" s="62"/>
      <c r="Y83" s="62"/>
      <c r="Z83" s="540">
        <f>Z80</f>
        <v>0</v>
      </c>
      <c r="AA83" s="540">
        <f t="shared" ref="AA83:AL83" si="110">AA80</f>
        <v>0</v>
      </c>
      <c r="AB83" s="540">
        <f t="shared" si="110"/>
        <v>0</v>
      </c>
      <c r="AC83" s="540">
        <f t="shared" si="110"/>
        <v>0</v>
      </c>
      <c r="AD83" s="540">
        <f t="shared" si="110"/>
        <v>0</v>
      </c>
      <c r="AE83" s="540">
        <f t="shared" si="110"/>
        <v>28.893311429999997</v>
      </c>
      <c r="AF83" s="540">
        <f t="shared" si="110"/>
        <v>0</v>
      </c>
      <c r="AG83" s="540">
        <f t="shared" si="110"/>
        <v>0</v>
      </c>
      <c r="AH83" s="540">
        <f t="shared" si="110"/>
        <v>0</v>
      </c>
      <c r="AI83" s="540">
        <f t="shared" si="110"/>
        <v>0</v>
      </c>
      <c r="AJ83" s="540">
        <f t="shared" si="110"/>
        <v>0</v>
      </c>
      <c r="AK83" s="540">
        <f t="shared" si="110"/>
        <v>0</v>
      </c>
      <c r="AL83" s="540">
        <f t="shared" si="110"/>
        <v>0</v>
      </c>
      <c r="AM83" s="540">
        <f t="shared" ref="AM83:AN83" si="111">AM80</f>
        <v>0</v>
      </c>
      <c r="AN83" s="540">
        <f t="shared" si="111"/>
        <v>0</v>
      </c>
      <c r="AO83" s="540">
        <f t="shared" ref="AO83" si="112">AO80</f>
        <v>0</v>
      </c>
      <c r="AP83" s="38"/>
      <c r="AQ83" s="31"/>
      <c r="AR83" s="31"/>
      <c r="AS83" s="31"/>
      <c r="AT83" s="31"/>
    </row>
    <row r="84" spans="1:46" ht="13.2" hidden="1" customHeight="1">
      <c r="A84" s="249"/>
      <c r="B84" s="30"/>
      <c r="C84" s="537" t="s">
        <v>20</v>
      </c>
      <c r="D84" s="31"/>
      <c r="E84" s="62"/>
      <c r="F84" s="62"/>
      <c r="G84" s="62"/>
      <c r="H84" s="62"/>
      <c r="I84" s="62"/>
      <c r="J84" s="62"/>
      <c r="K84" s="251">
        <f t="shared" ref="K84:Q84" si="113">K107-K8</f>
        <v>53.24</v>
      </c>
      <c r="L84" s="251">
        <f t="shared" si="113"/>
        <v>59.77</v>
      </c>
      <c r="M84" s="251">
        <f t="shared" si="113"/>
        <v>70.308482029999993</v>
      </c>
      <c r="N84" s="251">
        <f t="shared" si="113"/>
        <v>62.170128779999992</v>
      </c>
      <c r="O84" s="251">
        <f t="shared" si="113"/>
        <v>67.39</v>
      </c>
      <c r="P84" s="251">
        <f t="shared" si="113"/>
        <v>52.08</v>
      </c>
      <c r="Q84" s="251">
        <f t="shared" si="113"/>
        <v>45.18</v>
      </c>
      <c r="R84" s="251">
        <f t="shared" ref="R84:AL84" si="114">R107-R8-R10</f>
        <v>47.39</v>
      </c>
      <c r="S84" s="251">
        <f t="shared" si="114"/>
        <v>32.54</v>
      </c>
      <c r="T84" s="251">
        <f t="shared" si="114"/>
        <v>32.6</v>
      </c>
      <c r="U84" s="251">
        <f t="shared" si="114"/>
        <v>43.42</v>
      </c>
      <c r="V84" s="251">
        <f t="shared" si="114"/>
        <v>55.54</v>
      </c>
      <c r="W84" s="251">
        <f t="shared" si="114"/>
        <v>27.382407709999995</v>
      </c>
      <c r="X84" s="251">
        <f t="shared" si="114"/>
        <v>35.423000000000002</v>
      </c>
      <c r="Y84" s="251">
        <f t="shared" si="114"/>
        <v>48.21</v>
      </c>
      <c r="Z84" s="536">
        <f t="shared" si="114"/>
        <v>13.25</v>
      </c>
      <c r="AA84" s="536">
        <f t="shared" si="114"/>
        <v>19.880000000000003</v>
      </c>
      <c r="AB84" s="536">
        <f t="shared" si="114"/>
        <v>17.78</v>
      </c>
      <c r="AC84" s="536">
        <f t="shared" si="114"/>
        <v>15.799999999999997</v>
      </c>
      <c r="AD84" s="536">
        <f t="shared" si="114"/>
        <v>26.229999999999997</v>
      </c>
      <c r="AE84" s="536">
        <f t="shared" si="114"/>
        <v>-41.893311429999997</v>
      </c>
      <c r="AF84" s="536">
        <f t="shared" si="114"/>
        <v>23.348695379999995</v>
      </c>
      <c r="AG84" s="536">
        <f t="shared" si="114"/>
        <v>5.7440288600000002</v>
      </c>
      <c r="AH84" s="536">
        <f t="shared" si="114"/>
        <v>8.4879594099999878</v>
      </c>
      <c r="AI84" s="536">
        <f t="shared" si="114"/>
        <v>14.128257629999993</v>
      </c>
      <c r="AJ84" s="536">
        <f t="shared" si="114"/>
        <v>34.225829050000002</v>
      </c>
      <c r="AK84" s="536">
        <f t="shared" si="114"/>
        <v>20.70687556</v>
      </c>
      <c r="AL84" s="536">
        <f t="shared" si="114"/>
        <v>8.4326442600000036</v>
      </c>
      <c r="AM84" s="536">
        <f t="shared" ref="AM84:AN84" si="115">AM107-AM8-AM10</f>
        <v>22.270865950000001</v>
      </c>
      <c r="AN84" s="536">
        <f t="shared" si="115"/>
        <v>18.221904499999994</v>
      </c>
      <c r="AO84" s="536">
        <f t="shared" ref="AO84" si="116">AO107-AO8-AO10</f>
        <v>24.656336629999998</v>
      </c>
      <c r="AP84" s="38"/>
      <c r="AQ84" s="31"/>
      <c r="AR84" s="31"/>
      <c r="AS84" s="31"/>
      <c r="AT84" s="31"/>
    </row>
    <row r="85" spans="1:46" ht="13.2" hidden="1" customHeight="1">
      <c r="A85" s="250"/>
      <c r="B85" s="30"/>
      <c r="C85" s="537" t="s">
        <v>15</v>
      </c>
      <c r="D85" s="31"/>
      <c r="E85" s="62"/>
      <c r="F85" s="62"/>
      <c r="G85" s="62"/>
      <c r="H85" s="62"/>
      <c r="I85" s="62"/>
      <c r="J85" s="62"/>
      <c r="K85" s="251"/>
      <c r="L85" s="251"/>
      <c r="M85" s="251"/>
      <c r="N85" s="251"/>
      <c r="O85" s="251"/>
      <c r="P85" s="251"/>
      <c r="Q85" s="251"/>
      <c r="R85" s="251"/>
      <c r="S85" s="251"/>
      <c r="T85" s="251"/>
      <c r="U85" s="251"/>
      <c r="V85" s="251"/>
      <c r="W85" s="251"/>
      <c r="X85" s="251"/>
      <c r="Y85" s="251"/>
      <c r="Z85" s="536">
        <f>IF(Z84&gt;0,Z111,Z111+Z84)</f>
        <v>24.4</v>
      </c>
      <c r="AA85" s="536">
        <f t="shared" ref="AA85:AC85" si="117">IF(AA84&gt;0,AA111,AA111+AA84)</f>
        <v>26</v>
      </c>
      <c r="AB85" s="536">
        <f t="shared" si="117"/>
        <v>23.5</v>
      </c>
      <c r="AC85" s="536">
        <f t="shared" si="117"/>
        <v>22</v>
      </c>
      <c r="AD85" s="536">
        <f t="shared" ref="AD85" si="118">IF(AD84&gt;0,AD111,AD111+AD84)</f>
        <v>13</v>
      </c>
      <c r="AE85" s="536">
        <f t="shared" ref="AE85:AF85" si="119">IF(AE84&gt;0,AE111,AE111+AE84)</f>
        <v>-28.893311429999997</v>
      </c>
      <c r="AF85" s="536">
        <f t="shared" si="119"/>
        <v>15</v>
      </c>
      <c r="AG85" s="536">
        <f>IF(AG84&gt;0,AG111,AG111+AG84)</f>
        <v>15</v>
      </c>
      <c r="AH85" s="536">
        <f t="shared" ref="AH85" si="120">IF(AH84&gt;0,AH111,AH111+AH84)</f>
        <v>15</v>
      </c>
      <c r="AI85" s="536">
        <f t="shared" ref="AI85" si="121">IF(AI84&gt;0,AI111,AI111+AI84)</f>
        <v>15</v>
      </c>
      <c r="AJ85" s="536">
        <f t="shared" ref="AJ85" si="122">IF(AJ84&gt;0,AJ111,AJ111+AJ84)</f>
        <v>15</v>
      </c>
      <c r="AK85" s="536">
        <f t="shared" ref="AK85" si="123">IF(AK84&gt;0,AK111,AK111+AK84)</f>
        <v>15</v>
      </c>
      <c r="AL85" s="536">
        <f t="shared" ref="AL85:AM85" si="124">IF(AL84&gt;0,AL111,AL111+AL84)</f>
        <v>15</v>
      </c>
      <c r="AM85" s="536">
        <f t="shared" si="124"/>
        <v>15</v>
      </c>
      <c r="AN85" s="536">
        <f t="shared" ref="AN85:AO85" si="125">IF(AN84&gt;0,AN111,AN111+AN84)</f>
        <v>15</v>
      </c>
      <c r="AO85" s="536">
        <f t="shared" si="125"/>
        <v>15</v>
      </c>
      <c r="AP85" s="38"/>
      <c r="AQ85" s="31"/>
      <c r="AR85" s="31"/>
      <c r="AS85" s="31"/>
      <c r="AT85" s="31"/>
    </row>
    <row r="86" spans="1:46" ht="13.2" hidden="1" customHeight="1">
      <c r="A86" s="250"/>
      <c r="B86" s="30"/>
      <c r="C86" s="537" t="s">
        <v>16</v>
      </c>
      <c r="D86" s="31"/>
      <c r="E86" s="62"/>
      <c r="F86" s="62"/>
      <c r="G86" s="62"/>
      <c r="H86" s="62"/>
      <c r="I86" s="62"/>
      <c r="J86" s="62"/>
      <c r="K86" s="251"/>
      <c r="L86" s="251"/>
      <c r="M86" s="251"/>
      <c r="N86" s="251"/>
      <c r="O86" s="251"/>
      <c r="P86" s="251"/>
      <c r="Q86" s="251"/>
      <c r="R86" s="251"/>
      <c r="S86" s="251"/>
      <c r="T86" s="251"/>
      <c r="U86" s="251"/>
      <c r="V86" s="251"/>
      <c r="W86" s="251"/>
      <c r="X86" s="251"/>
      <c r="Y86" s="251"/>
      <c r="Z86" s="536">
        <f t="shared" ref="Z86:AD86" si="126">IF(Z85&gt;=0,Z112,Z112+Z85)</f>
        <v>15</v>
      </c>
      <c r="AA86" s="536">
        <f t="shared" si="126"/>
        <v>17</v>
      </c>
      <c r="AB86" s="536">
        <f t="shared" si="126"/>
        <v>12.5</v>
      </c>
      <c r="AC86" s="536">
        <f t="shared" si="126"/>
        <v>14</v>
      </c>
      <c r="AD86" s="536">
        <f t="shared" si="126"/>
        <v>23</v>
      </c>
      <c r="AE86" s="536">
        <f>IF(AE85&gt;=0,AE112,AE112+AE85)</f>
        <v>-5.8933114299999971</v>
      </c>
      <c r="AF86" s="536">
        <f t="shared" ref="AF86:AL86" si="127">IF(AF85&gt;=0,AF112,AF112+AF85)</f>
        <v>27</v>
      </c>
      <c r="AG86" s="536">
        <f t="shared" si="127"/>
        <v>26</v>
      </c>
      <c r="AH86" s="536">
        <f t="shared" si="127"/>
        <v>26.5</v>
      </c>
      <c r="AI86" s="536">
        <f t="shared" si="127"/>
        <v>27</v>
      </c>
      <c r="AJ86" s="536">
        <f t="shared" si="127"/>
        <v>27</v>
      </c>
      <c r="AK86" s="536">
        <f t="shared" si="127"/>
        <v>27</v>
      </c>
      <c r="AL86" s="536">
        <f t="shared" si="127"/>
        <v>27</v>
      </c>
      <c r="AM86" s="536">
        <f t="shared" ref="AM86:AN86" si="128">IF(AM85&gt;=0,AM112,AM112+AM85)</f>
        <v>27</v>
      </c>
      <c r="AN86" s="536">
        <f t="shared" si="128"/>
        <v>27</v>
      </c>
      <c r="AO86" s="536">
        <f t="shared" ref="AO86" si="129">IF(AO85&gt;=0,AO112,AO112+AO85)</f>
        <v>27</v>
      </c>
      <c r="AP86" s="38"/>
      <c r="AQ86" s="31"/>
      <c r="AR86" s="31"/>
      <c r="AS86" s="31"/>
      <c r="AT86" s="31"/>
    </row>
    <row r="87" spans="1:46" ht="13.2" customHeight="1">
      <c r="A87" s="249"/>
      <c r="B87" s="535" t="s">
        <v>3</v>
      </c>
      <c r="C87" s="535" t="s">
        <v>20</v>
      </c>
      <c r="D87" s="535" t="s">
        <v>186</v>
      </c>
      <c r="E87" s="62"/>
      <c r="F87" s="62"/>
      <c r="G87" s="62"/>
      <c r="H87" s="62"/>
      <c r="I87" s="62"/>
      <c r="J87" s="62"/>
      <c r="K87" s="251"/>
      <c r="L87" s="251"/>
      <c r="M87" s="251"/>
      <c r="N87" s="251"/>
      <c r="O87" s="251"/>
      <c r="P87" s="251"/>
      <c r="Q87" s="251"/>
      <c r="R87" s="251"/>
      <c r="S87" s="251"/>
      <c r="T87" s="251"/>
      <c r="U87" s="251"/>
      <c r="V87" s="251"/>
      <c r="W87" s="251"/>
      <c r="X87" s="251"/>
      <c r="Y87" s="251">
        <f t="shared" ref="Y87:AL87" si="130">IF(Y84&lt;0,0,Y84)</f>
        <v>48.21</v>
      </c>
      <c r="Z87" s="251">
        <f t="shared" si="130"/>
        <v>13.25</v>
      </c>
      <c r="AA87" s="251">
        <f t="shared" si="130"/>
        <v>19.880000000000003</v>
      </c>
      <c r="AB87" s="251">
        <f t="shared" si="130"/>
        <v>17.78</v>
      </c>
      <c r="AC87" s="251">
        <f t="shared" si="130"/>
        <v>15.799999999999997</v>
      </c>
      <c r="AD87" s="251">
        <f t="shared" si="130"/>
        <v>26.229999999999997</v>
      </c>
      <c r="AE87" s="251">
        <f t="shared" si="130"/>
        <v>0</v>
      </c>
      <c r="AF87" s="251">
        <f t="shared" si="130"/>
        <v>23.348695379999995</v>
      </c>
      <c r="AG87" s="251">
        <f t="shared" si="130"/>
        <v>5.7440288600000002</v>
      </c>
      <c r="AH87" s="251">
        <f t="shared" si="130"/>
        <v>8.4879594099999878</v>
      </c>
      <c r="AI87" s="251">
        <f t="shared" si="130"/>
        <v>14.128257629999993</v>
      </c>
      <c r="AJ87" s="251">
        <f t="shared" si="130"/>
        <v>34.225829050000002</v>
      </c>
      <c r="AK87" s="251">
        <f t="shared" si="130"/>
        <v>20.70687556</v>
      </c>
      <c r="AL87" s="251">
        <f t="shared" si="130"/>
        <v>8.4326442600000036</v>
      </c>
      <c r="AM87" s="251">
        <f t="shared" ref="AM87:AN87" si="131">IF(AM84&lt;0,0,AM84)</f>
        <v>22.270865950000001</v>
      </c>
      <c r="AN87" s="251">
        <f t="shared" si="131"/>
        <v>18.221904499999994</v>
      </c>
      <c r="AO87" s="251">
        <f t="shared" ref="AO87" si="132">IF(AO84&lt;0,0,AO84)</f>
        <v>24.656336629999998</v>
      </c>
      <c r="AP87" s="38"/>
      <c r="AQ87" s="31"/>
      <c r="AR87" s="31"/>
      <c r="AS87" s="31"/>
      <c r="AT87" s="31"/>
    </row>
    <row r="88" spans="1:46" ht="13.2" customHeight="1">
      <c r="A88" s="249"/>
      <c r="B88" s="535" t="s">
        <v>3</v>
      </c>
      <c r="C88" s="535" t="s">
        <v>15</v>
      </c>
      <c r="D88" s="535" t="s">
        <v>186</v>
      </c>
      <c r="E88" s="62"/>
      <c r="F88" s="62"/>
      <c r="G88" s="62"/>
      <c r="H88" s="62"/>
      <c r="I88" s="62"/>
      <c r="J88" s="62"/>
      <c r="K88" s="251"/>
      <c r="L88" s="251"/>
      <c r="M88" s="251"/>
      <c r="N88" s="251"/>
      <c r="O88" s="251"/>
      <c r="P88" s="251"/>
      <c r="Q88" s="251"/>
      <c r="R88" s="251"/>
      <c r="S88" s="251"/>
      <c r="T88" s="251"/>
      <c r="U88" s="251"/>
      <c r="V88" s="251"/>
      <c r="W88" s="251"/>
      <c r="X88" s="251"/>
      <c r="Y88" s="251"/>
      <c r="Z88" s="251">
        <f t="shared" ref="Z88:AL88" si="133">IF(Z85&lt;0,0,Z85)</f>
        <v>24.4</v>
      </c>
      <c r="AA88" s="251">
        <f t="shared" si="133"/>
        <v>26</v>
      </c>
      <c r="AB88" s="251">
        <f t="shared" si="133"/>
        <v>23.5</v>
      </c>
      <c r="AC88" s="251">
        <f t="shared" si="133"/>
        <v>22</v>
      </c>
      <c r="AD88" s="251">
        <f t="shared" si="133"/>
        <v>13</v>
      </c>
      <c r="AE88" s="251">
        <f t="shared" si="133"/>
        <v>0</v>
      </c>
      <c r="AF88" s="251">
        <f t="shared" si="133"/>
        <v>15</v>
      </c>
      <c r="AG88" s="251">
        <f t="shared" si="133"/>
        <v>15</v>
      </c>
      <c r="AH88" s="251">
        <f t="shared" si="133"/>
        <v>15</v>
      </c>
      <c r="AI88" s="251">
        <f t="shared" si="133"/>
        <v>15</v>
      </c>
      <c r="AJ88" s="251">
        <f t="shared" si="133"/>
        <v>15</v>
      </c>
      <c r="AK88" s="251">
        <f t="shared" si="133"/>
        <v>15</v>
      </c>
      <c r="AL88" s="251">
        <f t="shared" si="133"/>
        <v>15</v>
      </c>
      <c r="AM88" s="251">
        <f t="shared" ref="AM88:AN88" si="134">IF(AM85&lt;0,0,AM85)</f>
        <v>15</v>
      </c>
      <c r="AN88" s="251">
        <f t="shared" si="134"/>
        <v>15</v>
      </c>
      <c r="AO88" s="251">
        <f t="shared" ref="AO88" si="135">IF(AO85&lt;0,0,AO85)</f>
        <v>15</v>
      </c>
      <c r="AP88" s="38"/>
      <c r="AQ88" s="31"/>
      <c r="AR88" s="31"/>
      <c r="AS88" s="31"/>
      <c r="AT88" s="31"/>
    </row>
    <row r="89" spans="1:46" ht="13.2" customHeight="1">
      <c r="A89" s="249"/>
      <c r="B89" s="535" t="s">
        <v>3</v>
      </c>
      <c r="C89" s="535" t="s">
        <v>16</v>
      </c>
      <c r="D89" s="535" t="s">
        <v>186</v>
      </c>
      <c r="E89" s="62"/>
      <c r="F89" s="62"/>
      <c r="G89" s="62"/>
      <c r="H89" s="62"/>
      <c r="I89" s="62"/>
      <c r="J89" s="62"/>
      <c r="K89" s="251"/>
      <c r="L89" s="251"/>
      <c r="M89" s="251"/>
      <c r="N89" s="251"/>
      <c r="O89" s="251"/>
      <c r="P89" s="251"/>
      <c r="Q89" s="251"/>
      <c r="R89" s="251"/>
      <c r="S89" s="251"/>
      <c r="T89" s="251"/>
      <c r="U89" s="251"/>
      <c r="V89" s="251"/>
      <c r="W89" s="251"/>
      <c r="X89" s="251"/>
      <c r="Y89" s="251"/>
      <c r="Z89" s="251">
        <f>IF(Z86&lt;0,0,Z86)</f>
        <v>15</v>
      </c>
      <c r="AA89" s="251">
        <f t="shared" ref="AA89:AD89" si="136">IF(AA86&lt;0,0,AA86)</f>
        <v>17</v>
      </c>
      <c r="AB89" s="251">
        <f t="shared" si="136"/>
        <v>12.5</v>
      </c>
      <c r="AC89" s="251">
        <f>IF(AC86&lt;0,0,AC86)</f>
        <v>14</v>
      </c>
      <c r="AD89" s="251">
        <f t="shared" si="136"/>
        <v>23</v>
      </c>
      <c r="AE89" s="251">
        <f>IF(AE86&lt;0,0,AE86)</f>
        <v>0</v>
      </c>
      <c r="AF89" s="251">
        <f t="shared" ref="AF89:AL89" si="137">IF(AF86&lt;0,0,AF86)</f>
        <v>27</v>
      </c>
      <c r="AG89" s="251">
        <f t="shared" si="137"/>
        <v>26</v>
      </c>
      <c r="AH89" s="251">
        <f t="shared" si="137"/>
        <v>26.5</v>
      </c>
      <c r="AI89" s="251">
        <f t="shared" si="137"/>
        <v>27</v>
      </c>
      <c r="AJ89" s="251">
        <f t="shared" si="137"/>
        <v>27</v>
      </c>
      <c r="AK89" s="251">
        <f t="shared" si="137"/>
        <v>27</v>
      </c>
      <c r="AL89" s="251">
        <f t="shared" si="137"/>
        <v>27</v>
      </c>
      <c r="AM89" s="251">
        <f t="shared" ref="AM89:AN89" si="138">IF(AM86&lt;0,0,AM86)</f>
        <v>27</v>
      </c>
      <c r="AN89" s="251">
        <f t="shared" si="138"/>
        <v>27</v>
      </c>
      <c r="AO89" s="251">
        <f t="shared" ref="AO89" si="139">IF(AO86&lt;0,0,AO86)</f>
        <v>27</v>
      </c>
      <c r="AP89" s="38"/>
      <c r="AQ89" s="31"/>
      <c r="AR89" s="31"/>
      <c r="AS89" s="31"/>
      <c r="AT89" s="31"/>
    </row>
    <row r="90" spans="1:46">
      <c r="A90" s="247"/>
      <c r="B90" s="248" t="s">
        <v>82</v>
      </c>
      <c r="C90" s="247"/>
      <c r="D90" s="248" t="s">
        <v>80</v>
      </c>
      <c r="E90" s="62"/>
      <c r="F90" s="62"/>
      <c r="G90" s="62"/>
      <c r="H90" s="62"/>
      <c r="I90" s="62"/>
      <c r="J90" s="62"/>
      <c r="K90" s="246">
        <f>SUM(K107:K150)-K8-K61</f>
        <v>186.98999999999998</v>
      </c>
      <c r="L90" s="246">
        <f>SUM(L107:L150)-L8-L61</f>
        <v>176.72567744999995</v>
      </c>
      <c r="M90" s="246">
        <f>SUM(M107:M151)-M8-M61</f>
        <v>184.30329082000003</v>
      </c>
      <c r="N90" s="246">
        <f>SUM(N107:N151)-N8-N61</f>
        <v>172.28545953</v>
      </c>
      <c r="O90" s="246">
        <f>SUM(O107:O151)-O8-O61</f>
        <v>172.38000000000002</v>
      </c>
      <c r="P90" s="246">
        <f>SUM(P107:P151)-P8-P61</f>
        <v>142.44</v>
      </c>
      <c r="Q90" s="246">
        <f>SUM(Q107:Q151)-Q8-Q61</f>
        <v>138.16</v>
      </c>
      <c r="R90" s="246">
        <f t="shared" ref="R90:AL90" si="140">SUM(R107:R151)-R8-R61-R10</f>
        <v>154.13999999999999</v>
      </c>
      <c r="S90" s="246">
        <f t="shared" si="140"/>
        <v>152.03</v>
      </c>
      <c r="T90" s="246">
        <f t="shared" si="140"/>
        <v>164.28000000000006</v>
      </c>
      <c r="U90" s="246">
        <f t="shared" si="140"/>
        <v>174.54000000000002</v>
      </c>
      <c r="V90" s="246">
        <f t="shared" si="140"/>
        <v>191.40999999999997</v>
      </c>
      <c r="W90" s="246">
        <f t="shared" si="140"/>
        <v>148.50240770999997</v>
      </c>
      <c r="X90" s="246">
        <f t="shared" si="140"/>
        <v>163.09299999999999</v>
      </c>
      <c r="Y90" s="246">
        <f t="shared" si="140"/>
        <v>157.68</v>
      </c>
      <c r="Z90" s="246">
        <f t="shared" si="140"/>
        <v>129.34743945000002</v>
      </c>
      <c r="AA90" s="246">
        <f t="shared" si="140"/>
        <v>161.13999999999996</v>
      </c>
      <c r="AB90" s="246">
        <f t="shared" si="140"/>
        <v>135.09999999999997</v>
      </c>
      <c r="AC90" s="246">
        <f t="shared" si="140"/>
        <v>134.05000000000001</v>
      </c>
      <c r="AD90" s="246">
        <f t="shared" si="140"/>
        <v>146.10999999999996</v>
      </c>
      <c r="AE90" s="246">
        <f t="shared" si="140"/>
        <v>77.053561369999983</v>
      </c>
      <c r="AF90" s="246">
        <f t="shared" si="140"/>
        <v>156.71865578999996</v>
      </c>
      <c r="AG90" s="246">
        <f t="shared" si="140"/>
        <v>137.83812602999998</v>
      </c>
      <c r="AH90" s="246">
        <f t="shared" si="140"/>
        <v>142.58115352999994</v>
      </c>
      <c r="AI90" s="246">
        <f t="shared" si="140"/>
        <v>147.44138480999996</v>
      </c>
      <c r="AJ90" s="246">
        <f t="shared" si="140"/>
        <v>170.14226784999997</v>
      </c>
      <c r="AK90" s="246">
        <f t="shared" si="140"/>
        <v>154.51183659999998</v>
      </c>
      <c r="AL90" s="246">
        <f t="shared" si="140"/>
        <v>138.57218816999998</v>
      </c>
      <c r="AM90" s="246">
        <f t="shared" ref="AM90:AN90" si="141">SUM(AM107:AM151)-AM8-AM61-AM10</f>
        <v>154.45627196999999</v>
      </c>
      <c r="AN90" s="246">
        <f t="shared" si="141"/>
        <v>148.96585520999997</v>
      </c>
      <c r="AO90" s="246">
        <f t="shared" ref="AO90" si="142">SUM(AO107:AO151)-AO8-AO61-AO10</f>
        <v>154.68572226999999</v>
      </c>
      <c r="AP90" s="38"/>
      <c r="AQ90" s="31"/>
      <c r="AR90" s="31"/>
      <c r="AS90" s="31"/>
      <c r="AT90" s="31"/>
    </row>
    <row r="91" spans="1:46">
      <c r="A91" s="247"/>
      <c r="B91" s="248" t="s">
        <v>83</v>
      </c>
      <c r="C91" s="247"/>
      <c r="D91" s="248" t="s">
        <v>81</v>
      </c>
      <c r="E91" s="62"/>
      <c r="F91" s="62"/>
      <c r="G91" s="62"/>
      <c r="H91" s="62"/>
      <c r="I91" s="62"/>
      <c r="J91" s="62"/>
      <c r="K91" s="246">
        <f t="shared" ref="K91:AL91" si="143">K107+K108+K111+K112+K113+K115+K117+K120+K123+K125+K127+K128+K135+K138+K140+K143+K145+K147+K149-K8-K10</f>
        <v>171.64</v>
      </c>
      <c r="L91" s="246">
        <f t="shared" si="143"/>
        <v>177.10567744999997</v>
      </c>
      <c r="M91" s="246">
        <f t="shared" si="143"/>
        <v>181.64329082</v>
      </c>
      <c r="N91" s="246">
        <f t="shared" si="143"/>
        <v>172.19545952999999</v>
      </c>
      <c r="O91" s="246">
        <f t="shared" si="143"/>
        <v>161.47</v>
      </c>
      <c r="P91" s="246">
        <f t="shared" si="143"/>
        <v>132.49</v>
      </c>
      <c r="Q91" s="246">
        <f t="shared" si="143"/>
        <v>131.46</v>
      </c>
      <c r="R91" s="246">
        <f t="shared" si="143"/>
        <v>136.26</v>
      </c>
      <c r="S91" s="246">
        <f t="shared" si="143"/>
        <v>132.22999999999999</v>
      </c>
      <c r="T91" s="246">
        <f t="shared" si="143"/>
        <v>133.78</v>
      </c>
      <c r="U91" s="246">
        <f t="shared" si="143"/>
        <v>144.84</v>
      </c>
      <c r="V91" s="246">
        <f t="shared" si="143"/>
        <v>159.91</v>
      </c>
      <c r="W91" s="246">
        <f t="shared" si="143"/>
        <v>128.70240770999999</v>
      </c>
      <c r="X91" s="246">
        <f t="shared" si="143"/>
        <v>142.04300000000001</v>
      </c>
      <c r="Y91" s="246">
        <f t="shared" si="143"/>
        <v>150.13</v>
      </c>
      <c r="Z91" s="246">
        <f t="shared" si="143"/>
        <v>109.42743945000001</v>
      </c>
      <c r="AA91" s="246">
        <f t="shared" si="143"/>
        <v>125.11000000000001</v>
      </c>
      <c r="AB91" s="246">
        <f t="shared" si="143"/>
        <v>106.82999999999998</v>
      </c>
      <c r="AC91" s="246">
        <f t="shared" si="143"/>
        <v>104.82999999999998</v>
      </c>
      <c r="AD91" s="246">
        <f t="shared" si="143"/>
        <v>117.88999999999999</v>
      </c>
      <c r="AE91" s="246">
        <f t="shared" si="143"/>
        <v>48.473561369999999</v>
      </c>
      <c r="AF91" s="246">
        <f t="shared" si="143"/>
        <v>124.83865578999999</v>
      </c>
      <c r="AG91" s="246">
        <f t="shared" si="143"/>
        <v>105.95812603000002</v>
      </c>
      <c r="AH91" s="246">
        <f t="shared" si="143"/>
        <v>110.70115352999997</v>
      </c>
      <c r="AI91" s="246">
        <f t="shared" si="143"/>
        <v>115.56138480999999</v>
      </c>
      <c r="AJ91" s="246">
        <f t="shared" si="143"/>
        <v>138.26226785</v>
      </c>
      <c r="AK91" s="246">
        <f t="shared" si="143"/>
        <v>123.8318366</v>
      </c>
      <c r="AL91" s="246">
        <f t="shared" si="143"/>
        <v>107.89218817</v>
      </c>
      <c r="AM91" s="246">
        <f t="shared" ref="AM91:AN91" si="144">AM107+AM108+AM111+AM112+AM113+AM115+AM117+AM120+AM123+AM125+AM127+AM128+AM135+AM138+AM140+AM143+AM145+AM147+AM149-AM8-AM10</f>
        <v>123.77627197000001</v>
      </c>
      <c r="AN91" s="246">
        <f t="shared" si="144"/>
        <v>118.28585520999999</v>
      </c>
      <c r="AO91" s="246">
        <f t="shared" ref="AO91" si="145">AO107+AO108+AO111+AO112+AO113+AO115+AO117+AO120+AO123+AO125+AO127+AO128+AO135+AO138+AO140+AO143+AO145+AO147+AO149-AO8-AO10</f>
        <v>124.00572227000001</v>
      </c>
      <c r="AP91" s="38"/>
      <c r="AQ91" s="31"/>
      <c r="AR91" s="31"/>
      <c r="AS91" s="31"/>
      <c r="AT91" s="31"/>
    </row>
    <row r="92" spans="1:46">
      <c r="A92" s="262"/>
      <c r="B92" s="263" t="s">
        <v>86</v>
      </c>
      <c r="C92" s="262"/>
      <c r="D92" s="264" t="s">
        <v>121</v>
      </c>
      <c r="E92" s="62"/>
      <c r="F92" s="62"/>
      <c r="G92" s="62"/>
      <c r="H92" s="62"/>
      <c r="I92" s="62"/>
      <c r="J92" s="62"/>
      <c r="K92" s="62"/>
      <c r="L92" s="62"/>
      <c r="M92" s="261">
        <f t="shared" ref="M92:AJ92" si="146">M107+M108+M109+M158+M136+M135</f>
        <v>160.64329082</v>
      </c>
      <c r="N92" s="261">
        <f t="shared" si="146"/>
        <v>152.08545953000001</v>
      </c>
      <c r="O92" s="261">
        <f t="shared" si="146"/>
        <v>147.27000000000001</v>
      </c>
      <c r="P92" s="261">
        <f t="shared" si="146"/>
        <v>120.19</v>
      </c>
      <c r="Q92" s="261">
        <f t="shared" si="146"/>
        <v>121.35999999999999</v>
      </c>
      <c r="R92" s="261">
        <f t="shared" si="146"/>
        <v>125.03999999999999</v>
      </c>
      <c r="S92" s="261">
        <f t="shared" si="146"/>
        <v>142.72999999999999</v>
      </c>
      <c r="T92" s="261">
        <f t="shared" si="146"/>
        <v>149.02000000000001</v>
      </c>
      <c r="U92" s="261">
        <f t="shared" si="146"/>
        <v>147.04</v>
      </c>
      <c r="V92" s="261">
        <f t="shared" si="146"/>
        <v>149.34</v>
      </c>
      <c r="W92" s="261">
        <f t="shared" si="146"/>
        <v>148.90240770999998</v>
      </c>
      <c r="X92" s="261">
        <f t="shared" si="146"/>
        <v>148.19</v>
      </c>
      <c r="Y92" s="261">
        <f t="shared" si="146"/>
        <v>142.56</v>
      </c>
      <c r="Z92" s="261">
        <f t="shared" si="146"/>
        <v>137.14743945000001</v>
      </c>
      <c r="AA92" s="261">
        <f t="shared" si="146"/>
        <v>152.07</v>
      </c>
      <c r="AB92" s="261">
        <f t="shared" si="146"/>
        <v>134.78</v>
      </c>
      <c r="AC92" s="261">
        <f t="shared" si="146"/>
        <v>137.32999999999998</v>
      </c>
      <c r="AD92" s="261">
        <f t="shared" si="146"/>
        <v>137.83999999999997</v>
      </c>
      <c r="AE92" s="261">
        <f t="shared" si="146"/>
        <v>138.46356137000001</v>
      </c>
      <c r="AF92" s="261">
        <f t="shared" si="146"/>
        <v>148.49865578999999</v>
      </c>
      <c r="AG92" s="261">
        <f t="shared" si="146"/>
        <v>147.95812603000002</v>
      </c>
      <c r="AH92" s="261">
        <f t="shared" si="146"/>
        <v>149.70115352999997</v>
      </c>
      <c r="AI92" s="261">
        <f t="shared" si="146"/>
        <v>148.56138480999999</v>
      </c>
      <c r="AJ92" s="261">
        <f t="shared" si="146"/>
        <v>153.34226785000001</v>
      </c>
      <c r="AK92" s="261">
        <f>AK107+AK108+AK109+AK158+AK136+AK135</f>
        <v>152.70183660000001</v>
      </c>
      <c r="AL92" s="261">
        <f>AL107+AL108+AL109+AL158+AL136+AL135</f>
        <v>144.89218817</v>
      </c>
      <c r="AM92" s="261">
        <f>AM107+AM108+AM109+AM158+AM136+AM135</f>
        <v>150.27627197000001</v>
      </c>
      <c r="AN92" s="261">
        <f>AN107+AN108+AN109+AN158+AN136+AN135</f>
        <v>144.28585520999999</v>
      </c>
      <c r="AO92" s="261">
        <f>AO107+AO108+AO109+AO158+AO136+AO135</f>
        <v>145.50572227000001</v>
      </c>
      <c r="AP92" s="38"/>
      <c r="AQ92" s="31"/>
      <c r="AR92" s="31"/>
      <c r="AS92" s="31"/>
      <c r="AT92" s="31"/>
    </row>
    <row r="93" spans="1:46" s="3" customFormat="1">
      <c r="A93" s="37"/>
      <c r="B93" s="510" t="s">
        <v>182</v>
      </c>
      <c r="C93" s="510" t="s">
        <v>118</v>
      </c>
      <c r="D93" s="328" t="s">
        <v>118</v>
      </c>
      <c r="E93" s="509"/>
      <c r="F93" s="509"/>
      <c r="G93" s="509"/>
      <c r="H93" s="509"/>
      <c r="I93" s="509"/>
      <c r="J93" s="509"/>
      <c r="K93" s="509"/>
      <c r="L93" s="509"/>
      <c r="M93" s="509"/>
      <c r="N93" s="509"/>
      <c r="O93" s="509"/>
      <c r="P93" s="509"/>
      <c r="Q93" s="509"/>
      <c r="R93" s="509"/>
      <c r="S93" s="509"/>
      <c r="T93" s="509"/>
      <c r="U93" s="509"/>
      <c r="V93" s="509"/>
      <c r="W93" s="509"/>
      <c r="X93" s="62"/>
      <c r="Y93" s="62"/>
      <c r="Z93" s="62"/>
      <c r="AA93" s="62"/>
      <c r="AB93" s="600">
        <v>12.1</v>
      </c>
      <c r="AC93" s="419">
        <f>16+1</f>
        <v>17</v>
      </c>
      <c r="AD93" s="612">
        <v>18</v>
      </c>
      <c r="AF93" s="62"/>
      <c r="AG93" s="62"/>
      <c r="AH93" s="62"/>
      <c r="AI93" s="62"/>
      <c r="AJ93" s="599">
        <v>6.8310000000000004</v>
      </c>
      <c r="AK93" s="62"/>
      <c r="AL93" s="62"/>
      <c r="AM93" s="62"/>
      <c r="AN93" s="62"/>
      <c r="AO93" s="62"/>
      <c r="AP93" s="325"/>
      <c r="AQ93" s="434">
        <f>SUM(Y93:AJ93)</f>
        <v>53.931000000000004</v>
      </c>
    </row>
    <row r="94" spans="1:46">
      <c r="A94" s="37"/>
      <c r="B94" s="32" t="s">
        <v>3</v>
      </c>
      <c r="C94" s="32" t="s">
        <v>180</v>
      </c>
      <c r="D94" s="5" t="s">
        <v>3</v>
      </c>
      <c r="E94" s="62"/>
      <c r="F94" s="62"/>
      <c r="G94" s="62"/>
      <c r="H94" s="62"/>
      <c r="I94" s="62"/>
      <c r="J94" s="62"/>
      <c r="K94" s="62"/>
      <c r="L94" s="62"/>
      <c r="M94" s="62"/>
      <c r="N94" s="62"/>
      <c r="O94" s="62"/>
      <c r="P94" s="62"/>
      <c r="Q94" s="62"/>
      <c r="R94" s="62"/>
      <c r="S94" s="62"/>
      <c r="T94" s="62"/>
      <c r="U94" s="62"/>
      <c r="V94" s="62"/>
      <c r="W94" s="62"/>
      <c r="X94" s="62"/>
      <c r="Y94" s="58">
        <f>Y99+Y100+Y93</f>
        <v>0</v>
      </c>
      <c r="Z94" s="58">
        <f>Z99+Z100+Z93</f>
        <v>9</v>
      </c>
      <c r="AA94" s="58">
        <f>AA99+AA100+AA93</f>
        <v>10.8</v>
      </c>
      <c r="AB94" s="58">
        <f>AB99+AB100+AB93</f>
        <v>22.7</v>
      </c>
      <c r="AC94" s="58">
        <f t="shared" ref="AC94:AJ94" si="147">AC99+AC100+AC93</f>
        <v>27.5</v>
      </c>
      <c r="AD94" s="58">
        <v>27</v>
      </c>
      <c r="AE94" s="58">
        <f>AE99+AE100+AD93</f>
        <v>18</v>
      </c>
      <c r="AF94" s="58">
        <f t="shared" si="147"/>
        <v>12</v>
      </c>
      <c r="AG94" s="58">
        <f t="shared" si="147"/>
        <v>12.86</v>
      </c>
      <c r="AH94" s="58">
        <f t="shared" si="147"/>
        <v>17.059999999999999</v>
      </c>
      <c r="AI94" s="58">
        <f t="shared" si="147"/>
        <v>12.06</v>
      </c>
      <c r="AJ94" s="58">
        <f t="shared" si="147"/>
        <v>12.84</v>
      </c>
      <c r="AK94" s="58">
        <f>AK99+AK100+AK93</f>
        <v>9</v>
      </c>
      <c r="AL94" s="58">
        <f>AL99+AL100+AL93</f>
        <v>9</v>
      </c>
      <c r="AM94" s="58">
        <f>AM99+AM100+AM93</f>
        <v>9</v>
      </c>
      <c r="AN94" s="58">
        <f>AN99+AN100+AN93</f>
        <v>9</v>
      </c>
      <c r="AO94" s="58">
        <f>AO99+AO100+AO93</f>
        <v>9</v>
      </c>
      <c r="AP94" s="38"/>
      <c r="AQ94" s="31"/>
      <c r="AR94" s="31"/>
      <c r="AS94" s="31"/>
      <c r="AT94" s="31"/>
    </row>
    <row r="95" spans="1:46" s="38" customFormat="1" ht="24" thickBot="1">
      <c r="A95" s="383" t="s">
        <v>6</v>
      </c>
      <c r="B95" s="32" t="s">
        <v>3</v>
      </c>
      <c r="C95" s="5" t="s">
        <v>11</v>
      </c>
      <c r="D95" s="5" t="s">
        <v>3</v>
      </c>
      <c r="E95" s="55">
        <v>97.96</v>
      </c>
      <c r="F95" s="55">
        <f>79+2</f>
        <v>81</v>
      </c>
      <c r="G95" s="55">
        <v>71</v>
      </c>
      <c r="H95" s="55">
        <f>67.5-0.5</f>
        <v>67</v>
      </c>
      <c r="I95" s="223">
        <f>61.5+0.5</f>
        <v>62</v>
      </c>
      <c r="J95" s="55">
        <v>63</v>
      </c>
      <c r="K95" s="55">
        <f>57+4+2+2</f>
        <v>65</v>
      </c>
      <c r="L95" s="98">
        <f>(59.5+5.5+1.5+2)-3</f>
        <v>65.5</v>
      </c>
      <c r="M95" s="55">
        <v>47</v>
      </c>
      <c r="N95" s="55">
        <v>22</v>
      </c>
      <c r="O95" s="98">
        <v>39</v>
      </c>
      <c r="P95" s="98">
        <f t="shared" ref="P95:X95" si="148">P97+P98</f>
        <v>44.5</v>
      </c>
      <c r="Q95" s="98">
        <f t="shared" si="148"/>
        <v>43.5</v>
      </c>
      <c r="R95" s="223">
        <f t="shared" si="148"/>
        <v>55.5</v>
      </c>
      <c r="S95" s="223">
        <f t="shared" si="148"/>
        <v>47.93</v>
      </c>
      <c r="T95" s="223">
        <f t="shared" si="148"/>
        <v>56.379999999999995</v>
      </c>
      <c r="U95" s="223">
        <f t="shared" si="148"/>
        <v>42.91</v>
      </c>
      <c r="V95" s="223">
        <f t="shared" si="148"/>
        <v>43</v>
      </c>
      <c r="W95" s="223">
        <f t="shared" si="148"/>
        <v>48.4</v>
      </c>
      <c r="X95" s="223">
        <f t="shared" si="148"/>
        <v>58.5</v>
      </c>
      <c r="Y95" s="223">
        <f t="shared" ref="Y95:AD95" si="149">Y97+Y98</f>
        <v>56.42</v>
      </c>
      <c r="Z95" s="223">
        <f t="shared" si="149"/>
        <v>40.159999999999997</v>
      </c>
      <c r="AA95" s="223">
        <f t="shared" si="149"/>
        <v>51.32</v>
      </c>
      <c r="AB95" s="223">
        <f t="shared" si="149"/>
        <v>33.5</v>
      </c>
      <c r="AC95" s="223">
        <f t="shared" si="149"/>
        <v>66.900000000000006</v>
      </c>
      <c r="AD95" s="223">
        <f t="shared" si="149"/>
        <v>56.331999999999994</v>
      </c>
      <c r="AE95" s="223">
        <f t="shared" ref="AE95:AK95" si="150">AE97+AE98</f>
        <v>99.436000000000007</v>
      </c>
      <c r="AF95" s="223">
        <f t="shared" si="150"/>
        <v>66.082999999999998</v>
      </c>
      <c r="AG95" s="223">
        <f t="shared" si="150"/>
        <v>65.673000000000002</v>
      </c>
      <c r="AH95" s="223">
        <f t="shared" si="150"/>
        <v>69.096000000000004</v>
      </c>
      <c r="AI95" s="223">
        <f t="shared" si="150"/>
        <v>60.376000000000005</v>
      </c>
      <c r="AJ95" s="223">
        <f t="shared" si="150"/>
        <v>50.460999999999999</v>
      </c>
      <c r="AK95" s="223">
        <f t="shared" si="150"/>
        <v>56.42</v>
      </c>
      <c r="AL95" s="223">
        <f t="shared" ref="AL95:AM95" si="151">AL97+AL98</f>
        <v>50.96</v>
      </c>
      <c r="AM95" s="223">
        <f t="shared" si="151"/>
        <v>56.42</v>
      </c>
      <c r="AN95" s="223">
        <f t="shared" ref="AN95:AO95" si="152">AN97+AN98</f>
        <v>54.6</v>
      </c>
      <c r="AO95" s="223">
        <f t="shared" si="152"/>
        <v>56.42</v>
      </c>
    </row>
    <row r="96" spans="1:46" s="75" customFormat="1" ht="15" thickBot="1">
      <c r="A96" s="81" t="s">
        <v>30</v>
      </c>
      <c r="B96" s="502" t="s">
        <v>7</v>
      </c>
      <c r="C96" s="503" t="s">
        <v>6</v>
      </c>
      <c r="D96" s="372" t="s">
        <v>10</v>
      </c>
      <c r="E96" s="382">
        <f t="shared" ref="E96:AL96" si="153">E3</f>
        <v>43587</v>
      </c>
      <c r="F96" s="382">
        <f t="shared" si="153"/>
        <v>43618</v>
      </c>
      <c r="G96" s="382">
        <f t="shared" si="153"/>
        <v>43648</v>
      </c>
      <c r="H96" s="382">
        <f t="shared" si="153"/>
        <v>43679</v>
      </c>
      <c r="I96" s="382">
        <f t="shared" si="153"/>
        <v>43710</v>
      </c>
      <c r="J96" s="382">
        <f t="shared" si="153"/>
        <v>43740</v>
      </c>
      <c r="K96" s="382">
        <f t="shared" si="153"/>
        <v>43771</v>
      </c>
      <c r="L96" s="382">
        <f t="shared" si="153"/>
        <v>43801</v>
      </c>
      <c r="M96" s="382">
        <f t="shared" si="153"/>
        <v>43832</v>
      </c>
      <c r="N96" s="382">
        <f t="shared" si="153"/>
        <v>43863</v>
      </c>
      <c r="O96" s="382">
        <f t="shared" si="153"/>
        <v>43892</v>
      </c>
      <c r="P96" s="382">
        <f t="shared" si="153"/>
        <v>43923</v>
      </c>
      <c r="Q96" s="382">
        <f t="shared" si="153"/>
        <v>43953</v>
      </c>
      <c r="R96" s="77">
        <f t="shared" si="153"/>
        <v>43984</v>
      </c>
      <c r="S96" s="78">
        <f t="shared" si="153"/>
        <v>44014</v>
      </c>
      <c r="T96" s="78">
        <f t="shared" si="153"/>
        <v>44045</v>
      </c>
      <c r="U96" s="78">
        <f t="shared" si="153"/>
        <v>44076</v>
      </c>
      <c r="V96" s="78">
        <f t="shared" si="153"/>
        <v>44106</v>
      </c>
      <c r="W96" s="78">
        <f t="shared" si="153"/>
        <v>44137</v>
      </c>
      <c r="X96" s="78">
        <f t="shared" si="153"/>
        <v>44167</v>
      </c>
      <c r="Y96" s="79">
        <f t="shared" si="153"/>
        <v>44198</v>
      </c>
      <c r="Z96" s="80">
        <f t="shared" si="153"/>
        <v>44229</v>
      </c>
      <c r="AA96" s="80">
        <f t="shared" si="153"/>
        <v>44257</v>
      </c>
      <c r="AB96" s="80">
        <f t="shared" si="153"/>
        <v>44288</v>
      </c>
      <c r="AC96" s="80">
        <f t="shared" si="153"/>
        <v>44318</v>
      </c>
      <c r="AD96" s="80">
        <f t="shared" si="153"/>
        <v>44349</v>
      </c>
      <c r="AE96" s="80">
        <f t="shared" si="153"/>
        <v>44379</v>
      </c>
      <c r="AF96" s="80">
        <f t="shared" si="153"/>
        <v>44410</v>
      </c>
      <c r="AG96" s="80">
        <f t="shared" si="153"/>
        <v>44441</v>
      </c>
      <c r="AH96" s="80">
        <f t="shared" si="153"/>
        <v>44471</v>
      </c>
      <c r="AI96" s="80">
        <f t="shared" si="153"/>
        <v>44502</v>
      </c>
      <c r="AJ96" s="80">
        <f t="shared" si="153"/>
        <v>44532</v>
      </c>
      <c r="AK96" s="77">
        <f t="shared" si="153"/>
        <v>44563</v>
      </c>
      <c r="AL96" s="78">
        <f t="shared" si="153"/>
        <v>44594</v>
      </c>
      <c r="AM96" s="78">
        <f t="shared" ref="AM96:AN96" si="154">AM3</f>
        <v>44622</v>
      </c>
      <c r="AN96" s="601">
        <f t="shared" si="154"/>
        <v>44653</v>
      </c>
      <c r="AO96" s="601">
        <f t="shared" ref="AO96" si="155">AO3</f>
        <v>44683</v>
      </c>
      <c r="AP96" s="73"/>
      <c r="AQ96" s="433" t="s">
        <v>159</v>
      </c>
      <c r="AR96" s="74"/>
      <c r="AS96" s="74"/>
      <c r="AT96" s="74"/>
    </row>
    <row r="97" spans="1:46" ht="14.7" customHeight="1">
      <c r="A97" s="380" t="s">
        <v>8</v>
      </c>
      <c r="B97" s="332" t="s">
        <v>3</v>
      </c>
      <c r="C97" s="381" t="s">
        <v>122</v>
      </c>
      <c r="D97" s="4" t="s">
        <v>3</v>
      </c>
      <c r="E97" s="62"/>
      <c r="F97" s="62"/>
      <c r="G97" s="62"/>
      <c r="H97" s="62"/>
      <c r="I97" s="62"/>
      <c r="J97" s="62"/>
      <c r="K97" s="62"/>
      <c r="L97" s="62"/>
      <c r="M97" s="62"/>
      <c r="N97" s="62"/>
      <c r="O97" s="62"/>
      <c r="P97" s="341">
        <v>29</v>
      </c>
      <c r="Q97" s="341">
        <v>26</v>
      </c>
      <c r="R97" s="341">
        <v>26</v>
      </c>
      <c r="S97" s="414">
        <v>20.72</v>
      </c>
      <c r="T97" s="414">
        <v>20.38</v>
      </c>
      <c r="U97" s="414">
        <v>22.41</v>
      </c>
      <c r="V97" s="414">
        <v>27</v>
      </c>
      <c r="W97" s="470">
        <f>23+1.4</f>
        <v>24.4</v>
      </c>
      <c r="X97" s="470">
        <v>29</v>
      </c>
      <c r="Y97" s="524">
        <f>720*Y1/1000</f>
        <v>22.32</v>
      </c>
      <c r="Z97" s="523">
        <f>720*Z1/1000</f>
        <v>20.16</v>
      </c>
      <c r="AA97" s="555">
        <f>(720*AA1/1000)-2.5-1</f>
        <v>18.82</v>
      </c>
      <c r="AB97" s="611">
        <v>12</v>
      </c>
      <c r="AC97" s="618">
        <v>24.5</v>
      </c>
      <c r="AD97" s="523">
        <v>18.3</v>
      </c>
      <c r="AE97" s="523">
        <v>22.32</v>
      </c>
      <c r="AF97" s="523">
        <v>22.32</v>
      </c>
      <c r="AG97" s="523">
        <v>20.725999999999999</v>
      </c>
      <c r="AH97" s="523">
        <v>22.32</v>
      </c>
      <c r="AI97" s="523">
        <v>21.6</v>
      </c>
      <c r="AJ97" s="633">
        <v>22.622</v>
      </c>
      <c r="AK97" s="546">
        <f t="shared" ref="AK97:AL97" si="156">720*AK1/1000</f>
        <v>22.32</v>
      </c>
      <c r="AL97" s="468">
        <f t="shared" si="156"/>
        <v>20.16</v>
      </c>
      <c r="AM97" s="468">
        <f t="shared" ref="AM97:AN97" si="157">720*AM1/1000</f>
        <v>22.32</v>
      </c>
      <c r="AN97" s="468">
        <f t="shared" si="157"/>
        <v>21.6</v>
      </c>
      <c r="AO97" s="468">
        <f t="shared" ref="AO97" si="158">720*AO1/1000</f>
        <v>22.32</v>
      </c>
      <c r="AP97" s="38"/>
      <c r="AQ97" s="434">
        <f>SUM(Y97:AJ97)</f>
        <v>248.00799999999998</v>
      </c>
      <c r="AR97" s="31"/>
      <c r="AS97" s="31"/>
      <c r="AT97" s="31"/>
    </row>
    <row r="98" spans="1:46" s="31" customFormat="1">
      <c r="A98" s="37"/>
      <c r="B98" s="332" t="s">
        <v>3</v>
      </c>
      <c r="C98" s="32" t="s">
        <v>138</v>
      </c>
      <c r="D98" s="4" t="s">
        <v>3</v>
      </c>
      <c r="E98" s="91"/>
      <c r="F98" s="91"/>
      <c r="G98" s="91"/>
      <c r="H98" s="91"/>
      <c r="I98" s="91"/>
      <c r="J98" s="91"/>
      <c r="K98" s="91"/>
      <c r="L98" s="91"/>
      <c r="M98" s="91"/>
      <c r="N98" s="91"/>
      <c r="O98" s="91"/>
      <c r="P98" s="342">
        <v>15.5</v>
      </c>
      <c r="Q98" s="352">
        <v>17.5</v>
      </c>
      <c r="R98" s="356">
        <v>29.5</v>
      </c>
      <c r="S98" s="419">
        <f>31.21-4</f>
        <v>27.21</v>
      </c>
      <c r="T98" s="342">
        <f>31.25+7.5-2.75</f>
        <v>36</v>
      </c>
      <c r="U98" s="419">
        <v>20.5</v>
      </c>
      <c r="V98" s="342">
        <v>16</v>
      </c>
      <c r="W98" s="419">
        <v>24</v>
      </c>
      <c r="X98" s="475">
        <v>29.5</v>
      </c>
      <c r="Y98" s="437">
        <f>34.1</f>
        <v>34.1</v>
      </c>
      <c r="Z98" s="223">
        <f>25-5</f>
        <v>20</v>
      </c>
      <c r="AA98" s="98">
        <f>31.5+1</f>
        <v>32.5</v>
      </c>
      <c r="AB98" s="617">
        <v>21.5</v>
      </c>
      <c r="AC98" s="619">
        <v>42.4</v>
      </c>
      <c r="AD98" s="354">
        <f>35.032+3</f>
        <v>38.031999999999996</v>
      </c>
      <c r="AE98" s="615">
        <f>74.116+3</f>
        <v>77.116</v>
      </c>
      <c r="AF98" s="354">
        <v>43.762999999999998</v>
      </c>
      <c r="AG98" s="354">
        <v>44.947000000000003</v>
      </c>
      <c r="AH98" s="354">
        <v>46.776000000000003</v>
      </c>
      <c r="AI98" s="354">
        <v>38.776000000000003</v>
      </c>
      <c r="AJ98" s="58">
        <v>27.838999999999999</v>
      </c>
      <c r="AK98" s="544">
        <f>1100*AK1/1000</f>
        <v>34.1</v>
      </c>
      <c r="AL98" s="533">
        <f>1100*AL1/1000</f>
        <v>30.8</v>
      </c>
      <c r="AM98" s="533">
        <f>1100*AM1/1000</f>
        <v>34.1</v>
      </c>
      <c r="AN98" s="533">
        <f>1100*AN1/1000</f>
        <v>33</v>
      </c>
      <c r="AO98" s="533">
        <f>1100*AO1/1000</f>
        <v>34.1</v>
      </c>
      <c r="AP98" s="38"/>
      <c r="AQ98" s="434">
        <f t="shared" ref="AQ98:AQ105" si="159">SUM(Y98:AJ98)</f>
        <v>467.74899999999997</v>
      </c>
    </row>
    <row r="99" spans="1:46">
      <c r="A99" s="327"/>
      <c r="B99" s="332" t="s">
        <v>3</v>
      </c>
      <c r="C99" s="5" t="s">
        <v>123</v>
      </c>
      <c r="D99" s="4" t="s">
        <v>3</v>
      </c>
      <c r="E99" s="55"/>
      <c r="F99" s="55"/>
      <c r="G99" s="55"/>
      <c r="H99" s="55"/>
      <c r="I99" s="223"/>
      <c r="J99" s="55"/>
      <c r="K99" s="55"/>
      <c r="L99" s="265"/>
      <c r="M99" s="55"/>
      <c r="N99" s="55"/>
      <c r="O99" s="98"/>
      <c r="P99" s="98"/>
      <c r="Q99" s="98"/>
      <c r="R99" s="98"/>
      <c r="S99" s="98"/>
      <c r="T99" s="98"/>
      <c r="U99" s="98"/>
      <c r="V99" s="98"/>
      <c r="W99" s="98"/>
      <c r="X99" s="98"/>
      <c r="Y99" s="430">
        <v>0</v>
      </c>
      <c r="Z99" s="321">
        <f>10.8-1.8</f>
        <v>9</v>
      </c>
      <c r="AA99" s="467">
        <v>10.8</v>
      </c>
      <c r="AB99" s="599">
        <v>10.6</v>
      </c>
      <c r="AC99" s="602">
        <v>10.5</v>
      </c>
      <c r="AD99" s="635">
        <f>11-1</f>
        <v>10</v>
      </c>
      <c r="AE99" s="542"/>
      <c r="AF99" s="467">
        <v>5.1689999999999996</v>
      </c>
      <c r="AG99" s="467">
        <v>6.0289999999999999</v>
      </c>
      <c r="AH99" s="467">
        <v>10.228999999999999</v>
      </c>
      <c r="AI99" s="467">
        <v>5.2290000000000001</v>
      </c>
      <c r="AJ99" s="467">
        <v>6.0090000000000003</v>
      </c>
      <c r="AK99" s="430">
        <v>9</v>
      </c>
      <c r="AL99" s="425">
        <v>9</v>
      </c>
      <c r="AM99" s="425">
        <v>9</v>
      </c>
      <c r="AN99" s="425">
        <v>9</v>
      </c>
      <c r="AO99" s="425">
        <v>9</v>
      </c>
      <c r="AP99" s="38"/>
      <c r="AQ99" s="434">
        <f t="shared" si="159"/>
        <v>83.564999999999998</v>
      </c>
      <c r="AR99" s="31"/>
      <c r="AS99" s="31"/>
      <c r="AT99" s="31"/>
    </row>
    <row r="100" spans="1:46">
      <c r="A100" s="327"/>
      <c r="B100" s="332" t="s">
        <v>3</v>
      </c>
      <c r="C100" s="5" t="s">
        <v>181</v>
      </c>
      <c r="D100" s="4" t="s">
        <v>3</v>
      </c>
      <c r="E100" s="55"/>
      <c r="F100" s="55"/>
      <c r="G100" s="55"/>
      <c r="H100" s="55"/>
      <c r="I100" s="223"/>
      <c r="J100" s="55"/>
      <c r="K100" s="55"/>
      <c r="L100" s="265"/>
      <c r="M100" s="55"/>
      <c r="N100" s="55"/>
      <c r="O100" s="98"/>
      <c r="P100" s="98"/>
      <c r="Q100" s="98"/>
      <c r="R100" s="98"/>
      <c r="S100" s="98"/>
      <c r="T100" s="98"/>
      <c r="U100" s="98"/>
      <c r="V100" s="98"/>
      <c r="W100" s="98"/>
      <c r="X100" s="98"/>
      <c r="Y100" s="430"/>
      <c r="Z100" s="467"/>
      <c r="AA100" s="467"/>
      <c r="AB100" s="425">
        <v>0</v>
      </c>
      <c r="AC100" s="321"/>
      <c r="AD100" s="321"/>
      <c r="AE100" s="542"/>
      <c r="AF100" s="467">
        <v>6.8310000000000004</v>
      </c>
      <c r="AG100" s="467">
        <v>6.8310000000000004</v>
      </c>
      <c r="AH100" s="467">
        <v>6.8310000000000004</v>
      </c>
      <c r="AI100" s="467">
        <v>6.8310000000000004</v>
      </c>
      <c r="AJ100" s="599"/>
      <c r="AK100" s="430"/>
      <c r="AL100" s="425"/>
      <c r="AM100" s="425"/>
      <c r="AN100" s="425"/>
      <c r="AO100" s="425"/>
      <c r="AP100" s="38"/>
      <c r="AQ100" s="434">
        <f t="shared" si="159"/>
        <v>27.324000000000002</v>
      </c>
      <c r="AR100" s="31"/>
      <c r="AS100" s="31"/>
      <c r="AT100" s="31"/>
    </row>
    <row r="101" spans="1:46">
      <c r="A101" s="327"/>
      <c r="B101" s="332" t="s">
        <v>3</v>
      </c>
      <c r="C101" s="5" t="s">
        <v>124</v>
      </c>
      <c r="D101" s="4" t="s">
        <v>3</v>
      </c>
      <c r="E101" s="55">
        <v>22.7</v>
      </c>
      <c r="F101" s="55">
        <v>32</v>
      </c>
      <c r="G101" s="124">
        <f>15+1</f>
        <v>16</v>
      </c>
      <c r="H101" s="124">
        <f>13+1</f>
        <v>14</v>
      </c>
      <c r="I101" s="223">
        <f>6+2</f>
        <v>8</v>
      </c>
      <c r="J101" s="223">
        <v>6</v>
      </c>
      <c r="K101" s="223">
        <v>6</v>
      </c>
      <c r="L101" s="223">
        <v>13</v>
      </c>
      <c r="M101" s="223">
        <v>12</v>
      </c>
      <c r="N101" s="223">
        <v>12</v>
      </c>
      <c r="O101" s="223">
        <f>12+25</f>
        <v>37</v>
      </c>
      <c r="P101" s="223">
        <f>12+9+5+6</f>
        <v>32</v>
      </c>
      <c r="Q101" s="343">
        <v>0</v>
      </c>
      <c r="R101" s="98"/>
      <c r="S101" s="223"/>
      <c r="T101" s="223"/>
      <c r="U101" s="223"/>
      <c r="V101" s="450"/>
      <c r="W101" s="223"/>
      <c r="X101" s="222"/>
      <c r="Y101" s="431"/>
      <c r="Z101" s="223">
        <f>15+2.5</f>
        <v>17.5</v>
      </c>
      <c r="AA101" s="223">
        <v>3.24</v>
      </c>
      <c r="AB101" s="98">
        <f>23+4.5+0.6</f>
        <v>28.1</v>
      </c>
      <c r="AC101" s="349">
        <v>30.8</v>
      </c>
      <c r="AD101" s="223">
        <f>17+2</f>
        <v>19</v>
      </c>
      <c r="AE101" s="615">
        <v>0</v>
      </c>
      <c r="AF101" s="634">
        <v>3</v>
      </c>
      <c r="AG101" s="634">
        <v>3</v>
      </c>
      <c r="AH101" s="634">
        <v>3</v>
      </c>
      <c r="AI101" s="634">
        <v>3</v>
      </c>
      <c r="AJ101" s="634">
        <v>3</v>
      </c>
      <c r="AK101" s="431">
        <v>3</v>
      </c>
      <c r="AL101" s="426">
        <v>3</v>
      </c>
      <c r="AM101" s="426">
        <v>3</v>
      </c>
      <c r="AN101" s="426">
        <v>3</v>
      </c>
      <c r="AO101" s="426">
        <v>3</v>
      </c>
      <c r="AP101" s="38"/>
      <c r="AQ101" s="434">
        <f t="shared" si="159"/>
        <v>113.64</v>
      </c>
      <c r="AR101" s="74"/>
      <c r="AS101" s="74"/>
      <c r="AT101" s="31"/>
    </row>
    <row r="102" spans="1:46">
      <c r="A102" s="327"/>
      <c r="B102" s="332" t="s">
        <v>3</v>
      </c>
      <c r="C102" s="5" t="s">
        <v>12</v>
      </c>
      <c r="D102" s="4" t="s">
        <v>3</v>
      </c>
      <c r="E102" s="55">
        <v>25.201000000000001</v>
      </c>
      <c r="F102" s="55">
        <v>1.85</v>
      </c>
      <c r="G102" s="55">
        <v>24.5</v>
      </c>
      <c r="H102" s="223">
        <v>25</v>
      </c>
      <c r="I102" s="222">
        <v>26.736999999999998</v>
      </c>
      <c r="J102" s="222">
        <v>33.479999999999997</v>
      </c>
      <c r="K102" s="222">
        <v>31.632000000000001</v>
      </c>
      <c r="L102" s="265">
        <v>25</v>
      </c>
      <c r="M102" s="55">
        <v>32.86</v>
      </c>
      <c r="N102" s="321">
        <v>25.4</v>
      </c>
      <c r="O102" s="321">
        <v>16.645</v>
      </c>
      <c r="P102" s="98">
        <v>24</v>
      </c>
      <c r="Q102" s="350">
        <v>21.957999999999998</v>
      </c>
      <c r="R102" s="98">
        <v>23.643999999999998</v>
      </c>
      <c r="S102" s="349">
        <v>25.8</v>
      </c>
      <c r="T102" s="223">
        <v>31.132362637362636</v>
      </c>
      <c r="U102" s="349">
        <v>30.3</v>
      </c>
      <c r="V102" s="223">
        <f>1060*31/1000</f>
        <v>32.86</v>
      </c>
      <c r="W102" s="223">
        <f>1040*30/1000</f>
        <v>31.2</v>
      </c>
      <c r="X102" s="98">
        <v>25.673999999999999</v>
      </c>
      <c r="Y102" s="462">
        <f>1040*Y1/1000</f>
        <v>32.24</v>
      </c>
      <c r="Z102" s="321">
        <v>28.1</v>
      </c>
      <c r="AA102" s="467">
        <f>1040*AA1/1000</f>
        <v>32.24</v>
      </c>
      <c r="AB102" s="321">
        <v>24.491</v>
      </c>
      <c r="AC102" s="321">
        <v>26.954999999999998</v>
      </c>
      <c r="AD102" s="467">
        <f>1040*AD1/1000</f>
        <v>31.2</v>
      </c>
      <c r="AE102" s="467">
        <f>24.5</f>
        <v>24.5</v>
      </c>
      <c r="AF102" s="467">
        <f>1040*AF1/1000</f>
        <v>32.24</v>
      </c>
      <c r="AG102" s="425">
        <v>22.7</v>
      </c>
      <c r="AH102" s="321">
        <v>0</v>
      </c>
      <c r="AI102" s="425">
        <f t="shared" ref="AI102:AN102" si="160">1040*AI1/1000</f>
        <v>31.2</v>
      </c>
      <c r="AJ102" s="425">
        <f t="shared" si="160"/>
        <v>32.24</v>
      </c>
      <c r="AK102" s="430">
        <f t="shared" si="160"/>
        <v>32.24</v>
      </c>
      <c r="AL102" s="425">
        <f t="shared" si="160"/>
        <v>29.12</v>
      </c>
      <c r="AM102" s="425">
        <f t="shared" si="160"/>
        <v>32.24</v>
      </c>
      <c r="AN102" s="425">
        <f t="shared" si="160"/>
        <v>31.2</v>
      </c>
      <c r="AO102" s="425">
        <f t="shared" ref="AO102" si="161">1040*AO1/1000</f>
        <v>32.24</v>
      </c>
      <c r="AP102" s="38"/>
      <c r="AQ102" s="434">
        <f t="shared" si="159"/>
        <v>318.10599999999999</v>
      </c>
      <c r="AR102" s="74"/>
      <c r="AS102" s="74"/>
      <c r="AT102" s="31"/>
    </row>
    <row r="103" spans="1:46" ht="15" thickBot="1">
      <c r="A103" s="327"/>
      <c r="B103" s="332" t="s">
        <v>3</v>
      </c>
      <c r="C103" s="5" t="s">
        <v>13</v>
      </c>
      <c r="D103" s="4" t="s">
        <v>3</v>
      </c>
      <c r="E103" s="55">
        <v>8.1080000000000005</v>
      </c>
      <c r="F103" s="98">
        <v>11.057</v>
      </c>
      <c r="G103" s="55">
        <f>30.837+1</f>
        <v>31.837</v>
      </c>
      <c r="H103" s="55">
        <v>31.837</v>
      </c>
      <c r="I103" s="55">
        <v>30.81</v>
      </c>
      <c r="J103" s="55">
        <v>31.837</v>
      </c>
      <c r="K103" s="55">
        <v>30.81</v>
      </c>
      <c r="L103" s="265">
        <v>23.632999999999999</v>
      </c>
      <c r="M103" s="265">
        <v>17.95</v>
      </c>
      <c r="N103" s="55">
        <f>26.179-0.873</f>
        <v>25.305999999999997</v>
      </c>
      <c r="O103" s="98">
        <f>28.022-0.417-0.922</f>
        <v>26.682999999999996</v>
      </c>
      <c r="P103" s="265">
        <v>20.55</v>
      </c>
      <c r="Q103" s="345">
        <v>8</v>
      </c>
      <c r="R103" s="55">
        <v>20</v>
      </c>
      <c r="S103" s="349">
        <v>22</v>
      </c>
      <c r="T103" s="429">
        <v>21.2</v>
      </c>
      <c r="U103" s="242">
        <v>21.2</v>
      </c>
      <c r="V103" s="242">
        <v>21.2</v>
      </c>
      <c r="W103" s="463">
        <v>21.2</v>
      </c>
      <c r="X103" s="501">
        <f>21.2+7.5</f>
        <v>28.7</v>
      </c>
      <c r="Y103" s="514">
        <f>21.672+1.635+2.9</f>
        <v>26.207000000000001</v>
      </c>
      <c r="Z103" s="223">
        <f>21.276</f>
        <v>21.276</v>
      </c>
      <c r="AA103" s="223">
        <v>23.556000000000001</v>
      </c>
      <c r="AB103" s="98">
        <f>18.7-22.796+22.796+1</f>
        <v>19.7</v>
      </c>
      <c r="AC103" s="615">
        <v>20.771999999999998</v>
      </c>
      <c r="AD103" s="223">
        <v>22.036000000000001</v>
      </c>
      <c r="AE103" s="223">
        <v>0.88100000000000001</v>
      </c>
      <c r="AF103" s="223">
        <v>21.276</v>
      </c>
      <c r="AG103" s="223">
        <v>21.884</v>
      </c>
      <c r="AH103" s="223">
        <v>20.257999999999999</v>
      </c>
      <c r="AI103" s="223">
        <v>22.658999999999999</v>
      </c>
      <c r="AJ103" s="223">
        <v>23.556000000000001</v>
      </c>
      <c r="AK103" s="431">
        <v>21.232876712328764</v>
      </c>
      <c r="AL103" s="426">
        <v>19.17808219178082</v>
      </c>
      <c r="AM103" s="426">
        <v>21.232876712328764</v>
      </c>
      <c r="AN103" s="426">
        <v>20.547945205479454</v>
      </c>
      <c r="AO103" s="426">
        <v>21.232876712328764</v>
      </c>
      <c r="AP103" s="38"/>
      <c r="AQ103" s="434">
        <f t="shared" si="159"/>
        <v>244.06100000000004</v>
      </c>
      <c r="AR103" s="74"/>
      <c r="AS103" s="74"/>
      <c r="AT103" s="31"/>
    </row>
    <row r="104" spans="1:46" ht="15" thickBot="1">
      <c r="A104" s="330"/>
      <c r="B104" s="332" t="s">
        <v>3</v>
      </c>
      <c r="C104" s="5" t="s">
        <v>187</v>
      </c>
      <c r="D104" s="4" t="s">
        <v>3</v>
      </c>
      <c r="E104" s="55"/>
      <c r="F104" s="98"/>
      <c r="G104" s="55"/>
      <c r="H104" s="55"/>
      <c r="I104" s="55"/>
      <c r="J104" s="55"/>
      <c r="K104" s="55"/>
      <c r="L104" s="265"/>
      <c r="M104" s="265"/>
      <c r="N104" s="55"/>
      <c r="O104" s="98"/>
      <c r="P104" s="265"/>
      <c r="Q104" s="345"/>
      <c r="R104" s="55"/>
      <c r="S104" s="349"/>
      <c r="T104" s="429"/>
      <c r="U104" s="242"/>
      <c r="V104" s="242"/>
      <c r="W104" s="463"/>
      <c r="X104" s="501"/>
      <c r="Y104" s="543"/>
      <c r="Z104" s="98">
        <v>4.5</v>
      </c>
      <c r="AA104" s="98">
        <f>4+2.5+1</f>
        <v>7.5</v>
      </c>
      <c r="AB104" s="98">
        <f>7.2-7.2</f>
        <v>0</v>
      </c>
      <c r="AC104" s="616">
        <v>2</v>
      </c>
      <c r="AD104" s="223">
        <v>7.3249999999999993</v>
      </c>
      <c r="AE104" s="426"/>
      <c r="AF104" s="426">
        <f>25.438-AF103</f>
        <v>4.161999999999999</v>
      </c>
      <c r="AG104" s="426">
        <v>4</v>
      </c>
      <c r="AH104" s="426">
        <v>4</v>
      </c>
      <c r="AI104" s="426">
        <v>4</v>
      </c>
      <c r="AJ104" s="426">
        <v>4</v>
      </c>
      <c r="AK104" s="432">
        <v>4</v>
      </c>
      <c r="AL104" s="238">
        <v>4</v>
      </c>
      <c r="AM104" s="238">
        <v>4</v>
      </c>
      <c r="AN104" s="238">
        <v>4</v>
      </c>
      <c r="AO104" s="238">
        <v>4</v>
      </c>
      <c r="AP104" s="38"/>
      <c r="AQ104" s="434">
        <f>SUM(Y104:AM104)</f>
        <v>53.486999999999995</v>
      </c>
      <c r="AR104" s="74"/>
      <c r="AS104" s="74"/>
      <c r="AT104" s="31"/>
    </row>
    <row r="105" spans="1:46">
      <c r="A105" s="329" t="s">
        <v>9</v>
      </c>
      <c r="B105" s="333" t="s">
        <v>3</v>
      </c>
      <c r="C105" s="110" t="s">
        <v>49</v>
      </c>
      <c r="D105" s="111" t="s">
        <v>3</v>
      </c>
      <c r="E105" s="100"/>
      <c r="F105" s="100">
        <v>0.3</v>
      </c>
      <c r="G105" s="100">
        <v>0.6</v>
      </c>
      <c r="H105" s="100">
        <v>0.65355300000000005</v>
      </c>
      <c r="I105" s="100">
        <v>0.8</v>
      </c>
      <c r="J105" s="100">
        <v>0.64030200000000004</v>
      </c>
      <c r="K105" s="100">
        <v>0.60816493999999999</v>
      </c>
      <c r="L105" s="100">
        <v>0.60244565000000005</v>
      </c>
      <c r="M105" s="100">
        <v>0.8</v>
      </c>
      <c r="N105" s="100">
        <v>0.94</v>
      </c>
      <c r="O105" s="100">
        <v>0.65</v>
      </c>
      <c r="P105" s="245">
        <v>0.7</v>
      </c>
      <c r="Q105" s="100">
        <v>0.60859381000000001</v>
      </c>
      <c r="R105" s="100">
        <v>0.37617381999999999</v>
      </c>
      <c r="S105" s="245">
        <v>0.5</v>
      </c>
      <c r="T105" s="100">
        <v>0.27</v>
      </c>
      <c r="U105" s="245">
        <v>0.7</v>
      </c>
      <c r="V105" s="245">
        <v>0.65</v>
      </c>
      <c r="W105" s="100">
        <v>0.6</v>
      </c>
      <c r="X105" s="100">
        <v>0.6</v>
      </c>
      <c r="Y105" s="507">
        <v>0.6</v>
      </c>
      <c r="Z105" s="508">
        <v>0.6</v>
      </c>
      <c r="AA105" s="508">
        <v>0.6</v>
      </c>
      <c r="AB105" s="508">
        <v>0.6</v>
      </c>
      <c r="AC105" s="508">
        <v>0.6</v>
      </c>
      <c r="AD105" s="508">
        <v>0.5</v>
      </c>
      <c r="AE105" s="508">
        <v>0.5</v>
      </c>
      <c r="AF105" s="508">
        <v>0.5</v>
      </c>
      <c r="AG105" s="508">
        <v>0.5</v>
      </c>
      <c r="AH105" s="508">
        <v>0.5</v>
      </c>
      <c r="AI105" s="508">
        <v>0.5</v>
      </c>
      <c r="AJ105" s="508">
        <v>0.5</v>
      </c>
      <c r="AK105" s="545">
        <v>0.6</v>
      </c>
      <c r="AL105" s="53">
        <v>0.6</v>
      </c>
      <c r="AM105" s="53">
        <v>0.6</v>
      </c>
      <c r="AN105" s="53">
        <v>0.6</v>
      </c>
      <c r="AO105" s="53">
        <v>0.6</v>
      </c>
      <c r="AP105" s="38"/>
      <c r="AQ105" s="434">
        <f t="shared" si="159"/>
        <v>6.5</v>
      </c>
      <c r="AR105" s="74"/>
      <c r="AS105" s="74"/>
      <c r="AT105" s="31"/>
    </row>
    <row r="106" spans="1:46">
      <c r="A106" s="330"/>
      <c r="B106" s="333" t="s">
        <v>3</v>
      </c>
      <c r="C106" s="260" t="s">
        <v>84</v>
      </c>
      <c r="D106" s="111" t="s">
        <v>3</v>
      </c>
      <c r="E106" s="100"/>
      <c r="F106" s="100"/>
      <c r="G106" s="100"/>
      <c r="H106" s="100"/>
      <c r="I106" s="100"/>
      <c r="J106" s="100"/>
      <c r="K106" s="100"/>
      <c r="L106" s="100">
        <v>0.5</v>
      </c>
      <c r="M106" s="100">
        <v>0.5</v>
      </c>
      <c r="N106" s="100">
        <v>0.62</v>
      </c>
      <c r="O106" s="100">
        <v>0.65</v>
      </c>
      <c r="P106" s="339">
        <v>0.75</v>
      </c>
      <c r="Q106" s="100">
        <v>0.75</v>
      </c>
      <c r="R106" s="100">
        <v>0.75</v>
      </c>
      <c r="S106" s="245">
        <v>0.9</v>
      </c>
      <c r="T106" s="100">
        <v>0.75</v>
      </c>
      <c r="U106" s="245">
        <v>0.75</v>
      </c>
      <c r="V106" s="100">
        <v>0.8</v>
      </c>
      <c r="W106" s="100">
        <v>0.8</v>
      </c>
      <c r="X106" s="100">
        <v>0.6</v>
      </c>
      <c r="Y106" s="436">
        <v>0.8</v>
      </c>
      <c r="Z106" s="100">
        <v>0.7</v>
      </c>
      <c r="AA106" s="100">
        <v>0.75</v>
      </c>
      <c r="AB106" s="100">
        <v>0.6</v>
      </c>
      <c r="AC106" s="245">
        <v>0.85</v>
      </c>
      <c r="AD106" s="100">
        <v>0.6</v>
      </c>
      <c r="AE106" s="100">
        <v>0.7</v>
      </c>
      <c r="AF106" s="100">
        <v>0.9</v>
      </c>
      <c r="AG106" s="100">
        <v>0.9</v>
      </c>
      <c r="AH106" s="100">
        <v>0.85</v>
      </c>
      <c r="AI106" s="100">
        <v>0.7</v>
      </c>
      <c r="AJ106" s="100">
        <v>0.65</v>
      </c>
      <c r="AK106" s="436">
        <v>0.4</v>
      </c>
      <c r="AL106" s="100">
        <v>0.45</v>
      </c>
      <c r="AM106" s="100">
        <v>0.45</v>
      </c>
      <c r="AN106" s="100">
        <v>0.4</v>
      </c>
      <c r="AO106" s="100">
        <v>0.6</v>
      </c>
      <c r="AP106" s="38"/>
      <c r="AQ106" s="31"/>
      <c r="AR106" s="74"/>
      <c r="AS106" s="74"/>
      <c r="AT106" s="31"/>
    </row>
    <row r="107" spans="1:46">
      <c r="A107" s="327"/>
      <c r="B107" s="332" t="s">
        <v>3</v>
      </c>
      <c r="C107" s="7" t="s">
        <v>20</v>
      </c>
      <c r="D107" s="26" t="s">
        <v>156</v>
      </c>
      <c r="E107" s="112">
        <v>64.069999999999993</v>
      </c>
      <c r="F107" s="120">
        <f>66.43791165-3</f>
        <v>63.437911650000004</v>
      </c>
      <c r="G107" s="215">
        <f>67.84931687-2</f>
        <v>65.849316869999996</v>
      </c>
      <c r="H107" s="112">
        <v>62.71</v>
      </c>
      <c r="I107" s="112">
        <v>69.459999999999994</v>
      </c>
      <c r="J107" s="112">
        <v>74.149546740000005</v>
      </c>
      <c r="K107" s="254">
        <v>64.84</v>
      </c>
      <c r="L107" s="254">
        <v>73.87</v>
      </c>
      <c r="M107" s="254">
        <v>70.308482029999993</v>
      </c>
      <c r="N107" s="254">
        <f>66.30012878+1.27-2</f>
        <v>65.57012877999999</v>
      </c>
      <c r="O107" s="120">
        <v>67.39</v>
      </c>
      <c r="P107" s="351">
        <v>52.08</v>
      </c>
      <c r="Q107" s="120">
        <v>47.18</v>
      </c>
      <c r="R107" s="120">
        <v>52.57</v>
      </c>
      <c r="S107" s="120">
        <v>56.54</v>
      </c>
      <c r="T107" s="120">
        <v>59.6</v>
      </c>
      <c r="U107" s="120">
        <v>57.42</v>
      </c>
      <c r="V107" s="120">
        <f>62.54</f>
        <v>62.54</v>
      </c>
      <c r="W107" s="254">
        <v>59.382407709999995</v>
      </c>
      <c r="X107" s="120">
        <v>56.1</v>
      </c>
      <c r="Y107" s="472">
        <f>51.21+3</f>
        <v>54.21</v>
      </c>
      <c r="Z107" s="98">
        <f>52.25</f>
        <v>52.25</v>
      </c>
      <c r="AA107" s="98">
        <v>56.88</v>
      </c>
      <c r="AB107" s="98">
        <v>48.78</v>
      </c>
      <c r="AC107" s="98">
        <v>51.8</v>
      </c>
      <c r="AD107" s="223">
        <v>52.23</v>
      </c>
      <c r="AE107" s="223">
        <v>60.106688570000003</v>
      </c>
      <c r="AF107" s="223">
        <v>59.348695379999995</v>
      </c>
      <c r="AG107" s="223">
        <v>58.74402886</v>
      </c>
      <c r="AH107" s="223">
        <v>58.487959409999988</v>
      </c>
      <c r="AI107" s="223">
        <v>59.128257629999993</v>
      </c>
      <c r="AJ107" s="223">
        <v>61.225829050000002</v>
      </c>
      <c r="AK107" s="547">
        <v>61.70687556</v>
      </c>
      <c r="AL107" s="240">
        <v>58.432644260000004</v>
      </c>
      <c r="AM107" s="240">
        <v>60.270865950000001</v>
      </c>
      <c r="AN107" s="240">
        <v>56.221904499999994</v>
      </c>
      <c r="AO107" s="240">
        <v>57.656336629999998</v>
      </c>
      <c r="AP107" s="38"/>
      <c r="AQ107" s="636">
        <f>AF104*1000</f>
        <v>4161.9999999999991</v>
      </c>
      <c r="AR107" s="74"/>
      <c r="AS107" s="74"/>
      <c r="AT107" s="31"/>
    </row>
    <row r="108" spans="1:46">
      <c r="A108" s="327"/>
      <c r="B108" s="332" t="s">
        <v>3</v>
      </c>
      <c r="C108" s="7" t="s">
        <v>20</v>
      </c>
      <c r="D108" s="22" t="s">
        <v>21</v>
      </c>
      <c r="E108" s="50">
        <v>70.61</v>
      </c>
      <c r="F108" s="50">
        <v>67.131</v>
      </c>
      <c r="G108" s="50">
        <v>68.07940004999999</v>
      </c>
      <c r="H108" s="50">
        <f>67.46768497-1.17</f>
        <v>66.297684969999992</v>
      </c>
      <c r="I108" s="50">
        <v>68.81</v>
      </c>
      <c r="J108" s="50">
        <v>68.09418556</v>
      </c>
      <c r="K108" s="50">
        <v>70.55</v>
      </c>
      <c r="L108" s="50">
        <v>67.655677449999999</v>
      </c>
      <c r="M108" s="50">
        <v>67.334808789999997</v>
      </c>
      <c r="N108" s="50">
        <v>64.025330750000009</v>
      </c>
      <c r="O108" s="120">
        <v>61.08</v>
      </c>
      <c r="P108" s="120">
        <v>50.41</v>
      </c>
      <c r="Q108" s="120">
        <v>54.68</v>
      </c>
      <c r="R108" s="120">
        <v>53.87</v>
      </c>
      <c r="S108" s="120">
        <v>60.69</v>
      </c>
      <c r="T108" s="120">
        <v>61.18</v>
      </c>
      <c r="U108" s="120">
        <v>60.42</v>
      </c>
      <c r="V108" s="50">
        <v>61.37</v>
      </c>
      <c r="W108" s="120">
        <v>60.32</v>
      </c>
      <c r="X108" s="120">
        <v>64.62</v>
      </c>
      <c r="Y108" s="472">
        <v>61.92</v>
      </c>
      <c r="Z108" s="55">
        <v>56.777439450000003</v>
      </c>
      <c r="AA108" s="98">
        <v>62.23</v>
      </c>
      <c r="AB108" s="98">
        <v>53.05</v>
      </c>
      <c r="AC108" s="98">
        <v>53.03</v>
      </c>
      <c r="AD108" s="55">
        <v>55.66</v>
      </c>
      <c r="AE108" s="55">
        <v>54.366872799999996</v>
      </c>
      <c r="AF108" s="55">
        <v>59.489960410000002</v>
      </c>
      <c r="AG108" s="55">
        <v>59.214097170000009</v>
      </c>
      <c r="AH108" s="55">
        <v>60.71319411999999</v>
      </c>
      <c r="AI108" s="55">
        <v>59.433127179999993</v>
      </c>
      <c r="AJ108" s="55">
        <v>62.036438799999992</v>
      </c>
      <c r="AK108" s="54">
        <v>61.124961039999995</v>
      </c>
      <c r="AL108" s="55">
        <v>57.459543909999994</v>
      </c>
      <c r="AM108" s="55">
        <v>59.505406020000002</v>
      </c>
      <c r="AN108" s="55">
        <v>58.063950709999993</v>
      </c>
      <c r="AO108" s="55">
        <v>57.349385640000001</v>
      </c>
      <c r="AP108" s="38"/>
      <c r="AQ108" s="74"/>
      <c r="AR108" s="74"/>
      <c r="AS108" s="74"/>
      <c r="AT108" s="31"/>
    </row>
    <row r="109" spans="1:46">
      <c r="A109" s="327"/>
      <c r="B109" s="334" t="s">
        <v>3</v>
      </c>
      <c r="C109" s="8" t="s">
        <v>20</v>
      </c>
      <c r="D109" s="23" t="s">
        <v>19</v>
      </c>
      <c r="E109" s="50"/>
      <c r="F109" s="120"/>
      <c r="G109" s="50"/>
      <c r="H109" s="50">
        <v>2</v>
      </c>
      <c r="I109" s="50"/>
      <c r="J109" s="50"/>
      <c r="K109" s="241">
        <v>13.6</v>
      </c>
      <c r="L109" s="50"/>
      <c r="M109" s="50">
        <v>0.41</v>
      </c>
      <c r="N109" s="50">
        <v>1.27</v>
      </c>
      <c r="O109" s="50">
        <v>3.8000000000000003</v>
      </c>
      <c r="P109" s="50">
        <v>1.2</v>
      </c>
      <c r="Q109" s="50">
        <v>1.55</v>
      </c>
      <c r="R109" s="120">
        <v>4.0999999999999996</v>
      </c>
      <c r="S109" s="120">
        <v>7.4</v>
      </c>
      <c r="T109" s="120">
        <v>14.3</v>
      </c>
      <c r="U109" s="120">
        <v>12</v>
      </c>
      <c r="V109" s="120">
        <f>10.3-0.7</f>
        <v>9.6000000000000014</v>
      </c>
      <c r="W109" s="120">
        <v>13</v>
      </c>
      <c r="X109" s="120">
        <v>11.47</v>
      </c>
      <c r="Y109" s="472">
        <v>4.5</v>
      </c>
      <c r="Z109" s="98">
        <v>6.4</v>
      </c>
      <c r="AA109" s="98">
        <v>19.46</v>
      </c>
      <c r="AB109" s="98">
        <v>15.950000000000001</v>
      </c>
      <c r="AC109" s="55">
        <v>17</v>
      </c>
      <c r="AD109" s="55">
        <v>16</v>
      </c>
      <c r="AE109" s="55">
        <v>15</v>
      </c>
      <c r="AF109" s="55">
        <v>15</v>
      </c>
      <c r="AG109" s="55">
        <v>15</v>
      </c>
      <c r="AH109" s="55">
        <v>15</v>
      </c>
      <c r="AI109" s="55">
        <v>15</v>
      </c>
      <c r="AJ109" s="55">
        <v>15</v>
      </c>
      <c r="AK109" s="54">
        <v>15</v>
      </c>
      <c r="AL109" s="55">
        <v>15</v>
      </c>
      <c r="AM109" s="55">
        <v>15</v>
      </c>
      <c r="AN109" s="55">
        <v>15</v>
      </c>
      <c r="AO109" s="55">
        <v>15</v>
      </c>
      <c r="AP109" s="38"/>
      <c r="AQ109" s="74"/>
      <c r="AR109" s="74"/>
      <c r="AS109" s="74"/>
      <c r="AT109" s="31"/>
    </row>
    <row r="110" spans="1:46">
      <c r="A110" s="327"/>
      <c r="B110" s="334" t="s">
        <v>3</v>
      </c>
      <c r="C110" s="8" t="s">
        <v>20</v>
      </c>
      <c r="D110" s="23" t="s">
        <v>22</v>
      </c>
      <c r="E110" s="50"/>
      <c r="F110" s="120"/>
      <c r="G110" s="50"/>
      <c r="H110" s="50"/>
      <c r="I110" s="50"/>
      <c r="J110" s="50"/>
      <c r="K110" s="241"/>
      <c r="L110" s="50"/>
      <c r="M110" s="50"/>
      <c r="N110" s="50"/>
      <c r="O110" s="50"/>
      <c r="P110" s="50"/>
      <c r="Q110" s="50"/>
      <c r="R110" s="120"/>
      <c r="S110" s="120"/>
      <c r="T110" s="120"/>
      <c r="U110" s="50">
        <v>0.3</v>
      </c>
      <c r="V110" s="120">
        <v>0.6</v>
      </c>
      <c r="W110" s="50">
        <v>0.6</v>
      </c>
      <c r="X110" s="50">
        <v>0.6</v>
      </c>
      <c r="Y110" s="472">
        <v>0.25</v>
      </c>
      <c r="Z110" s="98">
        <v>0.4</v>
      </c>
      <c r="AA110" s="98">
        <v>0.5</v>
      </c>
      <c r="AB110" s="98">
        <v>0.5</v>
      </c>
      <c r="AC110" s="98">
        <v>0.4</v>
      </c>
      <c r="AD110" s="55">
        <v>0.4</v>
      </c>
      <c r="AE110" s="55">
        <v>0.5</v>
      </c>
      <c r="AF110" s="55">
        <v>0.6</v>
      </c>
      <c r="AG110" s="55">
        <v>0.6</v>
      </c>
      <c r="AH110" s="55">
        <v>0.6</v>
      </c>
      <c r="AI110" s="55">
        <v>0.6</v>
      </c>
      <c r="AJ110" s="55">
        <v>0.6</v>
      </c>
      <c r="AK110" s="435">
        <v>0.6</v>
      </c>
      <c r="AL110" s="72">
        <v>0.6</v>
      </c>
      <c r="AM110" s="72">
        <v>0.6</v>
      </c>
      <c r="AN110" s="72">
        <v>0.6</v>
      </c>
      <c r="AO110" s="72">
        <v>0.6</v>
      </c>
      <c r="AP110" s="38"/>
      <c r="AQ110" s="31"/>
      <c r="AR110" s="74"/>
      <c r="AS110" s="74"/>
      <c r="AT110" s="31"/>
    </row>
    <row r="111" spans="1:46">
      <c r="A111" s="327"/>
      <c r="B111" s="335" t="s">
        <v>3</v>
      </c>
      <c r="C111" s="9" t="s">
        <v>15</v>
      </c>
      <c r="D111" s="24" t="s">
        <v>14</v>
      </c>
      <c r="E111" s="71">
        <v>22</v>
      </c>
      <c r="F111" s="71">
        <v>22</v>
      </c>
      <c r="G111" s="71">
        <v>32</v>
      </c>
      <c r="H111" s="71">
        <v>32</v>
      </c>
      <c r="I111" s="232">
        <v>33.28</v>
      </c>
      <c r="J111" s="240">
        <v>33.6</v>
      </c>
      <c r="K111" s="240">
        <v>33.6</v>
      </c>
      <c r="L111" s="240">
        <v>33.6</v>
      </c>
      <c r="M111" s="240">
        <v>32</v>
      </c>
      <c r="N111" s="240">
        <v>32</v>
      </c>
      <c r="O111" s="320">
        <v>22</v>
      </c>
      <c r="P111" s="320">
        <v>20</v>
      </c>
      <c r="Q111" s="240">
        <v>20</v>
      </c>
      <c r="R111" s="320">
        <v>23</v>
      </c>
      <c r="S111" s="320">
        <v>27</v>
      </c>
      <c r="T111" s="320">
        <v>26</v>
      </c>
      <c r="U111" s="240">
        <v>26</v>
      </c>
      <c r="V111" s="240">
        <v>26</v>
      </c>
      <c r="W111" s="320">
        <v>25</v>
      </c>
      <c r="X111" s="320">
        <v>26</v>
      </c>
      <c r="Y111" s="440">
        <v>25</v>
      </c>
      <c r="Z111" s="320">
        <f>25-0.6</f>
        <v>24.4</v>
      </c>
      <c r="AA111" s="240">
        <v>26</v>
      </c>
      <c r="AB111" s="320">
        <v>23.5</v>
      </c>
      <c r="AC111" s="320">
        <v>22</v>
      </c>
      <c r="AD111" s="320">
        <v>13</v>
      </c>
      <c r="AE111" s="320">
        <v>13</v>
      </c>
      <c r="AF111" s="240">
        <v>15</v>
      </c>
      <c r="AG111" s="240">
        <v>15</v>
      </c>
      <c r="AH111" s="240">
        <v>15</v>
      </c>
      <c r="AI111" s="240">
        <v>15</v>
      </c>
      <c r="AJ111" s="240">
        <v>15</v>
      </c>
      <c r="AK111" s="437">
        <v>15</v>
      </c>
      <c r="AL111" s="223">
        <v>15</v>
      </c>
      <c r="AM111" s="223">
        <v>15</v>
      </c>
      <c r="AN111" s="223">
        <v>15</v>
      </c>
      <c r="AO111" s="223">
        <v>15</v>
      </c>
      <c r="AP111" s="38"/>
      <c r="AQ111" s="434">
        <f>SUM(Y111:AJ111)</f>
        <v>221.9</v>
      </c>
      <c r="AR111" s="522"/>
      <c r="AS111" s="74"/>
      <c r="AT111" s="31"/>
    </row>
    <row r="112" spans="1:46">
      <c r="A112" s="327"/>
      <c r="B112" s="334" t="s">
        <v>3</v>
      </c>
      <c r="C112" s="10" t="s">
        <v>16</v>
      </c>
      <c r="D112" s="25" t="s">
        <v>14</v>
      </c>
      <c r="E112" s="72">
        <v>0</v>
      </c>
      <c r="F112" s="72">
        <v>14</v>
      </c>
      <c r="G112" s="72">
        <v>20</v>
      </c>
      <c r="H112" s="72">
        <v>14</v>
      </c>
      <c r="I112" s="233">
        <v>12.48</v>
      </c>
      <c r="J112" s="123">
        <v>12.6</v>
      </c>
      <c r="K112" s="123">
        <v>12.6</v>
      </c>
      <c r="L112" s="123">
        <v>12.6</v>
      </c>
      <c r="M112" s="123">
        <v>12</v>
      </c>
      <c r="N112" s="123">
        <v>12</v>
      </c>
      <c r="O112" s="118">
        <v>11</v>
      </c>
      <c r="P112" s="118">
        <v>10</v>
      </c>
      <c r="Q112" s="123">
        <v>11</v>
      </c>
      <c r="R112" s="118">
        <v>12</v>
      </c>
      <c r="S112" s="118">
        <v>12</v>
      </c>
      <c r="T112" s="118">
        <v>14</v>
      </c>
      <c r="U112" s="118">
        <v>15</v>
      </c>
      <c r="V112" s="123">
        <v>17</v>
      </c>
      <c r="W112" s="118">
        <v>16</v>
      </c>
      <c r="X112" s="118">
        <v>16</v>
      </c>
      <c r="Y112" s="118">
        <v>15</v>
      </c>
      <c r="Z112" s="118">
        <v>15</v>
      </c>
      <c r="AA112" s="123">
        <v>17</v>
      </c>
      <c r="AB112" s="118">
        <v>12.5</v>
      </c>
      <c r="AC112" s="118">
        <v>14</v>
      </c>
      <c r="AD112" s="118">
        <v>23</v>
      </c>
      <c r="AE112" s="118">
        <v>23</v>
      </c>
      <c r="AF112" s="123">
        <v>27</v>
      </c>
      <c r="AG112" s="123">
        <v>26</v>
      </c>
      <c r="AH112" s="123">
        <v>26.5</v>
      </c>
      <c r="AI112" s="123">
        <v>27</v>
      </c>
      <c r="AJ112" s="123">
        <v>27</v>
      </c>
      <c r="AK112" s="437">
        <v>27</v>
      </c>
      <c r="AL112" s="223">
        <v>27</v>
      </c>
      <c r="AM112" s="223">
        <v>27</v>
      </c>
      <c r="AN112" s="223">
        <v>27</v>
      </c>
      <c r="AO112" s="223">
        <v>27</v>
      </c>
      <c r="AP112" s="38"/>
      <c r="AQ112" s="434">
        <f>SUM(Y112:AJ112)</f>
        <v>253</v>
      </c>
      <c r="AR112" s="522"/>
      <c r="AS112" s="74"/>
      <c r="AT112" s="31"/>
    </row>
    <row r="113" spans="1:46">
      <c r="A113" s="327"/>
      <c r="B113" s="335" t="s">
        <v>3</v>
      </c>
      <c r="C113" s="11" t="s">
        <v>17</v>
      </c>
      <c r="D113" s="24" t="s">
        <v>14</v>
      </c>
      <c r="E113" s="71"/>
      <c r="F113" s="71"/>
      <c r="G113" s="71"/>
      <c r="H113" s="71"/>
      <c r="I113" s="71"/>
      <c r="J113" s="71"/>
      <c r="K113" s="71"/>
      <c r="L113" s="71"/>
      <c r="M113" s="71"/>
      <c r="N113" s="71"/>
      <c r="O113" s="71"/>
      <c r="P113" s="71"/>
      <c r="Q113" s="71"/>
      <c r="R113" s="71"/>
      <c r="S113" s="240"/>
      <c r="T113" s="71"/>
      <c r="U113" s="71"/>
      <c r="V113" s="71"/>
      <c r="W113" s="71"/>
      <c r="X113" s="476"/>
      <c r="Y113" s="439"/>
      <c r="Z113" s="71"/>
      <c r="AA113" s="71"/>
      <c r="AB113" s="71"/>
      <c r="AC113" s="71"/>
      <c r="AD113" s="71"/>
      <c r="AE113" s="71"/>
      <c r="AF113" s="71"/>
      <c r="AG113" s="71"/>
      <c r="AH113" s="71"/>
      <c r="AI113" s="71"/>
      <c r="AJ113" s="71"/>
      <c r="AK113" s="439"/>
      <c r="AL113" s="71"/>
      <c r="AM113" s="71"/>
      <c r="AN113" s="71"/>
      <c r="AO113" s="71"/>
      <c r="AP113" s="38"/>
      <c r="AQ113" s="31"/>
      <c r="AR113" s="31"/>
      <c r="AS113" s="31"/>
      <c r="AT113" s="31"/>
    </row>
    <row r="114" spans="1:46">
      <c r="A114" s="327"/>
      <c r="B114" s="334" t="s">
        <v>3</v>
      </c>
      <c r="C114" s="12" t="s">
        <v>17</v>
      </c>
      <c r="D114" s="23" t="s">
        <v>19</v>
      </c>
      <c r="E114" s="72"/>
      <c r="F114" s="72"/>
      <c r="G114" s="118"/>
      <c r="H114" s="72"/>
      <c r="I114" s="72"/>
      <c r="J114" s="72"/>
      <c r="K114" s="72"/>
      <c r="L114" s="72"/>
      <c r="M114" s="72"/>
      <c r="N114" s="72"/>
      <c r="O114" s="72"/>
      <c r="P114" s="72"/>
      <c r="Q114" s="72"/>
      <c r="R114" s="72"/>
      <c r="S114" s="72"/>
      <c r="T114" s="72"/>
      <c r="U114" s="72"/>
      <c r="V114" s="72"/>
      <c r="W114" s="72"/>
      <c r="X114" s="72">
        <v>0</v>
      </c>
      <c r="Y114" s="435">
        <v>0</v>
      </c>
      <c r="Z114" s="72"/>
      <c r="AA114" s="72"/>
      <c r="AB114" s="72">
        <v>0</v>
      </c>
      <c r="AC114" s="72">
        <v>0</v>
      </c>
      <c r="AD114" s="72">
        <v>0</v>
      </c>
      <c r="AE114" s="72">
        <v>0</v>
      </c>
      <c r="AF114" s="72">
        <v>0</v>
      </c>
      <c r="AG114" s="72">
        <v>0</v>
      </c>
      <c r="AH114" s="72">
        <v>0</v>
      </c>
      <c r="AI114" s="72">
        <v>0</v>
      </c>
      <c r="AJ114" s="72">
        <v>0</v>
      </c>
      <c r="AK114" s="435">
        <v>0</v>
      </c>
      <c r="AL114" s="72">
        <v>0</v>
      </c>
      <c r="AM114" s="72">
        <v>0</v>
      </c>
      <c r="AN114" s="72">
        <v>0</v>
      </c>
      <c r="AO114" s="72">
        <v>0</v>
      </c>
      <c r="AP114" s="38"/>
      <c r="AQ114" s="31"/>
      <c r="AR114" s="31"/>
      <c r="AS114" s="31"/>
      <c r="AT114" s="31"/>
    </row>
    <row r="115" spans="1:46">
      <c r="A115" s="327"/>
      <c r="B115" s="335" t="s">
        <v>3</v>
      </c>
      <c r="C115" s="13" t="s">
        <v>18</v>
      </c>
      <c r="D115" s="24" t="s">
        <v>14</v>
      </c>
      <c r="E115" s="50"/>
      <c r="F115" s="50"/>
      <c r="G115" s="50"/>
      <c r="H115" s="50"/>
      <c r="I115" s="50"/>
      <c r="J115" s="50"/>
      <c r="K115" s="50"/>
      <c r="L115" s="50"/>
      <c r="M115" s="50"/>
      <c r="N115" s="50"/>
      <c r="O115" s="50"/>
      <c r="P115" s="50"/>
      <c r="Q115" s="50"/>
      <c r="R115" s="50"/>
      <c r="S115" s="50"/>
      <c r="T115" s="50"/>
      <c r="U115" s="50"/>
      <c r="V115" s="50"/>
      <c r="W115" s="50"/>
      <c r="X115" s="50"/>
      <c r="Y115" s="54"/>
      <c r="Z115" s="55"/>
      <c r="AA115" s="55"/>
      <c r="AB115" s="55"/>
      <c r="AC115" s="55"/>
      <c r="AD115" s="55"/>
      <c r="AE115" s="55"/>
      <c r="AF115" s="55"/>
      <c r="AG115" s="55"/>
      <c r="AH115" s="55"/>
      <c r="AI115" s="55"/>
      <c r="AJ115" s="55"/>
      <c r="AK115" s="439"/>
      <c r="AL115" s="71"/>
      <c r="AM115" s="71"/>
      <c r="AN115" s="71"/>
      <c r="AO115" s="71"/>
      <c r="AP115" s="38"/>
      <c r="AQ115" s="31"/>
      <c r="AR115" s="31"/>
      <c r="AS115" s="31"/>
      <c r="AT115" s="31"/>
    </row>
    <row r="116" spans="1:46">
      <c r="A116" s="327"/>
      <c r="B116" s="332" t="s">
        <v>3</v>
      </c>
      <c r="C116" s="443" t="s">
        <v>18</v>
      </c>
      <c r="D116" s="27" t="s">
        <v>19</v>
      </c>
      <c r="E116" s="50"/>
      <c r="F116" s="50"/>
      <c r="G116" s="50"/>
      <c r="H116" s="50"/>
      <c r="I116" s="50"/>
      <c r="J116" s="50"/>
      <c r="K116" s="50"/>
      <c r="L116" s="50"/>
      <c r="M116" s="50"/>
      <c r="N116" s="50"/>
      <c r="O116" s="50"/>
      <c r="P116" s="50"/>
      <c r="Q116" s="50"/>
      <c r="R116" s="50"/>
      <c r="S116" s="50"/>
      <c r="T116" s="50"/>
      <c r="U116" s="50"/>
      <c r="V116" s="50"/>
      <c r="W116" s="50"/>
      <c r="X116" s="50"/>
      <c r="Y116" s="54"/>
      <c r="Z116" s="55"/>
      <c r="AA116" s="55"/>
      <c r="AB116" s="55"/>
      <c r="AC116" s="55"/>
      <c r="AD116" s="55"/>
      <c r="AE116" s="55"/>
      <c r="AF116" s="55"/>
      <c r="AG116" s="55"/>
      <c r="AH116" s="55"/>
      <c r="AI116" s="55"/>
      <c r="AJ116" s="55"/>
      <c r="AK116" s="435"/>
      <c r="AL116" s="72"/>
      <c r="AM116" s="72"/>
      <c r="AN116" s="72"/>
      <c r="AO116" s="72"/>
      <c r="AP116" s="38"/>
      <c r="AQ116" s="31"/>
      <c r="AR116" s="31"/>
      <c r="AS116" s="31"/>
      <c r="AT116" s="31"/>
    </row>
    <row r="117" spans="1:46">
      <c r="A117" s="327"/>
      <c r="B117" s="335" t="s">
        <v>3</v>
      </c>
      <c r="C117" s="14" t="s">
        <v>23</v>
      </c>
      <c r="D117" s="24" t="s">
        <v>14</v>
      </c>
      <c r="E117" s="71"/>
      <c r="F117" s="71"/>
      <c r="G117" s="71"/>
      <c r="H117" s="71"/>
      <c r="I117" s="71"/>
      <c r="J117" s="71"/>
      <c r="K117" s="71"/>
      <c r="L117" s="71"/>
      <c r="M117" s="71"/>
      <c r="N117" s="71"/>
      <c r="O117" s="71"/>
      <c r="P117" s="71"/>
      <c r="Q117" s="71"/>
      <c r="R117" s="71"/>
      <c r="S117" s="71"/>
      <c r="T117" s="71"/>
      <c r="U117" s="71"/>
      <c r="V117" s="71"/>
      <c r="W117" s="71"/>
      <c r="X117" s="71"/>
      <c r="Y117" s="439"/>
      <c r="Z117" s="71"/>
      <c r="AA117" s="71"/>
      <c r="AB117" s="71"/>
      <c r="AC117" s="71"/>
      <c r="AD117" s="71"/>
      <c r="AE117" s="71"/>
      <c r="AF117" s="71"/>
      <c r="AG117" s="71"/>
      <c r="AH117" s="71"/>
      <c r="AI117" s="71"/>
      <c r="AJ117" s="71"/>
      <c r="AK117" s="54"/>
      <c r="AL117" s="55"/>
      <c r="AM117" s="55"/>
      <c r="AN117" s="55"/>
      <c r="AO117" s="55"/>
      <c r="AP117" s="38"/>
      <c r="AQ117" s="31"/>
      <c r="AR117" s="31"/>
      <c r="AS117" s="31"/>
      <c r="AT117" s="31"/>
    </row>
    <row r="118" spans="1:46">
      <c r="A118" s="327"/>
      <c r="B118" s="332" t="s">
        <v>3</v>
      </c>
      <c r="C118" s="328" t="s">
        <v>23</v>
      </c>
      <c r="D118" s="27" t="s">
        <v>19</v>
      </c>
      <c r="E118" s="72"/>
      <c r="F118" s="72"/>
      <c r="G118" s="72"/>
      <c r="H118" s="72"/>
      <c r="I118" s="72"/>
      <c r="J118" s="72"/>
      <c r="K118" s="72"/>
      <c r="L118" s="72"/>
      <c r="M118" s="72"/>
      <c r="N118" s="72"/>
      <c r="O118" s="72"/>
      <c r="P118" s="72"/>
      <c r="Q118" s="72"/>
      <c r="R118" s="72">
        <v>1.8</v>
      </c>
      <c r="S118" s="72">
        <v>0.40000000000000013</v>
      </c>
      <c r="T118" s="72">
        <v>1.8</v>
      </c>
      <c r="U118" s="118">
        <v>2.4</v>
      </c>
      <c r="V118" s="72">
        <v>2.6</v>
      </c>
      <c r="W118" s="72">
        <v>3.6</v>
      </c>
      <c r="X118" s="72">
        <v>3.6</v>
      </c>
      <c r="Y118" s="435"/>
      <c r="Z118" s="72">
        <v>4.2</v>
      </c>
      <c r="AA118" s="118">
        <v>3</v>
      </c>
      <c r="AB118" s="72">
        <v>3</v>
      </c>
      <c r="AC118" s="118">
        <v>2.4</v>
      </c>
      <c r="AD118" s="72">
        <v>3</v>
      </c>
      <c r="AE118" s="72">
        <v>3</v>
      </c>
      <c r="AF118" s="72">
        <v>3</v>
      </c>
      <c r="AG118" s="72">
        <v>3</v>
      </c>
      <c r="AH118" s="72">
        <v>3</v>
      </c>
      <c r="AI118" s="72">
        <v>3</v>
      </c>
      <c r="AJ118" s="72">
        <v>3</v>
      </c>
      <c r="AK118" s="54">
        <v>3</v>
      </c>
      <c r="AL118" s="55">
        <v>3</v>
      </c>
      <c r="AM118" s="55">
        <v>3</v>
      </c>
      <c r="AN118" s="55">
        <v>3</v>
      </c>
      <c r="AO118" s="55">
        <v>3</v>
      </c>
      <c r="AP118" s="38"/>
      <c r="AQ118" s="31"/>
      <c r="AR118" s="31"/>
      <c r="AS118" s="31"/>
      <c r="AT118" s="31"/>
    </row>
    <row r="119" spans="1:46">
      <c r="A119" s="327"/>
      <c r="B119" s="334" t="s">
        <v>3</v>
      </c>
      <c r="C119" s="15" t="s">
        <v>23</v>
      </c>
      <c r="D119" s="23" t="s">
        <v>22</v>
      </c>
      <c r="E119" s="55"/>
      <c r="F119" s="55"/>
      <c r="G119" s="55"/>
      <c r="H119" s="55"/>
      <c r="I119" s="55"/>
      <c r="J119" s="55"/>
      <c r="K119" s="55"/>
      <c r="L119" s="55"/>
      <c r="M119" s="55"/>
      <c r="N119" s="55"/>
      <c r="O119" s="55"/>
      <c r="P119" s="55"/>
      <c r="Q119" s="55"/>
      <c r="R119" s="55"/>
      <c r="S119" s="55"/>
      <c r="T119" s="55"/>
      <c r="U119" s="98"/>
      <c r="V119" s="55"/>
      <c r="W119" s="55">
        <v>0.6</v>
      </c>
      <c r="X119" s="55">
        <v>0.6</v>
      </c>
      <c r="Y119" s="54"/>
      <c r="Z119" s="55">
        <v>0.8</v>
      </c>
      <c r="AA119" s="98">
        <v>1.2</v>
      </c>
      <c r="AB119" s="55">
        <v>1.2</v>
      </c>
      <c r="AC119" s="98">
        <v>1.2</v>
      </c>
      <c r="AD119" s="55">
        <v>1.2</v>
      </c>
      <c r="AE119" s="55">
        <v>1.2</v>
      </c>
      <c r="AF119" s="55">
        <v>1.2</v>
      </c>
      <c r="AG119" s="55">
        <v>1.2</v>
      </c>
      <c r="AH119" s="55">
        <v>1.2</v>
      </c>
      <c r="AI119" s="55">
        <v>1.2</v>
      </c>
      <c r="AJ119" s="55">
        <v>1.2</v>
      </c>
      <c r="AK119" s="439">
        <v>1.2</v>
      </c>
      <c r="AL119" s="71">
        <v>1.2</v>
      </c>
      <c r="AM119" s="71">
        <v>1.2</v>
      </c>
      <c r="AN119" s="71">
        <v>1.2</v>
      </c>
      <c r="AO119" s="71">
        <v>1.2</v>
      </c>
      <c r="AP119" s="38"/>
      <c r="AQ119" s="31"/>
      <c r="AR119" s="31"/>
      <c r="AS119" s="31"/>
      <c r="AT119" s="31"/>
    </row>
    <row r="120" spans="1:46">
      <c r="A120" s="327"/>
      <c r="B120" s="332" t="s">
        <v>3</v>
      </c>
      <c r="C120" s="16" t="s">
        <v>24</v>
      </c>
      <c r="D120" s="26" t="s">
        <v>14</v>
      </c>
      <c r="E120" s="50"/>
      <c r="F120" s="50"/>
      <c r="G120" s="50"/>
      <c r="H120" s="50"/>
      <c r="I120" s="50"/>
      <c r="J120" s="50"/>
      <c r="K120" s="50"/>
      <c r="L120" s="50"/>
      <c r="M120" s="50"/>
      <c r="N120" s="50"/>
      <c r="O120" s="50"/>
      <c r="P120" s="50"/>
      <c r="Q120" s="50"/>
      <c r="R120" s="50"/>
      <c r="S120" s="50"/>
      <c r="T120" s="50"/>
      <c r="U120" s="50"/>
      <c r="V120" s="50"/>
      <c r="W120" s="50"/>
      <c r="X120" s="50"/>
      <c r="Y120" s="54"/>
      <c r="Z120" s="55"/>
      <c r="AA120" s="55"/>
      <c r="AB120" s="55"/>
      <c r="AC120" s="55"/>
      <c r="AD120" s="55"/>
      <c r="AE120" s="55"/>
      <c r="AF120" s="55"/>
      <c r="AG120" s="55"/>
      <c r="AH120" s="55"/>
      <c r="AI120" s="55"/>
      <c r="AJ120" s="55"/>
      <c r="AK120" s="54"/>
      <c r="AL120" s="55"/>
      <c r="AM120" s="55"/>
      <c r="AN120" s="55"/>
      <c r="AO120" s="55"/>
      <c r="AP120" s="38"/>
      <c r="AQ120" s="31"/>
      <c r="AR120" s="31"/>
      <c r="AS120" s="31"/>
      <c r="AT120" s="31"/>
    </row>
    <row r="121" spans="1:46">
      <c r="A121" s="327"/>
      <c r="B121" s="332" t="s">
        <v>3</v>
      </c>
      <c r="C121" s="16" t="s">
        <v>24</v>
      </c>
      <c r="D121" s="27" t="s">
        <v>19</v>
      </c>
      <c r="E121" s="50"/>
      <c r="F121" s="50"/>
      <c r="G121" s="50"/>
      <c r="H121" s="50"/>
      <c r="I121" s="50"/>
      <c r="J121" s="50"/>
      <c r="K121" s="50"/>
      <c r="L121" s="50"/>
      <c r="M121" s="50">
        <f>0.22+0.83</f>
        <v>1.05</v>
      </c>
      <c r="N121" s="50">
        <v>0.82000000000000206</v>
      </c>
      <c r="O121" s="120">
        <v>6.43</v>
      </c>
      <c r="P121" s="120">
        <v>7.3999999999999995</v>
      </c>
      <c r="Q121" s="50">
        <v>5.15</v>
      </c>
      <c r="R121" s="120">
        <v>11.98</v>
      </c>
      <c r="S121" s="120">
        <v>11.4</v>
      </c>
      <c r="T121" s="120">
        <v>13.8</v>
      </c>
      <c r="U121" s="50">
        <v>13.8</v>
      </c>
      <c r="V121" s="120">
        <v>17.5</v>
      </c>
      <c r="W121" s="120">
        <f>3.4-2</f>
        <v>1.4</v>
      </c>
      <c r="X121" s="120">
        <f>0.4+3-1.2+0.6+0.7-0.6</f>
        <v>2.9</v>
      </c>
      <c r="Y121" s="472">
        <v>2.8</v>
      </c>
      <c r="Z121" s="98">
        <f>4.52+0.6+0.6</f>
        <v>5.7199999999999989</v>
      </c>
      <c r="AA121" s="98">
        <f>9.17+1.5</f>
        <v>10.67</v>
      </c>
      <c r="AB121" s="98">
        <v>6.42</v>
      </c>
      <c r="AC121" s="98">
        <v>7.02</v>
      </c>
      <c r="AD121" s="55">
        <v>6.42</v>
      </c>
      <c r="AE121" s="55">
        <v>8.8800000000000008</v>
      </c>
      <c r="AF121" s="55">
        <v>10.88</v>
      </c>
      <c r="AG121" s="55">
        <v>10.88</v>
      </c>
      <c r="AH121" s="55">
        <v>10.88</v>
      </c>
      <c r="AI121" s="55">
        <v>10.88</v>
      </c>
      <c r="AJ121" s="55">
        <v>10.88</v>
      </c>
      <c r="AK121" s="54">
        <v>10.88</v>
      </c>
      <c r="AL121" s="55">
        <v>10.88</v>
      </c>
      <c r="AM121" s="55">
        <v>10.88</v>
      </c>
      <c r="AN121" s="55">
        <v>10.88</v>
      </c>
      <c r="AO121" s="55">
        <v>10.88</v>
      </c>
      <c r="AP121" s="38"/>
      <c r="AQ121" s="31"/>
      <c r="AR121" s="31"/>
      <c r="AS121" s="31"/>
      <c r="AT121" s="31"/>
    </row>
    <row r="122" spans="1:46">
      <c r="A122" s="327"/>
      <c r="B122" s="333" t="s">
        <v>3</v>
      </c>
      <c r="C122" s="448" t="s">
        <v>160</v>
      </c>
      <c r="D122" s="122" t="s">
        <v>19</v>
      </c>
      <c r="E122" s="50"/>
      <c r="F122" s="50"/>
      <c r="G122" s="50"/>
      <c r="H122" s="50"/>
      <c r="I122" s="50"/>
      <c r="J122" s="50"/>
      <c r="K122" s="50"/>
      <c r="L122" s="50"/>
      <c r="M122" s="50"/>
      <c r="N122" s="50"/>
      <c r="O122" s="120"/>
      <c r="P122" s="120"/>
      <c r="Q122" s="50"/>
      <c r="R122" s="120"/>
      <c r="S122" s="120"/>
      <c r="T122" s="120"/>
      <c r="U122" s="50"/>
      <c r="V122" s="50"/>
      <c r="W122" s="50"/>
      <c r="X122" s="50"/>
      <c r="Y122" s="54"/>
      <c r="Z122" s="55"/>
      <c r="AA122" s="55"/>
      <c r="AB122" s="55"/>
      <c r="AC122" s="55"/>
      <c r="AD122" s="55"/>
      <c r="AE122" s="55"/>
      <c r="AF122" s="55"/>
      <c r="AG122" s="55"/>
      <c r="AH122" s="55"/>
      <c r="AI122" s="55"/>
      <c r="AJ122" s="55"/>
      <c r="AK122" s="435"/>
      <c r="AL122" s="72"/>
      <c r="AM122" s="72"/>
      <c r="AN122" s="72"/>
      <c r="AO122" s="72"/>
      <c r="AP122" s="38"/>
      <c r="AQ122" s="31"/>
      <c r="AR122" s="31"/>
      <c r="AS122" s="31"/>
      <c r="AT122" s="31"/>
    </row>
    <row r="123" spans="1:46">
      <c r="A123" s="327"/>
      <c r="B123" s="335" t="s">
        <v>3</v>
      </c>
      <c r="C123" s="17" t="s">
        <v>28</v>
      </c>
      <c r="D123" s="24" t="s">
        <v>14</v>
      </c>
      <c r="E123" s="71"/>
      <c r="F123" s="71"/>
      <c r="G123" s="71"/>
      <c r="H123" s="71"/>
      <c r="I123" s="71"/>
      <c r="J123" s="71"/>
      <c r="K123" s="71"/>
      <c r="L123" s="71"/>
      <c r="M123" s="71"/>
      <c r="N123" s="71"/>
      <c r="O123" s="71"/>
      <c r="P123" s="71"/>
      <c r="Q123" s="71"/>
      <c r="R123" s="71"/>
      <c r="S123" s="71"/>
      <c r="T123" s="71"/>
      <c r="U123" s="71"/>
      <c r="V123" s="71"/>
      <c r="W123" s="71"/>
      <c r="X123" s="71"/>
      <c r="Y123" s="439"/>
      <c r="Z123" s="71"/>
      <c r="AA123" s="71"/>
      <c r="AB123" s="71"/>
      <c r="AC123" s="71"/>
      <c r="AD123" s="71"/>
      <c r="AE123" s="71"/>
      <c r="AF123" s="71"/>
      <c r="AG123" s="71"/>
      <c r="AH123" s="71"/>
      <c r="AI123" s="71"/>
      <c r="AJ123" s="71"/>
      <c r="AK123" s="54"/>
      <c r="AL123" s="55"/>
      <c r="AM123" s="55"/>
      <c r="AN123" s="55"/>
      <c r="AO123" s="55"/>
      <c r="AP123" s="38"/>
      <c r="AQ123" s="31"/>
      <c r="AR123" s="31"/>
      <c r="AS123" s="31"/>
      <c r="AT123" s="31"/>
    </row>
    <row r="124" spans="1:46">
      <c r="A124" s="327"/>
      <c r="B124" s="334" t="s">
        <v>3</v>
      </c>
      <c r="C124" s="18" t="s">
        <v>28</v>
      </c>
      <c r="D124" s="23" t="s">
        <v>19</v>
      </c>
      <c r="E124" s="72"/>
      <c r="F124" s="72"/>
      <c r="G124" s="72"/>
      <c r="H124" s="72"/>
      <c r="I124" s="72"/>
      <c r="J124" s="231">
        <v>1.2</v>
      </c>
      <c r="K124" s="123">
        <v>3.4</v>
      </c>
      <c r="L124" s="123">
        <v>3.1</v>
      </c>
      <c r="M124" s="123">
        <v>1.2</v>
      </c>
      <c r="N124" s="72"/>
      <c r="O124" s="72"/>
      <c r="P124" s="72"/>
      <c r="Q124" s="72"/>
      <c r="R124" s="72"/>
      <c r="S124" s="72"/>
      <c r="T124" s="72"/>
      <c r="U124" s="72"/>
      <c r="V124" s="118">
        <v>1.2</v>
      </c>
      <c r="W124" s="72"/>
      <c r="X124" s="72"/>
      <c r="Y124" s="435"/>
      <c r="Z124" s="72"/>
      <c r="AA124" s="72"/>
      <c r="AB124" s="72"/>
      <c r="AC124" s="72"/>
      <c r="AD124" s="72"/>
      <c r="AE124" s="72"/>
      <c r="AF124" s="72"/>
      <c r="AG124" s="72"/>
      <c r="AH124" s="72"/>
      <c r="AI124" s="72"/>
      <c r="AJ124" s="72"/>
      <c r="AK124" s="54"/>
      <c r="AL124" s="55"/>
      <c r="AM124" s="55"/>
      <c r="AN124" s="55"/>
      <c r="AO124" s="55"/>
      <c r="AP124" s="38"/>
      <c r="AQ124" s="31"/>
      <c r="AR124" s="31"/>
      <c r="AS124" s="31"/>
      <c r="AT124" s="31"/>
    </row>
    <row r="125" spans="1:46">
      <c r="A125" s="327"/>
      <c r="B125" s="335" t="s">
        <v>3</v>
      </c>
      <c r="C125" s="17" t="s">
        <v>163</v>
      </c>
      <c r="D125" s="24" t="s">
        <v>14</v>
      </c>
      <c r="E125" s="50"/>
      <c r="F125" s="50"/>
      <c r="G125" s="50"/>
      <c r="H125" s="50"/>
      <c r="I125" s="50"/>
      <c r="J125" s="50"/>
      <c r="K125" s="50"/>
      <c r="L125" s="50"/>
      <c r="M125" s="50"/>
      <c r="N125" s="50"/>
      <c r="O125" s="50"/>
      <c r="P125" s="50"/>
      <c r="Q125" s="50"/>
      <c r="R125" s="50"/>
      <c r="S125" s="50"/>
      <c r="T125" s="50"/>
      <c r="U125" s="50"/>
      <c r="V125" s="50"/>
      <c r="W125" s="50"/>
      <c r="X125" s="50"/>
      <c r="Y125" s="54"/>
      <c r="Z125" s="55"/>
      <c r="AA125" s="55"/>
      <c r="AB125" s="55"/>
      <c r="AC125" s="55"/>
      <c r="AD125" s="55"/>
      <c r="AE125" s="55"/>
      <c r="AF125" s="55"/>
      <c r="AG125" s="55"/>
      <c r="AH125" s="55"/>
      <c r="AI125" s="55"/>
      <c r="AJ125" s="55"/>
      <c r="AK125" s="439"/>
      <c r="AL125" s="71"/>
      <c r="AM125" s="71"/>
      <c r="AN125" s="71"/>
      <c r="AO125" s="71"/>
      <c r="AP125" s="38"/>
      <c r="AQ125" s="31"/>
      <c r="AR125" s="31"/>
      <c r="AS125" s="31"/>
      <c r="AT125" s="31"/>
    </row>
    <row r="126" spans="1:46">
      <c r="A126" s="327"/>
      <c r="B126" s="334" t="s">
        <v>3</v>
      </c>
      <c r="C126" s="18" t="s">
        <v>163</v>
      </c>
      <c r="D126" s="23" t="s">
        <v>19</v>
      </c>
      <c r="E126" s="50"/>
      <c r="F126" s="50"/>
      <c r="G126" s="50"/>
      <c r="H126" s="50"/>
      <c r="I126" s="50"/>
      <c r="J126" s="50"/>
      <c r="K126" s="50"/>
      <c r="L126" s="50"/>
      <c r="M126" s="50"/>
      <c r="N126" s="50"/>
      <c r="O126" s="50"/>
      <c r="P126" s="50">
        <v>0.65</v>
      </c>
      <c r="Q126" s="50"/>
      <c r="R126" s="50"/>
      <c r="S126" s="50"/>
      <c r="T126" s="50"/>
      <c r="U126" s="50"/>
      <c r="V126" s="50"/>
      <c r="W126" s="50"/>
      <c r="X126" s="50"/>
      <c r="Y126" s="54">
        <v>0</v>
      </c>
      <c r="Z126" s="55">
        <v>0</v>
      </c>
      <c r="AA126" s="55"/>
      <c r="AB126" s="55"/>
      <c r="AC126" s="55"/>
      <c r="AD126" s="55"/>
      <c r="AE126" s="55"/>
      <c r="AF126" s="55"/>
      <c r="AG126" s="55"/>
      <c r="AH126" s="55"/>
      <c r="AI126" s="55"/>
      <c r="AJ126" s="55"/>
      <c r="AK126" s="435"/>
      <c r="AL126" s="72"/>
      <c r="AM126" s="72"/>
      <c r="AN126" s="72"/>
      <c r="AO126" s="72"/>
      <c r="AP126" s="38"/>
      <c r="AQ126" s="31"/>
      <c r="AR126" s="31"/>
      <c r="AS126" s="31"/>
      <c r="AT126" s="31"/>
    </row>
    <row r="127" spans="1:46">
      <c r="A127" s="327"/>
      <c r="B127" s="332" t="s">
        <v>3</v>
      </c>
      <c r="C127" s="19" t="s">
        <v>29</v>
      </c>
      <c r="D127" s="26" t="s">
        <v>14</v>
      </c>
      <c r="E127" s="71"/>
      <c r="F127" s="71"/>
      <c r="G127" s="71"/>
      <c r="H127" s="71"/>
      <c r="I127" s="71"/>
      <c r="J127" s="71"/>
      <c r="K127" s="71"/>
      <c r="L127" s="71"/>
      <c r="M127" s="71"/>
      <c r="N127" s="71"/>
      <c r="O127" s="71"/>
      <c r="P127" s="71"/>
      <c r="Q127" s="71"/>
      <c r="R127" s="71"/>
      <c r="S127" s="71"/>
      <c r="T127" s="71"/>
      <c r="U127" s="71"/>
      <c r="V127" s="71"/>
      <c r="W127" s="71"/>
      <c r="X127" s="71"/>
      <c r="Y127" s="439"/>
      <c r="Z127" s="71"/>
      <c r="AA127" s="71"/>
      <c r="AB127" s="71"/>
      <c r="AC127" s="71"/>
      <c r="AD127" s="71"/>
      <c r="AE127" s="71"/>
      <c r="AF127" s="71"/>
      <c r="AG127" s="71"/>
      <c r="AH127" s="71"/>
      <c r="AI127" s="71"/>
      <c r="AJ127" s="71"/>
      <c r="AK127" s="54"/>
      <c r="AL127" s="55"/>
      <c r="AM127" s="55"/>
      <c r="AN127" s="55"/>
      <c r="AO127" s="55"/>
      <c r="AP127" s="38"/>
      <c r="AQ127" s="31"/>
      <c r="AR127" s="31"/>
      <c r="AS127" s="31"/>
      <c r="AT127" s="31"/>
    </row>
    <row r="128" spans="1:46">
      <c r="A128" s="327"/>
      <c r="B128" s="332" t="s">
        <v>3</v>
      </c>
      <c r="C128" s="19" t="s">
        <v>29</v>
      </c>
      <c r="D128" s="22" t="s">
        <v>21</v>
      </c>
      <c r="E128" s="55"/>
      <c r="F128" s="55"/>
      <c r="G128" s="55"/>
      <c r="H128" s="98"/>
      <c r="I128" s="98"/>
      <c r="J128" s="98"/>
      <c r="K128" s="98"/>
      <c r="L128" s="55"/>
      <c r="M128" s="55"/>
      <c r="N128" s="55"/>
      <c r="O128" s="55"/>
      <c r="P128" s="55"/>
      <c r="Q128" s="55"/>
      <c r="R128" s="55"/>
      <c r="S128" s="55"/>
      <c r="T128" s="55"/>
      <c r="U128" s="55"/>
      <c r="V128" s="55"/>
      <c r="W128" s="55"/>
      <c r="X128" s="55"/>
      <c r="Y128" s="54"/>
      <c r="Z128" s="55"/>
      <c r="AA128" s="55"/>
      <c r="AB128" s="55"/>
      <c r="AC128" s="55"/>
      <c r="AD128" s="55"/>
      <c r="AE128" s="55"/>
      <c r="AF128" s="55"/>
      <c r="AG128" s="55"/>
      <c r="AH128" s="55"/>
      <c r="AI128" s="55"/>
      <c r="AJ128" s="55"/>
      <c r="AK128" s="54"/>
      <c r="AL128" s="55"/>
      <c r="AM128" s="55"/>
      <c r="AN128" s="55"/>
      <c r="AO128" s="55"/>
      <c r="AP128" s="38"/>
      <c r="AQ128" s="31"/>
      <c r="AR128" s="31"/>
      <c r="AS128" s="31"/>
      <c r="AT128" s="31"/>
    </row>
    <row r="129" spans="1:46">
      <c r="A129" s="327"/>
      <c r="B129" s="334" t="s">
        <v>3</v>
      </c>
      <c r="C129" s="19" t="s">
        <v>29</v>
      </c>
      <c r="D129" s="27" t="s">
        <v>19</v>
      </c>
      <c r="E129" s="72"/>
      <c r="F129" s="72"/>
      <c r="G129" s="72"/>
      <c r="H129" s="72"/>
      <c r="I129" s="118">
        <v>3.9</v>
      </c>
      <c r="J129" s="233">
        <v>4.2</v>
      </c>
      <c r="K129" s="72"/>
      <c r="L129" s="72"/>
      <c r="M129" s="72"/>
      <c r="N129" s="72"/>
      <c r="O129" s="72"/>
      <c r="P129" s="72"/>
      <c r="Q129" s="72"/>
      <c r="R129" s="72"/>
      <c r="S129" s="72"/>
      <c r="T129" s="72"/>
      <c r="U129" s="72"/>
      <c r="V129" s="72"/>
      <c r="W129" s="72"/>
      <c r="X129" s="72"/>
      <c r="Y129" s="435"/>
      <c r="Z129" s="72"/>
      <c r="AA129" s="72"/>
      <c r="AB129" s="72"/>
      <c r="AC129" s="72"/>
      <c r="AD129" s="72"/>
      <c r="AE129" s="72"/>
      <c r="AF129" s="72"/>
      <c r="AG129" s="72"/>
      <c r="AH129" s="72"/>
      <c r="AI129" s="72"/>
      <c r="AJ129" s="72"/>
      <c r="AK129" s="54"/>
      <c r="AL129" s="55"/>
      <c r="AM129" s="55"/>
      <c r="AN129" s="55"/>
      <c r="AO129" s="55"/>
      <c r="AP129" s="38"/>
      <c r="AQ129" s="31"/>
      <c r="AR129" s="31"/>
      <c r="AS129" s="31"/>
      <c r="AT129" s="31"/>
    </row>
    <row r="130" spans="1:46">
      <c r="A130" s="327"/>
      <c r="B130" s="334" t="s">
        <v>3</v>
      </c>
      <c r="C130" s="121" t="s">
        <v>51</v>
      </c>
      <c r="D130" s="122" t="s">
        <v>19</v>
      </c>
      <c r="E130" s="55"/>
      <c r="F130" s="55"/>
      <c r="G130" s="55"/>
      <c r="H130" s="55"/>
      <c r="I130" s="55"/>
      <c r="J130" s="55"/>
      <c r="K130" s="55"/>
      <c r="L130" s="55"/>
      <c r="M130" s="55"/>
      <c r="N130" s="55"/>
      <c r="O130" s="55"/>
      <c r="P130" s="55"/>
      <c r="Q130" s="55"/>
      <c r="R130" s="55"/>
      <c r="S130" s="55"/>
      <c r="T130" s="55"/>
      <c r="U130" s="55"/>
      <c r="V130" s="55"/>
      <c r="W130" s="55"/>
      <c r="X130" s="55"/>
      <c r="Y130" s="54"/>
      <c r="Z130" s="55"/>
      <c r="AA130" s="55"/>
      <c r="AB130" s="55"/>
      <c r="AC130" s="55"/>
      <c r="AD130" s="55"/>
      <c r="AE130" s="55"/>
      <c r="AF130" s="55"/>
      <c r="AG130" s="55"/>
      <c r="AH130" s="55"/>
      <c r="AI130" s="55"/>
      <c r="AJ130" s="55"/>
      <c r="AK130" s="436"/>
      <c r="AL130" s="100"/>
      <c r="AM130" s="100"/>
      <c r="AN130" s="100"/>
      <c r="AO130" s="100"/>
      <c r="AP130" s="38"/>
      <c r="AQ130" s="31"/>
      <c r="AR130" s="31"/>
      <c r="AS130" s="31"/>
      <c r="AT130" s="31"/>
    </row>
    <row r="131" spans="1:46" ht="15" thickBot="1">
      <c r="A131" s="327"/>
      <c r="B131" s="332" t="s">
        <v>3</v>
      </c>
      <c r="C131" s="17" t="s">
        <v>79</v>
      </c>
      <c r="D131" s="525" t="s">
        <v>19</v>
      </c>
      <c r="E131" s="55"/>
      <c r="F131" s="55"/>
      <c r="G131" s="55"/>
      <c r="H131" s="55"/>
      <c r="I131" s="55"/>
      <c r="J131" s="55"/>
      <c r="K131" s="100"/>
      <c r="L131" s="100"/>
      <c r="M131" s="245"/>
      <c r="N131" s="245"/>
      <c r="O131" s="245"/>
      <c r="P131" s="245"/>
      <c r="Q131" s="320"/>
      <c r="R131" s="320"/>
      <c r="S131" s="320"/>
      <c r="T131" s="320"/>
      <c r="U131" s="320"/>
      <c r="V131" s="320"/>
      <c r="W131" s="320"/>
      <c r="X131" s="320"/>
      <c r="Y131" s="440"/>
      <c r="Z131" s="320"/>
      <c r="AA131" s="320"/>
      <c r="AB131" s="320"/>
      <c r="AC131" s="320"/>
      <c r="AD131" s="320"/>
      <c r="AE131" s="320"/>
      <c r="AF131" s="320"/>
      <c r="AG131" s="320"/>
      <c r="AH131" s="320"/>
      <c r="AI131" s="320"/>
      <c r="AJ131" s="320"/>
      <c r="AK131" s="440"/>
      <c r="AL131" s="320"/>
      <c r="AM131" s="320"/>
      <c r="AN131" s="320"/>
      <c r="AO131" s="320"/>
      <c r="AP131" s="38"/>
      <c r="AQ131" s="31"/>
      <c r="AR131" s="31"/>
      <c r="AS131" s="31"/>
      <c r="AT131" s="31"/>
    </row>
    <row r="132" spans="1:46">
      <c r="A132" s="327"/>
      <c r="B132" s="49" t="s">
        <v>28</v>
      </c>
      <c r="C132" s="526" t="s">
        <v>20</v>
      </c>
      <c r="D132" s="520" t="s">
        <v>28</v>
      </c>
      <c r="E132" s="55"/>
      <c r="F132" s="55"/>
      <c r="G132" s="55"/>
      <c r="H132" s="55"/>
      <c r="I132" s="55"/>
      <c r="J132" s="55"/>
      <c r="K132" s="71"/>
      <c r="L132" s="71"/>
      <c r="M132" s="320"/>
      <c r="N132" s="320"/>
      <c r="O132" s="236">
        <f>O60</f>
        <v>0.68</v>
      </c>
      <c r="P132" s="240">
        <v>0.7</v>
      </c>
      <c r="Q132" s="240">
        <v>0</v>
      </c>
      <c r="R132" s="240"/>
      <c r="S132" s="240">
        <v>0</v>
      </c>
      <c r="T132" s="240"/>
      <c r="U132" s="240"/>
      <c r="V132" s="320">
        <v>0</v>
      </c>
      <c r="W132" s="240"/>
      <c r="X132" s="320">
        <v>0.68</v>
      </c>
      <c r="Y132" s="529"/>
      <c r="Z132" s="530"/>
      <c r="AA132" s="530"/>
      <c r="AB132" s="530"/>
      <c r="AC132" s="530"/>
      <c r="AD132" s="530"/>
      <c r="AE132" s="530">
        <v>0</v>
      </c>
      <c r="AF132" s="530">
        <v>1.2</v>
      </c>
      <c r="AG132" s="530">
        <v>1.2</v>
      </c>
      <c r="AH132" s="530">
        <v>1.2</v>
      </c>
      <c r="AI132" s="530">
        <v>1.2</v>
      </c>
      <c r="AJ132" s="53">
        <v>1.2</v>
      </c>
      <c r="AK132" s="545">
        <v>0</v>
      </c>
      <c r="AL132" s="53">
        <v>0</v>
      </c>
      <c r="AM132" s="53">
        <v>0</v>
      </c>
      <c r="AN132" s="53">
        <v>0</v>
      </c>
      <c r="AO132" s="53">
        <v>0</v>
      </c>
      <c r="AP132" s="38"/>
      <c r="AQ132" s="38"/>
      <c r="AR132" s="31"/>
      <c r="AS132" s="31"/>
      <c r="AT132" s="31"/>
    </row>
    <row r="133" spans="1:46">
      <c r="A133" s="327"/>
      <c r="B133" s="36" t="s">
        <v>28</v>
      </c>
      <c r="C133" s="16" t="s">
        <v>24</v>
      </c>
      <c r="D133" s="521" t="s">
        <v>28</v>
      </c>
      <c r="E133" s="55"/>
      <c r="F133" s="55"/>
      <c r="G133" s="55"/>
      <c r="H133" s="55"/>
      <c r="I133" s="55"/>
      <c r="J133" s="55"/>
      <c r="K133" s="71"/>
      <c r="L133" s="71"/>
      <c r="M133" s="320"/>
      <c r="N133" s="320"/>
      <c r="O133" s="236"/>
      <c r="P133" s="123"/>
      <c r="Q133" s="123">
        <v>0.6</v>
      </c>
      <c r="R133" s="123">
        <v>0</v>
      </c>
      <c r="S133" s="123">
        <v>0.6</v>
      </c>
      <c r="T133" s="123">
        <v>0.6</v>
      </c>
      <c r="U133" s="118">
        <v>1.2</v>
      </c>
      <c r="V133" s="123"/>
      <c r="W133" s="123">
        <v>0.6</v>
      </c>
      <c r="X133" s="118">
        <f>0.6+0.6</f>
        <v>1.2</v>
      </c>
      <c r="Y133" s="437">
        <v>0</v>
      </c>
      <c r="Z133" s="98">
        <f>1.2+1.2</f>
        <v>2.4</v>
      </c>
      <c r="AA133" s="223">
        <v>1.2</v>
      </c>
      <c r="AB133" s="223">
        <v>1.2</v>
      </c>
      <c r="AC133" s="223">
        <v>1.2</v>
      </c>
      <c r="AD133" s="223">
        <v>1.2</v>
      </c>
      <c r="AE133" s="223"/>
      <c r="AF133" s="223"/>
      <c r="AG133" s="223"/>
      <c r="AH133" s="223"/>
      <c r="AI133" s="223"/>
      <c r="AJ133" s="223"/>
      <c r="AK133" s="437"/>
      <c r="AL133" s="223"/>
      <c r="AM133" s="223"/>
      <c r="AN133" s="223"/>
      <c r="AO133" s="223"/>
      <c r="AP133" s="31"/>
      <c r="AQ133" s="31"/>
      <c r="AR133" s="31"/>
      <c r="AS133" s="31"/>
      <c r="AT133" s="31"/>
    </row>
    <row r="134" spans="1:46" ht="15" thickBot="1">
      <c r="B134" s="527" t="s">
        <v>28</v>
      </c>
      <c r="C134" s="528" t="s">
        <v>163</v>
      </c>
      <c r="D134" s="519" t="s">
        <v>28</v>
      </c>
      <c r="Y134" s="531">
        <f>Y60-Y132-Y133</f>
        <v>0</v>
      </c>
      <c r="Z134" s="532">
        <f t="shared" ref="Z134:AA134" si="162">Z60-Z132-Z133</f>
        <v>0</v>
      </c>
      <c r="AA134" s="532">
        <f t="shared" si="162"/>
        <v>0</v>
      </c>
      <c r="AB134" s="532"/>
      <c r="AC134" s="532"/>
      <c r="AD134" s="532"/>
      <c r="AE134" s="532"/>
      <c r="AF134" s="532"/>
      <c r="AG134" s="532"/>
      <c r="AH134" s="532"/>
      <c r="AI134" s="532"/>
      <c r="AJ134" s="532"/>
      <c r="AK134" s="531"/>
      <c r="AL134" s="532"/>
      <c r="AM134" s="532"/>
      <c r="AN134" s="532"/>
      <c r="AO134" s="532"/>
      <c r="AP134" s="31"/>
      <c r="AQ134" s="31"/>
      <c r="AR134" s="31"/>
    </row>
    <row r="135" spans="1:46">
      <c r="A135" s="327"/>
      <c r="B135" s="36" t="s">
        <v>0</v>
      </c>
      <c r="C135" s="7" t="s">
        <v>20</v>
      </c>
      <c r="D135" s="26" t="s">
        <v>14</v>
      </c>
      <c r="E135" s="71">
        <v>2.7899999999999983</v>
      </c>
      <c r="F135" s="71">
        <v>0.69</v>
      </c>
      <c r="G135" s="216">
        <f>G61-G136-G137-G138-G139-G140-G141-G143-G144-G145-G146-G147-G148-G149-G150</f>
        <v>1.9996938300000009</v>
      </c>
      <c r="H135" s="119">
        <f>H61-H136-H137-H138-H139-H140-H141-H143-H144-H145-H146-H147-H148-H149-H150</f>
        <v>4.1000000000000005</v>
      </c>
      <c r="I135" s="119">
        <f t="shared" ref="I135:X135" si="163">I61-I136-I137-I138-I139-I140-I141-I143-I144-I145-I146-I147-I148-I149-I150</f>
        <v>5.8</v>
      </c>
      <c r="J135" s="119">
        <f t="shared" si="163"/>
        <v>1.7999999999999989</v>
      </c>
      <c r="K135" s="119">
        <f t="shared" si="163"/>
        <v>1.6500000000000021</v>
      </c>
      <c r="L135" s="119">
        <f t="shared" si="163"/>
        <v>2.7800000000000002</v>
      </c>
      <c r="M135" s="119">
        <f t="shared" si="163"/>
        <v>0</v>
      </c>
      <c r="N135" s="119">
        <f t="shared" si="163"/>
        <v>2.0000000000000036</v>
      </c>
      <c r="O135" s="119">
        <f t="shared" si="163"/>
        <v>0</v>
      </c>
      <c r="P135" s="119">
        <f t="shared" si="163"/>
        <v>-2.2204460492503131E-16</v>
      </c>
      <c r="Q135" s="119">
        <f t="shared" si="163"/>
        <v>0.59999999999999898</v>
      </c>
      <c r="R135" s="119">
        <f t="shared" si="163"/>
        <v>0</v>
      </c>
      <c r="S135" s="119">
        <f t="shared" si="163"/>
        <v>4.4408920985006262E-16</v>
      </c>
      <c r="T135" s="119">
        <f t="shared" si="163"/>
        <v>-5.5511151231257827E-17</v>
      </c>
      <c r="U135" s="119">
        <f t="shared" si="163"/>
        <v>0</v>
      </c>
      <c r="V135" s="119">
        <f t="shared" si="163"/>
        <v>0</v>
      </c>
      <c r="W135" s="119">
        <f t="shared" si="163"/>
        <v>0</v>
      </c>
      <c r="X135" s="119">
        <f t="shared" si="163"/>
        <v>0</v>
      </c>
      <c r="Y135" s="431">
        <f>Y61-Y136-Y137-Y138-Y139-Y140-Y141-Y143-Y144-Y145-Y146-Y147-Y148-Y149-Y150-Y142</f>
        <v>0</v>
      </c>
      <c r="Z135" s="426">
        <f t="shared" ref="Z135:AN135" si="164">Z61-Z136-Z137-Z138-Z139-Z140-Z141-Z143-Z144-Z145-Z146-Z147-Z148-Z149-Z150-Z142</f>
        <v>0</v>
      </c>
      <c r="AA135" s="426">
        <f t="shared" si="164"/>
        <v>0</v>
      </c>
      <c r="AB135" s="426">
        <f t="shared" si="164"/>
        <v>0</v>
      </c>
      <c r="AC135" s="426">
        <f t="shared" si="164"/>
        <v>0</v>
      </c>
      <c r="AD135" s="426">
        <f t="shared" si="164"/>
        <v>0</v>
      </c>
      <c r="AE135" s="426">
        <f t="shared" si="164"/>
        <v>0</v>
      </c>
      <c r="AF135" s="426">
        <f t="shared" si="164"/>
        <v>0</v>
      </c>
      <c r="AG135" s="426">
        <f t="shared" si="164"/>
        <v>0</v>
      </c>
      <c r="AH135" s="426">
        <f t="shared" si="164"/>
        <v>0</v>
      </c>
      <c r="AI135" s="426">
        <f t="shared" si="164"/>
        <v>0</v>
      </c>
      <c r="AJ135" s="426">
        <f t="shared" si="164"/>
        <v>0</v>
      </c>
      <c r="AK135" s="426">
        <f t="shared" si="164"/>
        <v>0</v>
      </c>
      <c r="AL135" s="426">
        <f t="shared" si="164"/>
        <v>0</v>
      </c>
      <c r="AM135" s="426">
        <f t="shared" si="164"/>
        <v>0</v>
      </c>
      <c r="AN135" s="426">
        <f t="shared" si="164"/>
        <v>0</v>
      </c>
      <c r="AO135" s="426">
        <f t="shared" ref="AO135" si="165">AO61-AO136-AO137-AO138-AO139-AO140-AO141-AO143-AO144-AO145-AO146-AO147-AO148-AO149-AO150-AO142</f>
        <v>0</v>
      </c>
      <c r="AP135" s="31"/>
      <c r="AQ135" s="31"/>
      <c r="AR135" s="31"/>
      <c r="AS135" s="31"/>
      <c r="AT135" s="31"/>
    </row>
    <row r="136" spans="1:46">
      <c r="A136" s="327"/>
      <c r="B136" s="36" t="s">
        <v>0</v>
      </c>
      <c r="C136" s="7" t="s">
        <v>20</v>
      </c>
      <c r="D136" s="27" t="s">
        <v>19</v>
      </c>
      <c r="E136" s="55">
        <v>7.9961773800000016</v>
      </c>
      <c r="F136" s="55">
        <v>11.397207600000003</v>
      </c>
      <c r="G136" s="55">
        <v>12.68643397</v>
      </c>
      <c r="H136" s="98">
        <v>12</v>
      </c>
      <c r="I136" s="98">
        <v>12.8</v>
      </c>
      <c r="J136" s="98">
        <v>12</v>
      </c>
      <c r="K136" s="242">
        <v>12.499999999999998</v>
      </c>
      <c r="L136" s="242">
        <v>13</v>
      </c>
      <c r="M136" s="223">
        <v>5.59</v>
      </c>
      <c r="N136" s="223">
        <v>1.7200000000000002</v>
      </c>
      <c r="O136" s="223"/>
      <c r="P136" s="223">
        <v>0</v>
      </c>
      <c r="Q136" s="223">
        <v>2.35</v>
      </c>
      <c r="R136" s="223"/>
      <c r="S136" s="98">
        <f>6.6-4</f>
        <v>2.5999999999999996</v>
      </c>
      <c r="T136" s="223">
        <v>0.9</v>
      </c>
      <c r="U136" s="223"/>
      <c r="V136" s="223"/>
      <c r="W136" s="223"/>
      <c r="X136" s="223">
        <v>0.6</v>
      </c>
      <c r="Y136" s="472">
        <v>10.93</v>
      </c>
      <c r="Z136" s="98">
        <v>15</v>
      </c>
      <c r="AA136" s="223"/>
      <c r="AB136" s="223">
        <v>2</v>
      </c>
      <c r="AC136" s="223"/>
      <c r="AD136" s="223"/>
      <c r="AE136" s="223"/>
      <c r="AF136" s="223"/>
      <c r="AG136" s="223"/>
      <c r="AH136" s="223"/>
      <c r="AI136" s="223"/>
      <c r="AJ136" s="223"/>
      <c r="AK136" s="437"/>
      <c r="AL136" s="223"/>
      <c r="AM136" s="223"/>
      <c r="AN136" s="223"/>
      <c r="AO136" s="223"/>
      <c r="AP136" s="38"/>
      <c r="AQ136" s="31"/>
      <c r="AR136" s="31"/>
      <c r="AS136" s="31"/>
      <c r="AT136" s="31"/>
    </row>
    <row r="137" spans="1:46">
      <c r="A137" s="327"/>
      <c r="B137" s="102" t="s">
        <v>0</v>
      </c>
      <c r="C137" s="8" t="s">
        <v>20</v>
      </c>
      <c r="D137" s="23" t="s">
        <v>22</v>
      </c>
      <c r="E137" s="72">
        <v>1.3822620000000001E-2</v>
      </c>
      <c r="F137" s="72">
        <v>1.388581E-2</v>
      </c>
      <c r="G137" s="72">
        <v>1.3872200000000001E-2</v>
      </c>
      <c r="H137" s="72">
        <v>0.2</v>
      </c>
      <c r="I137" s="72">
        <v>0.2</v>
      </c>
      <c r="J137" s="72">
        <v>0</v>
      </c>
      <c r="K137" s="123">
        <v>0.85</v>
      </c>
      <c r="L137" s="123">
        <v>0.42</v>
      </c>
      <c r="M137" s="123">
        <v>0</v>
      </c>
      <c r="N137" s="123">
        <v>0</v>
      </c>
      <c r="O137" s="123">
        <v>0</v>
      </c>
      <c r="P137" s="123">
        <v>0</v>
      </c>
      <c r="Q137" s="123"/>
      <c r="R137" s="123"/>
      <c r="S137" s="123"/>
      <c r="T137" s="123">
        <v>0.3</v>
      </c>
      <c r="U137" s="123"/>
      <c r="V137" s="123"/>
      <c r="W137" s="72"/>
      <c r="X137" s="72"/>
      <c r="Y137" s="435"/>
      <c r="Z137" s="72"/>
      <c r="AA137" s="72"/>
      <c r="AB137" s="72"/>
      <c r="AC137" s="72"/>
      <c r="AD137" s="72"/>
      <c r="AE137" s="72"/>
      <c r="AF137" s="72"/>
      <c r="AG137" s="72"/>
      <c r="AH137" s="72"/>
      <c r="AI137" s="72"/>
      <c r="AJ137" s="72"/>
      <c r="AK137" s="435"/>
      <c r="AL137" s="72"/>
      <c r="AM137" s="72"/>
      <c r="AN137" s="72"/>
      <c r="AO137" s="72"/>
      <c r="AP137" s="38"/>
      <c r="AQ137" s="31"/>
      <c r="AR137" s="31"/>
      <c r="AS137" s="31"/>
      <c r="AT137" s="31"/>
    </row>
    <row r="138" spans="1:46">
      <c r="A138" s="327"/>
      <c r="B138" s="36" t="s">
        <v>0</v>
      </c>
      <c r="C138" s="20" t="s">
        <v>17</v>
      </c>
      <c r="D138" s="26" t="s">
        <v>14</v>
      </c>
      <c r="E138" s="50"/>
      <c r="F138" s="50"/>
      <c r="G138" s="50"/>
      <c r="H138" s="50"/>
      <c r="I138" s="50"/>
      <c r="J138" s="50"/>
      <c r="K138" s="50"/>
      <c r="L138" s="50"/>
      <c r="M138" s="50"/>
      <c r="N138" s="50"/>
      <c r="O138" s="50"/>
      <c r="P138" s="50"/>
      <c r="Q138" s="50"/>
      <c r="R138" s="50"/>
      <c r="S138" s="50"/>
      <c r="T138" s="50"/>
      <c r="U138" s="50"/>
      <c r="V138" s="50"/>
      <c r="W138" s="50"/>
      <c r="X138" s="50"/>
      <c r="Y138" s="54"/>
      <c r="Z138" s="55"/>
      <c r="AA138" s="55"/>
      <c r="AB138" s="55"/>
      <c r="AC138" s="55"/>
      <c r="AD138" s="55"/>
      <c r="AE138" s="55"/>
      <c r="AF138" s="55"/>
      <c r="AG138" s="55"/>
      <c r="AH138" s="55"/>
      <c r="AI138" s="55"/>
      <c r="AJ138" s="55"/>
      <c r="AK138" s="439"/>
      <c r="AL138" s="71"/>
      <c r="AM138" s="71"/>
      <c r="AN138" s="71"/>
      <c r="AO138" s="71"/>
      <c r="AP138" s="38"/>
      <c r="AQ138" s="31"/>
      <c r="AR138" s="31"/>
      <c r="AS138" s="31"/>
      <c r="AT138" s="31"/>
    </row>
    <row r="139" spans="1:46">
      <c r="A139" s="327"/>
      <c r="B139" s="36" t="s">
        <v>0</v>
      </c>
      <c r="C139" s="20" t="s">
        <v>17</v>
      </c>
      <c r="D139" s="27" t="s">
        <v>19</v>
      </c>
      <c r="E139" s="50"/>
      <c r="F139" s="50"/>
      <c r="G139" s="50"/>
      <c r="H139" s="50"/>
      <c r="I139" s="50"/>
      <c r="J139" s="50"/>
      <c r="K139" s="50"/>
      <c r="L139" s="50"/>
      <c r="M139" s="50"/>
      <c r="N139" s="50"/>
      <c r="O139" s="50"/>
      <c r="P139" s="50"/>
      <c r="Q139" s="50"/>
      <c r="R139" s="50"/>
      <c r="S139" s="50"/>
      <c r="T139" s="50"/>
      <c r="U139" s="50"/>
      <c r="V139" s="50"/>
      <c r="W139" s="50"/>
      <c r="X139" s="50"/>
      <c r="Y139" s="54"/>
      <c r="Z139" s="55"/>
      <c r="AA139" s="55"/>
      <c r="AB139" s="55"/>
      <c r="AC139" s="55"/>
      <c r="AD139" s="55"/>
      <c r="AE139" s="55"/>
      <c r="AF139" s="55"/>
      <c r="AG139" s="55"/>
      <c r="AH139" s="55"/>
      <c r="AI139" s="55"/>
      <c r="AJ139" s="55"/>
      <c r="AK139" s="435"/>
      <c r="AL139" s="72"/>
      <c r="AM139" s="72"/>
      <c r="AN139" s="72"/>
      <c r="AO139" s="72"/>
      <c r="AP139" s="38"/>
      <c r="AQ139" s="31"/>
      <c r="AR139" s="31"/>
      <c r="AS139" s="31"/>
      <c r="AT139" s="31"/>
    </row>
    <row r="140" spans="1:46">
      <c r="A140" s="327"/>
      <c r="B140" s="101" t="s">
        <v>0</v>
      </c>
      <c r="C140" s="14" t="s">
        <v>23</v>
      </c>
      <c r="D140" s="24" t="s">
        <v>14</v>
      </c>
      <c r="E140" s="71"/>
      <c r="F140" s="71"/>
      <c r="G140" s="71"/>
      <c r="H140" s="71"/>
      <c r="I140" s="71"/>
      <c r="J140" s="71"/>
      <c r="K140" s="71"/>
      <c r="L140" s="71"/>
      <c r="M140" s="71"/>
      <c r="N140" s="71"/>
      <c r="O140" s="71"/>
      <c r="P140" s="71"/>
      <c r="Q140" s="71"/>
      <c r="R140" s="71"/>
      <c r="S140" s="71"/>
      <c r="T140" s="71"/>
      <c r="U140" s="71"/>
      <c r="V140" s="71"/>
      <c r="W140" s="71"/>
      <c r="X140" s="504"/>
      <c r="Y140" s="439"/>
      <c r="Z140" s="71"/>
      <c r="AA140" s="71"/>
      <c r="AB140" s="71"/>
      <c r="AC140" s="71"/>
      <c r="AD140" s="71"/>
      <c r="AE140" s="71"/>
      <c r="AF140" s="71"/>
      <c r="AG140" s="71"/>
      <c r="AH140" s="71"/>
      <c r="AI140" s="71"/>
      <c r="AJ140" s="71"/>
      <c r="AK140" s="439"/>
      <c r="AL140" s="71"/>
      <c r="AM140" s="71"/>
      <c r="AN140" s="71"/>
      <c r="AO140" s="71"/>
      <c r="AP140" s="38"/>
      <c r="AQ140" s="31"/>
      <c r="AR140" s="31"/>
      <c r="AS140" s="31"/>
      <c r="AT140" s="31"/>
    </row>
    <row r="141" spans="1:46">
      <c r="A141" s="327"/>
      <c r="B141" s="36" t="s">
        <v>0</v>
      </c>
      <c r="C141" s="328" t="s">
        <v>23</v>
      </c>
      <c r="D141" s="27" t="s">
        <v>19</v>
      </c>
      <c r="E141" s="72">
        <v>1.2</v>
      </c>
      <c r="F141" s="72">
        <v>1.2</v>
      </c>
      <c r="G141" s="123">
        <v>0.6</v>
      </c>
      <c r="H141" s="123">
        <v>1.8</v>
      </c>
      <c r="I141" s="227">
        <v>2.4</v>
      </c>
      <c r="J141" s="123">
        <v>1.8</v>
      </c>
      <c r="K141" s="123">
        <v>2.4</v>
      </c>
      <c r="L141" s="123">
        <v>2.4</v>
      </c>
      <c r="M141" s="123">
        <v>4.33</v>
      </c>
      <c r="N141" s="123">
        <v>4.2</v>
      </c>
      <c r="O141" s="118">
        <v>3</v>
      </c>
      <c r="P141" s="118">
        <v>1.8</v>
      </c>
      <c r="Q141" s="123">
        <v>1.8</v>
      </c>
      <c r="R141" s="123"/>
      <c r="S141" s="123">
        <v>1.4</v>
      </c>
      <c r="T141" s="123"/>
      <c r="U141" s="123"/>
      <c r="V141" s="123"/>
      <c r="W141" s="123"/>
      <c r="X141" s="505"/>
      <c r="Y141" s="437">
        <v>3.6</v>
      </c>
      <c r="Z141" s="223"/>
      <c r="AA141" s="223"/>
      <c r="AB141" s="223"/>
      <c r="AC141" s="223"/>
      <c r="AD141" s="223"/>
      <c r="AE141" s="223"/>
      <c r="AF141" s="223"/>
      <c r="AG141" s="223"/>
      <c r="AH141" s="223"/>
      <c r="AI141" s="223"/>
      <c r="AJ141" s="223"/>
      <c r="AK141" s="437"/>
      <c r="AL141" s="223"/>
      <c r="AM141" s="223"/>
      <c r="AN141" s="223"/>
      <c r="AO141" s="223"/>
      <c r="AP141" s="38"/>
      <c r="AQ141" s="31"/>
      <c r="AR141" s="31"/>
      <c r="AS141" s="31"/>
      <c r="AT141" s="31"/>
    </row>
    <row r="142" spans="1:46">
      <c r="A142" s="327"/>
      <c r="B142" s="102" t="s">
        <v>0</v>
      </c>
      <c r="C142" s="15" t="s">
        <v>23</v>
      </c>
      <c r="D142" s="23" t="s">
        <v>22</v>
      </c>
      <c r="E142" s="55"/>
      <c r="F142" s="55"/>
      <c r="G142" s="223"/>
      <c r="H142" s="223"/>
      <c r="I142" s="242"/>
      <c r="J142" s="223"/>
      <c r="K142" s="223"/>
      <c r="L142" s="223"/>
      <c r="M142" s="223"/>
      <c r="N142" s="223"/>
      <c r="O142" s="98"/>
      <c r="P142" s="98"/>
      <c r="Q142" s="223"/>
      <c r="R142" s="223"/>
      <c r="S142" s="223"/>
      <c r="T142" s="223"/>
      <c r="U142" s="223"/>
      <c r="V142" s="223"/>
      <c r="W142" s="223"/>
      <c r="X142" s="506"/>
      <c r="Y142" s="438">
        <v>0.8</v>
      </c>
      <c r="Z142" s="123"/>
      <c r="AA142" s="123"/>
      <c r="AB142" s="123"/>
      <c r="AC142" s="123"/>
      <c r="AD142" s="123"/>
      <c r="AE142" s="123"/>
      <c r="AF142" s="123"/>
      <c r="AG142" s="123"/>
      <c r="AH142" s="123"/>
      <c r="AI142" s="123"/>
      <c r="AJ142" s="123"/>
      <c r="AK142" s="438"/>
      <c r="AL142" s="123"/>
      <c r="AM142" s="123"/>
      <c r="AN142" s="123"/>
      <c r="AO142" s="123"/>
      <c r="AP142" s="38"/>
      <c r="AQ142" s="31"/>
      <c r="AR142" s="31"/>
      <c r="AS142" s="31"/>
      <c r="AT142" s="31"/>
    </row>
    <row r="143" spans="1:46">
      <c r="A143" s="327"/>
      <c r="B143" s="36" t="s">
        <v>0</v>
      </c>
      <c r="C143" s="16" t="s">
        <v>24</v>
      </c>
      <c r="D143" s="26" t="s">
        <v>14</v>
      </c>
      <c r="E143" s="50">
        <v>0</v>
      </c>
      <c r="F143" s="50">
        <v>0.7</v>
      </c>
      <c r="G143" s="50">
        <v>0.7</v>
      </c>
      <c r="H143" s="50">
        <v>0.7</v>
      </c>
      <c r="I143" s="50">
        <v>0</v>
      </c>
      <c r="J143" s="50">
        <v>0</v>
      </c>
      <c r="K143" s="50">
        <v>0</v>
      </c>
      <c r="L143" s="50">
        <v>0.7</v>
      </c>
      <c r="M143" s="50">
        <v>0</v>
      </c>
      <c r="N143" s="50">
        <v>0</v>
      </c>
      <c r="O143" s="120">
        <v>0</v>
      </c>
      <c r="P143" s="50">
        <v>0</v>
      </c>
      <c r="Q143" s="50">
        <v>0</v>
      </c>
      <c r="R143" s="50">
        <v>0</v>
      </c>
      <c r="S143" s="50"/>
      <c r="T143" s="50"/>
      <c r="U143" s="50"/>
      <c r="V143" s="50"/>
      <c r="W143" s="50"/>
      <c r="X143" s="50">
        <v>0</v>
      </c>
      <c r="Y143" s="54"/>
      <c r="Z143" s="55"/>
      <c r="AA143" s="55"/>
      <c r="AB143" s="55"/>
      <c r="AC143" s="55"/>
      <c r="AD143" s="55"/>
      <c r="AE143" s="55"/>
      <c r="AF143" s="55"/>
      <c r="AG143" s="55"/>
      <c r="AH143" s="55"/>
      <c r="AI143" s="55"/>
      <c r="AJ143" s="55"/>
      <c r="AK143" s="439"/>
      <c r="AL143" s="71"/>
      <c r="AM143" s="71"/>
      <c r="AN143" s="71"/>
      <c r="AO143" s="71"/>
      <c r="AP143" s="38"/>
      <c r="AQ143" s="31"/>
      <c r="AR143" s="31"/>
      <c r="AS143" s="31"/>
      <c r="AT143" s="31"/>
    </row>
    <row r="144" spans="1:46">
      <c r="A144" s="327"/>
      <c r="B144" s="36" t="s">
        <v>0</v>
      </c>
      <c r="C144" s="16" t="s">
        <v>24</v>
      </c>
      <c r="D144" s="27" t="s">
        <v>19</v>
      </c>
      <c r="E144" s="50">
        <v>5</v>
      </c>
      <c r="F144" s="50">
        <v>5</v>
      </c>
      <c r="G144" s="50">
        <v>5</v>
      </c>
      <c r="H144" s="50">
        <v>6.2</v>
      </c>
      <c r="I144" s="50">
        <v>3.8</v>
      </c>
      <c r="J144" s="239">
        <v>6.4</v>
      </c>
      <c r="K144" s="239">
        <v>5.6</v>
      </c>
      <c r="L144" s="239">
        <v>5.7</v>
      </c>
      <c r="M144" s="50">
        <v>10.08</v>
      </c>
      <c r="N144" s="50">
        <v>10.079999999999998</v>
      </c>
      <c r="O144" s="120">
        <v>4</v>
      </c>
      <c r="P144" s="50">
        <v>0.20000000000000018</v>
      </c>
      <c r="Q144" s="50">
        <v>1.2500000000000009</v>
      </c>
      <c r="R144" s="50"/>
      <c r="S144" s="50"/>
      <c r="T144" s="50"/>
      <c r="U144" s="50"/>
      <c r="V144" s="50"/>
      <c r="W144" s="120">
        <v>13</v>
      </c>
      <c r="X144" s="120">
        <f>11+3-3</f>
        <v>11</v>
      </c>
      <c r="Y144" s="472">
        <v>3.67</v>
      </c>
      <c r="Z144" s="55"/>
      <c r="AA144" s="55"/>
      <c r="AB144" s="55"/>
      <c r="AC144" s="55"/>
      <c r="AD144" s="55"/>
      <c r="AE144" s="55"/>
      <c r="AF144" s="55"/>
      <c r="AG144" s="55"/>
      <c r="AH144" s="55"/>
      <c r="AI144" s="55"/>
      <c r="AJ144" s="55"/>
      <c r="AK144" s="435"/>
      <c r="AL144" s="72"/>
      <c r="AM144" s="72"/>
      <c r="AN144" s="72"/>
      <c r="AO144" s="72"/>
      <c r="AP144" s="38"/>
      <c r="AQ144" s="31"/>
      <c r="AR144" s="31"/>
      <c r="AS144" s="31"/>
      <c r="AT144" s="31"/>
    </row>
    <row r="145" spans="1:46">
      <c r="A145" s="327"/>
      <c r="B145" s="101" t="s">
        <v>0</v>
      </c>
      <c r="C145" s="17" t="s">
        <v>28</v>
      </c>
      <c r="D145" s="24" t="s">
        <v>14</v>
      </c>
      <c r="E145" s="71"/>
      <c r="F145" s="71"/>
      <c r="G145" s="71"/>
      <c r="H145" s="71"/>
      <c r="I145" s="71"/>
      <c r="J145" s="71"/>
      <c r="K145" s="71"/>
      <c r="L145" s="71"/>
      <c r="M145" s="71"/>
      <c r="N145" s="71"/>
      <c r="O145" s="71"/>
      <c r="P145" s="71"/>
      <c r="Q145" s="71"/>
      <c r="R145" s="71"/>
      <c r="S145" s="71"/>
      <c r="T145" s="71"/>
      <c r="U145" s="71"/>
      <c r="V145" s="71"/>
      <c r="W145" s="71"/>
      <c r="X145" s="71"/>
      <c r="Y145" s="439"/>
      <c r="Z145" s="71"/>
      <c r="AA145" s="71"/>
      <c r="AB145" s="71"/>
      <c r="AC145" s="71"/>
      <c r="AD145" s="71"/>
      <c r="AE145" s="71"/>
      <c r="AF145" s="71"/>
      <c r="AG145" s="71"/>
      <c r="AH145" s="71"/>
      <c r="AI145" s="71"/>
      <c r="AJ145" s="71"/>
      <c r="AK145" s="439"/>
      <c r="AL145" s="71"/>
      <c r="AM145" s="71"/>
      <c r="AN145" s="71"/>
      <c r="AO145" s="71"/>
      <c r="AP145" s="38"/>
      <c r="AQ145" s="31"/>
      <c r="AR145" s="31"/>
      <c r="AS145" s="31"/>
      <c r="AT145" s="31"/>
    </row>
    <row r="146" spans="1:46">
      <c r="A146" s="327"/>
      <c r="B146" s="102" t="s">
        <v>0</v>
      </c>
      <c r="C146" s="18" t="s">
        <v>28</v>
      </c>
      <c r="D146" s="23" t="s">
        <v>19</v>
      </c>
      <c r="E146" s="72"/>
      <c r="F146" s="72"/>
      <c r="G146" s="72"/>
      <c r="H146" s="72"/>
      <c r="I146" s="72"/>
      <c r="J146" s="72"/>
      <c r="K146" s="72"/>
      <c r="L146" s="72"/>
      <c r="M146" s="72"/>
      <c r="N146" s="72"/>
      <c r="O146" s="72"/>
      <c r="P146" s="72"/>
      <c r="Q146" s="72"/>
      <c r="R146" s="72"/>
      <c r="S146" s="72"/>
      <c r="T146" s="72"/>
      <c r="U146" s="72"/>
      <c r="V146" s="72"/>
      <c r="W146" s="72"/>
      <c r="X146" s="72"/>
      <c r="Y146" s="435"/>
      <c r="Z146" s="72"/>
      <c r="AA146" s="72"/>
      <c r="AB146" s="72"/>
      <c r="AC146" s="72"/>
      <c r="AD146" s="72"/>
      <c r="AE146" s="72"/>
      <c r="AF146" s="72"/>
      <c r="AG146" s="72"/>
      <c r="AH146" s="72"/>
      <c r="AI146" s="72"/>
      <c r="AJ146" s="72"/>
      <c r="AK146" s="435"/>
      <c r="AL146" s="72"/>
      <c r="AM146" s="72"/>
      <c r="AN146" s="72"/>
      <c r="AO146" s="72"/>
      <c r="AP146" s="38"/>
      <c r="AQ146" s="31"/>
      <c r="AR146" s="31"/>
      <c r="AS146" s="31"/>
      <c r="AT146" s="31"/>
    </row>
    <row r="147" spans="1:46">
      <c r="A147" s="327"/>
      <c r="B147" s="101" t="s">
        <v>0</v>
      </c>
      <c r="C147" s="17" t="s">
        <v>163</v>
      </c>
      <c r="D147" s="24" t="s">
        <v>14</v>
      </c>
      <c r="E147" s="50"/>
      <c r="F147" s="50"/>
      <c r="G147" s="50"/>
      <c r="H147" s="50"/>
      <c r="I147" s="50"/>
      <c r="J147" s="50"/>
      <c r="K147" s="50"/>
      <c r="L147" s="50"/>
      <c r="M147" s="50"/>
      <c r="N147" s="50"/>
      <c r="O147" s="50"/>
      <c r="P147" s="50"/>
      <c r="Q147" s="50"/>
      <c r="R147" s="50"/>
      <c r="S147" s="50"/>
      <c r="T147" s="50"/>
      <c r="U147" s="50"/>
      <c r="V147" s="50"/>
      <c r="W147" s="50"/>
      <c r="X147" s="50"/>
      <c r="Y147" s="54"/>
      <c r="Z147" s="55"/>
      <c r="AA147" s="55"/>
      <c r="AB147" s="55"/>
      <c r="AC147" s="55"/>
      <c r="AD147" s="55"/>
      <c r="AE147" s="55"/>
      <c r="AF147" s="55"/>
      <c r="AG147" s="55"/>
      <c r="AH147" s="55"/>
      <c r="AI147" s="55"/>
      <c r="AJ147" s="55"/>
      <c r="AK147" s="439"/>
      <c r="AL147" s="71"/>
      <c r="AM147" s="71"/>
      <c r="AN147" s="71"/>
      <c r="AO147" s="71"/>
      <c r="AP147" s="38"/>
      <c r="AQ147" s="31"/>
      <c r="AR147" s="31"/>
      <c r="AS147" s="31"/>
      <c r="AT147" s="31"/>
    </row>
    <row r="148" spans="1:46">
      <c r="A148" s="327"/>
      <c r="B148" s="102" t="s">
        <v>0</v>
      </c>
      <c r="C148" s="18" t="s">
        <v>163</v>
      </c>
      <c r="D148" s="23" t="s">
        <v>19</v>
      </c>
      <c r="E148" s="50"/>
      <c r="F148" s="50"/>
      <c r="G148" s="50"/>
      <c r="H148" s="50"/>
      <c r="I148" s="50"/>
      <c r="J148" s="50"/>
      <c r="K148" s="50"/>
      <c r="L148" s="50"/>
      <c r="M148" s="50"/>
      <c r="N148" s="50"/>
      <c r="O148" s="50"/>
      <c r="P148" s="50"/>
      <c r="Q148" s="50"/>
      <c r="R148" s="50"/>
      <c r="S148" s="50"/>
      <c r="T148" s="50"/>
      <c r="U148" s="50"/>
      <c r="V148" s="50"/>
      <c r="W148" s="50"/>
      <c r="X148" s="50"/>
      <c r="Y148" s="54"/>
      <c r="Z148" s="55"/>
      <c r="AA148" s="55"/>
      <c r="AB148" s="55"/>
      <c r="AC148" s="55"/>
      <c r="AD148" s="55"/>
      <c r="AE148" s="55"/>
      <c r="AF148" s="55"/>
      <c r="AG148" s="55"/>
      <c r="AH148" s="55"/>
      <c r="AI148" s="55"/>
      <c r="AJ148" s="55"/>
      <c r="AK148" s="435"/>
      <c r="AL148" s="72"/>
      <c r="AM148" s="72"/>
      <c r="AN148" s="72"/>
      <c r="AO148" s="72"/>
      <c r="AP148" s="38"/>
      <c r="AQ148" s="31"/>
      <c r="AR148" s="31"/>
      <c r="AS148" s="31"/>
      <c r="AT148" s="31"/>
    </row>
    <row r="149" spans="1:46">
      <c r="A149" s="327"/>
      <c r="B149" s="101" t="s">
        <v>0</v>
      </c>
      <c r="C149" s="19" t="s">
        <v>29</v>
      </c>
      <c r="D149" s="24" t="s">
        <v>14</v>
      </c>
      <c r="E149" s="71"/>
      <c r="F149" s="71"/>
      <c r="G149" s="71"/>
      <c r="H149" s="71"/>
      <c r="I149" s="71"/>
      <c r="J149" s="71"/>
      <c r="K149" s="71"/>
      <c r="L149" s="71"/>
      <c r="M149" s="71"/>
      <c r="N149" s="71"/>
      <c r="O149" s="71"/>
      <c r="P149" s="71"/>
      <c r="Q149" s="71"/>
      <c r="R149" s="71"/>
      <c r="S149" s="71"/>
      <c r="T149" s="71"/>
      <c r="U149" s="71"/>
      <c r="V149" s="71"/>
      <c r="W149" s="71"/>
      <c r="X149" s="71"/>
      <c r="Y149" s="439"/>
      <c r="Z149" s="71"/>
      <c r="AA149" s="71"/>
      <c r="AB149" s="71"/>
      <c r="AC149" s="71"/>
      <c r="AD149" s="71"/>
      <c r="AE149" s="71"/>
      <c r="AF149" s="71"/>
      <c r="AG149" s="71"/>
      <c r="AH149" s="71"/>
      <c r="AI149" s="71"/>
      <c r="AJ149" s="71"/>
      <c r="AK149" s="439"/>
      <c r="AL149" s="71"/>
      <c r="AM149" s="71"/>
      <c r="AN149" s="71"/>
      <c r="AO149" s="71"/>
      <c r="AP149" s="38"/>
      <c r="AQ149" s="31"/>
      <c r="AR149" s="31"/>
      <c r="AS149" s="31"/>
      <c r="AT149" s="31"/>
    </row>
    <row r="150" spans="1:46">
      <c r="A150" s="327"/>
      <c r="B150" s="102" t="s">
        <v>0</v>
      </c>
      <c r="C150" s="19" t="s">
        <v>29</v>
      </c>
      <c r="D150" s="23" t="s">
        <v>19</v>
      </c>
      <c r="E150" s="72"/>
      <c r="F150" s="72"/>
      <c r="G150" s="72"/>
      <c r="H150" s="72"/>
      <c r="I150" s="72"/>
      <c r="J150" s="72"/>
      <c r="K150" s="72"/>
      <c r="L150" s="72"/>
      <c r="M150" s="72"/>
      <c r="N150" s="72"/>
      <c r="O150" s="72"/>
      <c r="P150" s="72"/>
      <c r="Q150" s="72"/>
      <c r="R150" s="72"/>
      <c r="S150" s="72"/>
      <c r="T150" s="72"/>
      <c r="U150" s="72"/>
      <c r="V150" s="72"/>
      <c r="W150" s="72"/>
      <c r="X150" s="72"/>
      <c r="Y150" s="435"/>
      <c r="Z150" s="72"/>
      <c r="AA150" s="72"/>
      <c r="AB150" s="72"/>
      <c r="AC150" s="72"/>
      <c r="AD150" s="72"/>
      <c r="AE150" s="72"/>
      <c r="AF150" s="72"/>
      <c r="AG150" s="72"/>
      <c r="AH150" s="72"/>
      <c r="AI150" s="72"/>
      <c r="AJ150" s="72"/>
      <c r="AK150" s="435"/>
      <c r="AL150" s="72"/>
      <c r="AM150" s="72"/>
      <c r="AN150" s="72"/>
      <c r="AO150" s="72"/>
      <c r="AP150" s="38"/>
      <c r="AQ150" s="31"/>
      <c r="AR150" s="31"/>
      <c r="AS150" s="31"/>
      <c r="AT150" s="31"/>
    </row>
    <row r="151" spans="1:46">
      <c r="A151" s="327"/>
      <c r="B151" s="336" t="s">
        <v>0</v>
      </c>
      <c r="C151" s="121" t="s">
        <v>79</v>
      </c>
      <c r="D151" s="122" t="s">
        <v>19</v>
      </c>
      <c r="E151" s="55"/>
      <c r="F151" s="55"/>
      <c r="G151" s="55"/>
      <c r="H151" s="55"/>
      <c r="I151" s="55"/>
      <c r="J151" s="55"/>
      <c r="K151" s="100"/>
      <c r="L151" s="100"/>
      <c r="M151" s="100"/>
      <c r="N151" s="100"/>
      <c r="O151" s="100"/>
      <c r="P151" s="100"/>
      <c r="Q151" s="100"/>
      <c r="R151" s="100"/>
      <c r="S151" s="100"/>
      <c r="T151" s="100"/>
      <c r="U151" s="100"/>
      <c r="V151" s="100"/>
      <c r="W151" s="100"/>
      <c r="X151" s="100"/>
      <c r="Y151" s="436"/>
      <c r="Z151" s="100"/>
      <c r="AA151" s="100"/>
      <c r="AB151" s="100"/>
      <c r="AC151" s="100"/>
      <c r="AD151" s="100"/>
      <c r="AE151" s="100"/>
      <c r="AF151" s="100"/>
      <c r="AG151" s="100"/>
      <c r="AH151" s="100"/>
      <c r="AI151" s="100"/>
      <c r="AJ151" s="100"/>
      <c r="AK151" s="436"/>
      <c r="AL151" s="100"/>
      <c r="AM151" s="100"/>
      <c r="AN151" s="100"/>
      <c r="AO151" s="100"/>
      <c r="AP151" s="38"/>
      <c r="AQ151" s="31"/>
      <c r="AR151" s="31"/>
      <c r="AS151" s="31"/>
      <c r="AT151" s="31"/>
    </row>
    <row r="152" spans="1:46">
      <c r="A152" s="327"/>
      <c r="B152" s="36" t="s">
        <v>1</v>
      </c>
      <c r="C152" s="7" t="s">
        <v>15</v>
      </c>
      <c r="D152" s="26" t="s">
        <v>14</v>
      </c>
      <c r="E152" s="55"/>
      <c r="F152" s="55"/>
      <c r="G152" s="55"/>
      <c r="H152" s="55"/>
      <c r="I152" s="55"/>
      <c r="J152" s="55"/>
      <c r="K152" s="55"/>
      <c r="L152" s="55"/>
      <c r="M152" s="55"/>
      <c r="N152" s="55"/>
      <c r="O152" s="55"/>
      <c r="P152" s="55"/>
      <c r="Q152" s="55"/>
      <c r="R152" s="55"/>
      <c r="S152" s="55"/>
      <c r="T152" s="55"/>
      <c r="U152" s="55"/>
      <c r="V152" s="55"/>
      <c r="W152" s="55"/>
      <c r="X152" s="55"/>
      <c r="Y152" s="54"/>
      <c r="Z152" s="55">
        <v>0.6</v>
      </c>
      <c r="AA152" s="55"/>
      <c r="AB152" s="55"/>
      <c r="AC152" s="55"/>
      <c r="AD152" s="55"/>
      <c r="AE152" s="55"/>
      <c r="AF152" s="55"/>
      <c r="AG152" s="55"/>
      <c r="AH152" s="55"/>
      <c r="AI152" s="55"/>
      <c r="AJ152" s="55"/>
      <c r="AK152" s="439"/>
      <c r="AL152" s="71"/>
      <c r="AM152" s="71"/>
      <c r="AN152" s="71"/>
      <c r="AO152" s="71"/>
      <c r="AP152" s="38"/>
      <c r="AQ152" s="31"/>
      <c r="AR152" s="31"/>
      <c r="AS152" s="31"/>
      <c r="AT152" s="31"/>
    </row>
    <row r="153" spans="1:46">
      <c r="A153" s="327"/>
      <c r="B153" s="36" t="s">
        <v>1</v>
      </c>
      <c r="C153" s="7" t="s">
        <v>20</v>
      </c>
      <c r="D153" s="326" t="s">
        <v>25</v>
      </c>
      <c r="E153" s="50">
        <f t="shared" ref="E153:K153" si="166">E62</f>
        <v>8.4</v>
      </c>
      <c r="F153" s="50">
        <f t="shared" si="166"/>
        <v>6.2</v>
      </c>
      <c r="G153" s="50">
        <f t="shared" si="166"/>
        <v>7.2</v>
      </c>
      <c r="H153" s="50">
        <f t="shared" si="166"/>
        <v>7.2</v>
      </c>
      <c r="I153" s="50">
        <f t="shared" si="166"/>
        <v>7.4</v>
      </c>
      <c r="J153" s="112">
        <f t="shared" si="166"/>
        <v>6.7</v>
      </c>
      <c r="K153" s="112">
        <f t="shared" si="166"/>
        <v>0</v>
      </c>
      <c r="L153" s="112">
        <f>L62-L155</f>
        <v>3.96</v>
      </c>
      <c r="M153" s="112">
        <v>2.5</v>
      </c>
      <c r="N153" s="112">
        <v>2</v>
      </c>
      <c r="O153" s="112">
        <v>2</v>
      </c>
      <c r="P153" s="112">
        <f>P62-P154-P155</f>
        <v>1.4</v>
      </c>
      <c r="Q153" s="112">
        <f>Q62-Q154-Q155</f>
        <v>0</v>
      </c>
      <c r="R153" s="112">
        <f>R62-R154-R155</f>
        <v>0</v>
      </c>
      <c r="S153" s="413">
        <v>0</v>
      </c>
      <c r="T153" s="112">
        <f>T62-T154-T155</f>
        <v>3</v>
      </c>
      <c r="U153" s="120">
        <f t="shared" ref="U153:AJ153" si="167">U62-U154-U155-U156</f>
        <v>3</v>
      </c>
      <c r="V153" s="112">
        <f t="shared" si="167"/>
        <v>6.7600000000000007</v>
      </c>
      <c r="W153" s="112">
        <f t="shared" si="167"/>
        <v>6.06</v>
      </c>
      <c r="X153" s="112">
        <f t="shared" si="167"/>
        <v>6.07</v>
      </c>
      <c r="Y153" s="431">
        <f t="shared" si="167"/>
        <v>3.5399999999999991</v>
      </c>
      <c r="Z153" s="426">
        <f>Z62-Z154-Z155-Z156-Z152</f>
        <v>1.9999999999999996</v>
      </c>
      <c r="AA153" s="426">
        <f t="shared" si="167"/>
        <v>2</v>
      </c>
      <c r="AB153" s="426">
        <f t="shared" si="167"/>
        <v>1.3500000000000005</v>
      </c>
      <c r="AC153" s="426">
        <f t="shared" si="167"/>
        <v>1.3999999999999995</v>
      </c>
      <c r="AD153" s="426">
        <f t="shared" si="167"/>
        <v>1.4000000000000004</v>
      </c>
      <c r="AE153" s="426">
        <f t="shared" si="167"/>
        <v>2</v>
      </c>
      <c r="AF153" s="426">
        <f t="shared" si="167"/>
        <v>2</v>
      </c>
      <c r="AG153" s="426">
        <f t="shared" si="167"/>
        <v>2</v>
      </c>
      <c r="AH153" s="426">
        <f t="shared" si="167"/>
        <v>2</v>
      </c>
      <c r="AI153" s="426">
        <f t="shared" si="167"/>
        <v>2</v>
      </c>
      <c r="AJ153" s="426">
        <f t="shared" si="167"/>
        <v>2</v>
      </c>
      <c r="AK153" s="431">
        <f>AK62-AK154-AK155-AK156</f>
        <v>2</v>
      </c>
      <c r="AL153" s="426">
        <f>AL62-AL154-AL155-AL156</f>
        <v>2</v>
      </c>
      <c r="AM153" s="426">
        <f>AM62-AM154-AM155-AM156</f>
        <v>2</v>
      </c>
      <c r="AN153" s="426">
        <f>AN62-AN154-AN155-AN156</f>
        <v>2</v>
      </c>
      <c r="AO153" s="426">
        <f>AO62-AO154-AO155-AO156</f>
        <v>2</v>
      </c>
      <c r="AP153" s="38"/>
      <c r="AQ153" s="31"/>
      <c r="AR153" s="31"/>
      <c r="AS153" s="31"/>
      <c r="AT153" s="31"/>
    </row>
    <row r="154" spans="1:46">
      <c r="A154" s="327"/>
      <c r="B154" s="36" t="s">
        <v>1</v>
      </c>
      <c r="C154" s="328" t="s">
        <v>23</v>
      </c>
      <c r="D154" s="337" t="s">
        <v>25</v>
      </c>
      <c r="E154" s="50"/>
      <c r="F154" s="50"/>
      <c r="G154" s="50"/>
      <c r="H154" s="50"/>
      <c r="I154" s="50"/>
      <c r="J154" s="112"/>
      <c r="K154" s="112"/>
      <c r="L154" s="112"/>
      <c r="M154" s="112"/>
      <c r="N154" s="112"/>
      <c r="O154" s="112"/>
      <c r="P154" s="112">
        <v>0</v>
      </c>
      <c r="Q154" s="254">
        <v>0</v>
      </c>
      <c r="R154" s="254">
        <v>0</v>
      </c>
      <c r="S154" s="413">
        <v>0</v>
      </c>
      <c r="T154" s="254">
        <v>0</v>
      </c>
      <c r="U154" s="254">
        <v>0</v>
      </c>
      <c r="V154" s="254">
        <v>0</v>
      </c>
      <c r="W154" s="254">
        <v>0</v>
      </c>
      <c r="X154" s="254">
        <v>0</v>
      </c>
      <c r="Y154" s="437">
        <v>0</v>
      </c>
      <c r="Z154" s="223"/>
      <c r="AA154" s="223"/>
      <c r="AB154" s="223"/>
      <c r="AC154" s="223"/>
      <c r="AD154" s="223"/>
      <c r="AE154" s="223"/>
      <c r="AF154" s="223"/>
      <c r="AG154" s="223"/>
      <c r="AH154" s="223"/>
      <c r="AI154" s="223"/>
      <c r="AJ154" s="223"/>
      <c r="AK154" s="437"/>
      <c r="AL154" s="223"/>
      <c r="AM154" s="223"/>
      <c r="AN154" s="223"/>
      <c r="AO154" s="223"/>
      <c r="AP154" s="38"/>
      <c r="AQ154" s="31"/>
      <c r="AR154" s="31"/>
      <c r="AS154" s="31"/>
      <c r="AT154" s="31"/>
    </row>
    <row r="155" spans="1:46">
      <c r="A155" s="327"/>
      <c r="B155" s="36" t="s">
        <v>1</v>
      </c>
      <c r="C155" s="16" t="s">
        <v>24</v>
      </c>
      <c r="D155" s="337" t="s">
        <v>25</v>
      </c>
      <c r="E155" s="50"/>
      <c r="F155" s="50"/>
      <c r="G155" s="50"/>
      <c r="H155" s="50"/>
      <c r="I155" s="50"/>
      <c r="J155" s="50"/>
      <c r="K155" s="50"/>
      <c r="L155" s="50">
        <v>0</v>
      </c>
      <c r="M155" s="50">
        <f>M62-M153</f>
        <v>3.87</v>
      </c>
      <c r="N155" s="50">
        <f>N62-N153</f>
        <v>4.0999999999999996</v>
      </c>
      <c r="O155" s="120">
        <v>3.73</v>
      </c>
      <c r="P155" s="120">
        <v>2.9</v>
      </c>
      <c r="Q155" s="254">
        <v>3</v>
      </c>
      <c r="R155" s="120">
        <v>3</v>
      </c>
      <c r="S155" s="112">
        <f>S62-S153-S154</f>
        <v>3.5</v>
      </c>
      <c r="T155" s="254">
        <v>0</v>
      </c>
      <c r="U155" s="254">
        <v>0.6</v>
      </c>
      <c r="V155" s="254">
        <v>0</v>
      </c>
      <c r="W155" s="254">
        <v>0</v>
      </c>
      <c r="X155" s="254">
        <v>0.6</v>
      </c>
      <c r="Y155" s="472">
        <v>4.83</v>
      </c>
      <c r="Z155" s="223">
        <f>4.48+0.6</f>
        <v>5.08</v>
      </c>
      <c r="AA155" s="223">
        <v>4.63</v>
      </c>
      <c r="AB155" s="223">
        <v>4.38</v>
      </c>
      <c r="AC155" s="98">
        <v>4.3600000000000003</v>
      </c>
      <c r="AD155" s="223">
        <v>4.38</v>
      </c>
      <c r="AE155" s="223">
        <v>4.12</v>
      </c>
      <c r="AF155" s="223">
        <v>4.12</v>
      </c>
      <c r="AG155" s="223">
        <v>4.12</v>
      </c>
      <c r="AH155" s="223">
        <v>4.12</v>
      </c>
      <c r="AI155" s="223">
        <v>4.12</v>
      </c>
      <c r="AJ155" s="223">
        <v>4.12</v>
      </c>
      <c r="AK155" s="437">
        <v>4.12</v>
      </c>
      <c r="AL155" s="223">
        <v>4.12</v>
      </c>
      <c r="AM155" s="223">
        <v>4.12</v>
      </c>
      <c r="AN155" s="223">
        <v>4.12</v>
      </c>
      <c r="AO155" s="223">
        <v>4.12</v>
      </c>
      <c r="AP155" s="38"/>
      <c r="AQ155" s="38"/>
      <c r="AR155" s="31"/>
      <c r="AS155" s="31"/>
      <c r="AT155" s="31"/>
    </row>
    <row r="156" spans="1:46">
      <c r="A156" s="327"/>
      <c r="B156" s="36" t="s">
        <v>1</v>
      </c>
      <c r="C156" s="443" t="s">
        <v>163</v>
      </c>
      <c r="D156" s="337" t="s">
        <v>25</v>
      </c>
      <c r="E156" s="50"/>
      <c r="F156" s="50"/>
      <c r="G156" s="50"/>
      <c r="H156" s="50"/>
      <c r="I156" s="50"/>
      <c r="J156" s="50"/>
      <c r="K156" s="50"/>
      <c r="L156" s="50"/>
      <c r="M156" s="50"/>
      <c r="N156" s="50"/>
      <c r="O156" s="120"/>
      <c r="P156" s="120"/>
      <c r="Q156" s="254"/>
      <c r="R156" s="120"/>
      <c r="S156" s="112"/>
      <c r="T156" s="254"/>
      <c r="U156" s="254">
        <v>0</v>
      </c>
      <c r="V156" s="254">
        <v>0</v>
      </c>
      <c r="W156" s="254">
        <v>0</v>
      </c>
      <c r="X156" s="254">
        <v>0</v>
      </c>
      <c r="Y156" s="437">
        <v>0</v>
      </c>
      <c r="Z156" s="223"/>
      <c r="AA156" s="223"/>
      <c r="AB156" s="223"/>
      <c r="AC156" s="223"/>
      <c r="AD156" s="223"/>
      <c r="AE156" s="223"/>
      <c r="AF156" s="223"/>
      <c r="AG156" s="223"/>
      <c r="AH156" s="223"/>
      <c r="AI156" s="223"/>
      <c r="AJ156" s="223"/>
      <c r="AK156" s="438"/>
      <c r="AL156" s="123"/>
      <c r="AM156" s="123"/>
      <c r="AN156" s="123"/>
      <c r="AO156" s="123"/>
      <c r="AP156" s="38"/>
      <c r="AQ156" s="38"/>
      <c r="AR156" s="31"/>
      <c r="AS156" s="31"/>
      <c r="AT156" s="31"/>
    </row>
    <row r="157" spans="1:46">
      <c r="A157" s="327"/>
      <c r="B157" s="336" t="s">
        <v>2</v>
      </c>
      <c r="C157" s="110" t="s">
        <v>20</v>
      </c>
      <c r="D157" s="338" t="s">
        <v>26</v>
      </c>
      <c r="E157" s="100">
        <f t="shared" ref="E157:AJ157" si="168">E63</f>
        <v>5.89</v>
      </c>
      <c r="F157" s="100">
        <f t="shared" si="168"/>
        <v>6.22</v>
      </c>
      <c r="G157" s="100">
        <f t="shared" si="168"/>
        <v>5.89</v>
      </c>
      <c r="H157" s="100">
        <f t="shared" si="168"/>
        <v>6.05</v>
      </c>
      <c r="I157" s="100">
        <f t="shared" si="168"/>
        <v>5.85</v>
      </c>
      <c r="J157" s="237">
        <f t="shared" si="168"/>
        <v>6.05</v>
      </c>
      <c r="K157" s="237">
        <f t="shared" si="168"/>
        <v>6.7</v>
      </c>
      <c r="L157" s="237">
        <f t="shared" si="168"/>
        <v>6.05</v>
      </c>
      <c r="M157" s="237">
        <f t="shared" si="168"/>
        <v>6.2</v>
      </c>
      <c r="N157" s="237">
        <f t="shared" si="168"/>
        <v>5.66</v>
      </c>
      <c r="O157" s="237">
        <f t="shared" si="168"/>
        <v>6.0449999999999999</v>
      </c>
      <c r="P157" s="237">
        <f t="shared" si="168"/>
        <v>5.85</v>
      </c>
      <c r="Q157" s="237">
        <f t="shared" si="168"/>
        <v>4.5999999999999996</v>
      </c>
      <c r="R157" s="245">
        <f t="shared" si="168"/>
        <v>5.7</v>
      </c>
      <c r="S157" s="237">
        <f t="shared" si="168"/>
        <v>5.7</v>
      </c>
      <c r="T157" s="237">
        <f t="shared" si="168"/>
        <v>5.68</v>
      </c>
      <c r="U157" s="237">
        <f t="shared" si="168"/>
        <v>5.4</v>
      </c>
      <c r="V157" s="237">
        <f t="shared" si="168"/>
        <v>5.8</v>
      </c>
      <c r="W157" s="237">
        <f t="shared" si="168"/>
        <v>5.4</v>
      </c>
      <c r="X157" s="237">
        <f t="shared" si="168"/>
        <v>5.58</v>
      </c>
      <c r="Y157" s="441">
        <f t="shared" si="168"/>
        <v>5.4870000000000001</v>
      </c>
      <c r="Z157" s="237">
        <f t="shared" si="168"/>
        <v>5.32</v>
      </c>
      <c r="AA157" s="237">
        <f t="shared" si="168"/>
        <v>5.74</v>
      </c>
      <c r="AB157" s="237">
        <f t="shared" si="168"/>
        <v>5.8220000000000001</v>
      </c>
      <c r="AC157" s="237">
        <f t="shared" si="168"/>
        <v>5.7350000000000003</v>
      </c>
      <c r="AD157" s="237">
        <f t="shared" si="168"/>
        <v>5.55</v>
      </c>
      <c r="AE157" s="237">
        <f t="shared" si="168"/>
        <v>5.7350000000000003</v>
      </c>
      <c r="AF157" s="237">
        <f t="shared" si="168"/>
        <v>5.7350000000000003</v>
      </c>
      <c r="AG157" s="237">
        <f t="shared" si="168"/>
        <v>5.55</v>
      </c>
      <c r="AH157" s="237">
        <f t="shared" si="168"/>
        <v>5.7350000000000003</v>
      </c>
      <c r="AI157" s="237">
        <f t="shared" si="168"/>
        <v>5.7350000000000003</v>
      </c>
      <c r="AJ157" s="237">
        <f t="shared" si="168"/>
        <v>5.7350000000000003</v>
      </c>
      <c r="AK157" s="441">
        <f t="shared" ref="AK157:AM158" si="169">AK63</f>
        <v>5.7350000000000003</v>
      </c>
      <c r="AL157" s="237">
        <f t="shared" si="169"/>
        <v>5.7350000000000003</v>
      </c>
      <c r="AM157" s="237">
        <f t="shared" si="169"/>
        <v>5.7350000000000003</v>
      </c>
      <c r="AN157" s="237">
        <f t="shared" ref="AN157:AO157" si="170">AN63</f>
        <v>5.7350000000000003</v>
      </c>
      <c r="AO157" s="237">
        <f t="shared" si="170"/>
        <v>5.7350000000000003</v>
      </c>
      <c r="AP157" s="38"/>
      <c r="AQ157" s="38"/>
      <c r="AR157" s="31"/>
      <c r="AS157" s="31"/>
      <c r="AT157" s="31"/>
    </row>
    <row r="158" spans="1:46" ht="15" thickBot="1">
      <c r="A158" s="331"/>
      <c r="B158" s="103" t="s">
        <v>5</v>
      </c>
      <c r="C158" s="28" t="s">
        <v>20</v>
      </c>
      <c r="D158" s="29" t="s">
        <v>5</v>
      </c>
      <c r="E158" s="56">
        <f t="shared" ref="E158:AJ158" si="171">E64</f>
        <v>15.6</v>
      </c>
      <c r="F158" s="56">
        <f t="shared" si="171"/>
        <v>16.100000000000001</v>
      </c>
      <c r="G158" s="56">
        <f t="shared" si="171"/>
        <v>16.027000000000001</v>
      </c>
      <c r="H158" s="56">
        <f t="shared" si="171"/>
        <v>14</v>
      </c>
      <c r="I158" s="56">
        <f t="shared" si="171"/>
        <v>15.45</v>
      </c>
      <c r="J158" s="238">
        <f t="shared" si="171"/>
        <v>10.85</v>
      </c>
      <c r="K158" s="238">
        <f t="shared" si="171"/>
        <v>13.15</v>
      </c>
      <c r="L158" s="238">
        <f t="shared" si="171"/>
        <v>13.26</v>
      </c>
      <c r="M158" s="238">
        <f t="shared" si="171"/>
        <v>17</v>
      </c>
      <c r="N158" s="238">
        <f t="shared" si="171"/>
        <v>17.5</v>
      </c>
      <c r="O158" s="238">
        <f t="shared" si="171"/>
        <v>15</v>
      </c>
      <c r="P158" s="238">
        <f t="shared" si="171"/>
        <v>16.5</v>
      </c>
      <c r="Q158" s="238">
        <f t="shared" si="171"/>
        <v>15</v>
      </c>
      <c r="R158" s="238">
        <f t="shared" si="171"/>
        <v>14.5</v>
      </c>
      <c r="S158" s="238">
        <f t="shared" si="171"/>
        <v>15.5</v>
      </c>
      <c r="T158" s="238">
        <f t="shared" si="171"/>
        <v>13.04</v>
      </c>
      <c r="U158" s="238">
        <f t="shared" si="171"/>
        <v>17.2</v>
      </c>
      <c r="V158" s="238">
        <f t="shared" si="171"/>
        <v>15.83</v>
      </c>
      <c r="W158" s="238">
        <f t="shared" si="171"/>
        <v>16.2</v>
      </c>
      <c r="X158" s="238">
        <f t="shared" si="171"/>
        <v>15.4</v>
      </c>
      <c r="Y158" s="432">
        <f t="shared" si="171"/>
        <v>11</v>
      </c>
      <c r="Z158" s="238">
        <f t="shared" si="171"/>
        <v>6.72</v>
      </c>
      <c r="AA158" s="597">
        <f t="shared" si="171"/>
        <v>13.5</v>
      </c>
      <c r="AB158" s="238">
        <f t="shared" si="171"/>
        <v>15</v>
      </c>
      <c r="AC158" s="238">
        <f t="shared" si="171"/>
        <v>15.5</v>
      </c>
      <c r="AD158" s="238">
        <f t="shared" si="171"/>
        <v>13.95</v>
      </c>
      <c r="AE158" s="238">
        <f t="shared" si="171"/>
        <v>8.99</v>
      </c>
      <c r="AF158" s="238">
        <f t="shared" si="171"/>
        <v>14.66</v>
      </c>
      <c r="AG158" s="238">
        <f t="shared" si="171"/>
        <v>15</v>
      </c>
      <c r="AH158" s="238">
        <f t="shared" si="171"/>
        <v>15.5</v>
      </c>
      <c r="AI158" s="238">
        <f t="shared" si="171"/>
        <v>15</v>
      </c>
      <c r="AJ158" s="238">
        <f t="shared" si="171"/>
        <v>15.08</v>
      </c>
      <c r="AK158" s="432">
        <f t="shared" si="169"/>
        <v>14.87</v>
      </c>
      <c r="AL158" s="238">
        <f t="shared" si="169"/>
        <v>14</v>
      </c>
      <c r="AM158" s="238">
        <f t="shared" si="169"/>
        <v>15.5</v>
      </c>
      <c r="AN158" s="238">
        <f t="shared" ref="AN158:AO158" si="172">AN64</f>
        <v>15</v>
      </c>
      <c r="AO158" s="238">
        <f t="shared" si="172"/>
        <v>15.5</v>
      </c>
      <c r="AP158" s="38"/>
      <c r="AQ158" s="38"/>
      <c r="AR158" s="31"/>
      <c r="AS158" s="31"/>
      <c r="AT158" s="31"/>
    </row>
    <row r="159" spans="1:46" s="31" customFormat="1" ht="24" thickBot="1">
      <c r="A159" s="39" t="s">
        <v>125</v>
      </c>
      <c r="B159" s="30"/>
      <c r="L159" s="363"/>
      <c r="M159" s="363"/>
      <c r="N159" s="363"/>
      <c r="O159" s="363"/>
      <c r="P159" s="363"/>
      <c r="Q159" s="85"/>
      <c r="R159" s="85"/>
      <c r="S159" s="85"/>
      <c r="T159" s="85"/>
      <c r="U159" s="85">
        <f>U163-U105-U106</f>
        <v>214.74000000000004</v>
      </c>
      <c r="V159" s="85"/>
      <c r="W159" s="85"/>
      <c r="X159" s="85"/>
      <c r="Y159" s="85"/>
      <c r="Z159" s="85"/>
      <c r="AA159" s="85"/>
      <c r="AB159" s="85"/>
      <c r="AC159" s="85">
        <f>AC160-17</f>
        <v>157.92699999999999</v>
      </c>
      <c r="AD159" s="85"/>
      <c r="AE159" s="85"/>
      <c r="AF159" s="85"/>
      <c r="AG159" s="85"/>
      <c r="AH159" s="85"/>
      <c r="AI159" s="85"/>
      <c r="AJ159" s="85"/>
      <c r="AK159" s="85"/>
      <c r="AL159" s="85"/>
      <c r="AM159" s="85"/>
      <c r="AN159" s="85"/>
      <c r="AO159" s="85"/>
      <c r="AP159" s="38"/>
      <c r="AQ159" s="38"/>
    </row>
    <row r="160" spans="1:46">
      <c r="A160" s="45" t="s">
        <v>36</v>
      </c>
      <c r="B160" s="49" t="s">
        <v>3</v>
      </c>
      <c r="C160" s="370" t="s">
        <v>8</v>
      </c>
      <c r="D160" s="371" t="s">
        <v>3</v>
      </c>
      <c r="E160" s="53">
        <f>E161+E162</f>
        <v>153.96899999999999</v>
      </c>
      <c r="F160" s="53">
        <f>F161+F162</f>
        <v>125.907</v>
      </c>
      <c r="G160" s="405">
        <f>G161+G162</f>
        <v>143.33699999999999</v>
      </c>
      <c r="H160" s="405">
        <f>H161+H162</f>
        <v>137.83699999999999</v>
      </c>
      <c r="I160" s="405">
        <f t="shared" ref="I160:Q160" si="173">I161+I162</f>
        <v>127.547</v>
      </c>
      <c r="J160" s="405">
        <f t="shared" si="173"/>
        <v>134.31700000000001</v>
      </c>
      <c r="K160" s="405">
        <f t="shared" si="173"/>
        <v>133.44200000000001</v>
      </c>
      <c r="L160" s="405">
        <f t="shared" si="173"/>
        <v>127.133</v>
      </c>
      <c r="M160" s="405">
        <f t="shared" si="173"/>
        <v>109.81</v>
      </c>
      <c r="N160" s="405">
        <f t="shared" si="173"/>
        <v>84.705999999999989</v>
      </c>
      <c r="O160" s="405">
        <f t="shared" si="173"/>
        <v>119.328</v>
      </c>
      <c r="P160" s="405">
        <f t="shared" si="173"/>
        <v>121.05</v>
      </c>
      <c r="Q160" s="405">
        <f t="shared" si="173"/>
        <v>73.457999999999998</v>
      </c>
      <c r="R160" s="405">
        <f>R161+R162</f>
        <v>99.144000000000005</v>
      </c>
      <c r="S160" s="405">
        <f t="shared" ref="S160:AO160" si="174">S161+S162</f>
        <v>95.72999999999999</v>
      </c>
      <c r="T160" s="405">
        <f t="shared" si="174"/>
        <v>108.71236263736263</v>
      </c>
      <c r="U160" s="405">
        <f t="shared" si="174"/>
        <v>94.41</v>
      </c>
      <c r="V160" s="405">
        <f t="shared" si="174"/>
        <v>97.06</v>
      </c>
      <c r="W160" s="405">
        <f t="shared" si="174"/>
        <v>100.8</v>
      </c>
      <c r="X160" s="405">
        <f t="shared" si="174"/>
        <v>112.874</v>
      </c>
      <c r="Y160" s="405">
        <f t="shared" si="174"/>
        <v>114.867</v>
      </c>
      <c r="Z160" s="405">
        <f t="shared" si="174"/>
        <v>120.536</v>
      </c>
      <c r="AA160" s="405">
        <f t="shared" si="174"/>
        <v>128.65600000000001</v>
      </c>
      <c r="AB160" s="405">
        <f t="shared" si="174"/>
        <v>128.49099999999999</v>
      </c>
      <c r="AC160" s="405">
        <f t="shared" si="174"/>
        <v>174.92699999999999</v>
      </c>
      <c r="AD160" s="405">
        <f t="shared" si="174"/>
        <v>145.893</v>
      </c>
      <c r="AE160" s="405">
        <f t="shared" si="174"/>
        <v>124.81700000000001</v>
      </c>
      <c r="AF160" s="405">
        <f t="shared" si="174"/>
        <v>138.761</v>
      </c>
      <c r="AG160" s="405">
        <f t="shared" si="174"/>
        <v>130.11700000000002</v>
      </c>
      <c r="AH160" s="405">
        <f t="shared" si="174"/>
        <v>113.414</v>
      </c>
      <c r="AI160" s="405">
        <f t="shared" si="174"/>
        <v>133.29500000000002</v>
      </c>
      <c r="AJ160" s="405">
        <f t="shared" si="174"/>
        <v>119.26600000000001</v>
      </c>
      <c r="AK160" s="405">
        <f t="shared" si="174"/>
        <v>125.89287671232877</v>
      </c>
      <c r="AL160" s="405">
        <f t="shared" si="174"/>
        <v>115.25808219178083</v>
      </c>
      <c r="AM160" s="405">
        <f t="shared" si="174"/>
        <v>125.89287671232877</v>
      </c>
      <c r="AN160" s="405">
        <f t="shared" si="174"/>
        <v>122.34794520547945</v>
      </c>
      <c r="AO160" s="405">
        <f t="shared" si="174"/>
        <v>125.89287671232877</v>
      </c>
      <c r="AP160" s="38"/>
      <c r="AQ160" s="434">
        <f>SUM(Y160:AJ160)</f>
        <v>1573.0400000000002</v>
      </c>
      <c r="AR160" s="31"/>
      <c r="AS160" s="31"/>
      <c r="AT160" s="31"/>
    </row>
    <row r="161" spans="1:46">
      <c r="A161" s="47" t="s">
        <v>37</v>
      </c>
      <c r="B161" s="36" t="s">
        <v>3</v>
      </c>
      <c r="C161" s="366" t="s">
        <v>39</v>
      </c>
      <c r="D161" s="367" t="s">
        <v>3</v>
      </c>
      <c r="E161" s="55">
        <f>E95+E101</f>
        <v>120.66</v>
      </c>
      <c r="F161" s="55">
        <f>F95+F101</f>
        <v>113</v>
      </c>
      <c r="G161" s="55">
        <f>G95+G101</f>
        <v>87</v>
      </c>
      <c r="H161" s="55">
        <f>H95+H101</f>
        <v>81</v>
      </c>
      <c r="I161" s="55">
        <f t="shared" ref="I161:X161" si="175">I95+I99+I101</f>
        <v>70</v>
      </c>
      <c r="J161" s="55">
        <f t="shared" si="175"/>
        <v>69</v>
      </c>
      <c r="K161" s="55">
        <f t="shared" si="175"/>
        <v>71</v>
      </c>
      <c r="L161" s="55">
        <f t="shared" si="175"/>
        <v>78.5</v>
      </c>
      <c r="M161" s="55">
        <f t="shared" si="175"/>
        <v>59</v>
      </c>
      <c r="N161" s="55">
        <f t="shared" si="175"/>
        <v>34</v>
      </c>
      <c r="O161" s="55">
        <f t="shared" si="175"/>
        <v>76</v>
      </c>
      <c r="P161" s="55">
        <f t="shared" si="175"/>
        <v>76.5</v>
      </c>
      <c r="Q161" s="55">
        <f t="shared" si="175"/>
        <v>43.5</v>
      </c>
      <c r="R161" s="55">
        <f t="shared" si="175"/>
        <v>55.5</v>
      </c>
      <c r="S161" s="55">
        <f t="shared" si="175"/>
        <v>47.93</v>
      </c>
      <c r="T161" s="55">
        <f t="shared" si="175"/>
        <v>56.379999999999995</v>
      </c>
      <c r="U161" s="55">
        <f t="shared" si="175"/>
        <v>42.91</v>
      </c>
      <c r="V161" s="55">
        <f t="shared" si="175"/>
        <v>43</v>
      </c>
      <c r="W161" s="55">
        <f t="shared" si="175"/>
        <v>48.4</v>
      </c>
      <c r="X161" s="55">
        <f t="shared" si="175"/>
        <v>58.5</v>
      </c>
      <c r="Y161" s="55">
        <f>Y95+Y99+Y100+Y101+Y93</f>
        <v>56.42</v>
      </c>
      <c r="Z161" s="55">
        <f>Z97+Z98+Z99+Z100+Z101+Z93</f>
        <v>66.66</v>
      </c>
      <c r="AA161" s="55">
        <f t="shared" ref="AA161:AC161" si="176">AA97+AA98+AA99+AA100+AA101+AA93</f>
        <v>65.36</v>
      </c>
      <c r="AB161" s="55">
        <f t="shared" si="176"/>
        <v>84.3</v>
      </c>
      <c r="AC161" s="55">
        <f t="shared" si="176"/>
        <v>125.2</v>
      </c>
      <c r="AD161" s="55">
        <f>AD97+AD98+AD99+AD100+AD101</f>
        <v>85.331999999999994</v>
      </c>
      <c r="AE161" s="55">
        <f t="shared" ref="AE161:AO161" si="177">AE97+AE98+AE99+AE100+AE101</f>
        <v>99.436000000000007</v>
      </c>
      <c r="AF161" s="55">
        <f t="shared" si="177"/>
        <v>81.082999999999998</v>
      </c>
      <c r="AG161" s="55">
        <f t="shared" si="177"/>
        <v>81.533000000000001</v>
      </c>
      <c r="AH161" s="55">
        <f t="shared" si="177"/>
        <v>89.156000000000006</v>
      </c>
      <c r="AI161" s="55">
        <f t="shared" si="177"/>
        <v>75.436000000000007</v>
      </c>
      <c r="AJ161" s="55">
        <f t="shared" si="177"/>
        <v>59.47</v>
      </c>
      <c r="AK161" s="55">
        <f t="shared" si="177"/>
        <v>68.42</v>
      </c>
      <c r="AL161" s="55">
        <f t="shared" si="177"/>
        <v>62.96</v>
      </c>
      <c r="AM161" s="55">
        <f t="shared" si="177"/>
        <v>68.42</v>
      </c>
      <c r="AN161" s="55">
        <f t="shared" si="177"/>
        <v>66.599999999999994</v>
      </c>
      <c r="AO161" s="55">
        <f t="shared" si="177"/>
        <v>68.42</v>
      </c>
      <c r="AP161" s="38"/>
      <c r="AQ161" s="38"/>
      <c r="AR161" s="31"/>
      <c r="AS161" s="31"/>
      <c r="AT161" s="31"/>
    </row>
    <row r="162" spans="1:46" ht="15" thickBot="1">
      <c r="A162" s="47" t="s">
        <v>38</v>
      </c>
      <c r="B162" s="36" t="s">
        <v>3</v>
      </c>
      <c r="C162" s="366" t="s">
        <v>40</v>
      </c>
      <c r="D162" s="367" t="s">
        <v>3</v>
      </c>
      <c r="E162" s="55">
        <f t="shared" ref="E162:Y162" si="178">E102+E103</f>
        <v>33.308999999999997</v>
      </c>
      <c r="F162" s="55">
        <f t="shared" si="178"/>
        <v>12.907</v>
      </c>
      <c r="G162" s="55">
        <f t="shared" si="178"/>
        <v>56.337000000000003</v>
      </c>
      <c r="H162" s="55">
        <f t="shared" si="178"/>
        <v>56.837000000000003</v>
      </c>
      <c r="I162" s="55">
        <f t="shared" si="178"/>
        <v>57.546999999999997</v>
      </c>
      <c r="J162" s="55">
        <f t="shared" si="178"/>
        <v>65.316999999999993</v>
      </c>
      <c r="K162" s="55">
        <f t="shared" si="178"/>
        <v>62.442</v>
      </c>
      <c r="L162" s="55">
        <f t="shared" si="178"/>
        <v>48.632999999999996</v>
      </c>
      <c r="M162" s="55">
        <f t="shared" si="178"/>
        <v>50.81</v>
      </c>
      <c r="N162" s="55">
        <f t="shared" si="178"/>
        <v>50.705999999999996</v>
      </c>
      <c r="O162" s="55">
        <f t="shared" si="178"/>
        <v>43.327999999999996</v>
      </c>
      <c r="P162" s="55">
        <f t="shared" si="178"/>
        <v>44.55</v>
      </c>
      <c r="Q162" s="55">
        <f t="shared" si="178"/>
        <v>29.957999999999998</v>
      </c>
      <c r="R162" s="55">
        <f t="shared" si="178"/>
        <v>43.643999999999998</v>
      </c>
      <c r="S162" s="55">
        <f t="shared" si="178"/>
        <v>47.8</v>
      </c>
      <c r="T162" s="55">
        <f t="shared" si="178"/>
        <v>52.332362637362635</v>
      </c>
      <c r="U162" s="55">
        <f t="shared" si="178"/>
        <v>51.5</v>
      </c>
      <c r="V162" s="55">
        <f t="shared" si="178"/>
        <v>54.06</v>
      </c>
      <c r="W162" s="55">
        <f t="shared" si="178"/>
        <v>52.4</v>
      </c>
      <c r="X162" s="55">
        <f t="shared" si="178"/>
        <v>54.373999999999995</v>
      </c>
      <c r="Y162" s="55">
        <f t="shared" si="178"/>
        <v>58.447000000000003</v>
      </c>
      <c r="Z162" s="55">
        <f>Z102+Z103+Z104</f>
        <v>53.876000000000005</v>
      </c>
      <c r="AA162" s="55">
        <f t="shared" ref="AA162:AL162" si="179">AA102+AA103+AA104</f>
        <v>63.296000000000006</v>
      </c>
      <c r="AB162" s="55">
        <f t="shared" si="179"/>
        <v>44.191000000000003</v>
      </c>
      <c r="AC162" s="55">
        <f t="shared" si="179"/>
        <v>49.726999999999997</v>
      </c>
      <c r="AD162" s="55">
        <f t="shared" si="179"/>
        <v>60.561000000000007</v>
      </c>
      <c r="AE162" s="55">
        <f t="shared" si="179"/>
        <v>25.381</v>
      </c>
      <c r="AF162" s="55">
        <f t="shared" si="179"/>
        <v>57.678000000000004</v>
      </c>
      <c r="AG162" s="55">
        <f t="shared" si="179"/>
        <v>48.584000000000003</v>
      </c>
      <c r="AH162" s="55">
        <f t="shared" si="179"/>
        <v>24.257999999999999</v>
      </c>
      <c r="AI162" s="55">
        <f t="shared" si="179"/>
        <v>57.858999999999995</v>
      </c>
      <c r="AJ162" s="55">
        <f t="shared" si="179"/>
        <v>59.796000000000006</v>
      </c>
      <c r="AK162" s="55">
        <f t="shared" si="179"/>
        <v>57.47287671232877</v>
      </c>
      <c r="AL162" s="55">
        <f t="shared" si="179"/>
        <v>52.298082191780821</v>
      </c>
      <c r="AM162" s="55">
        <f t="shared" ref="AM162:AN162" si="180">AM102+AM103+AM104</f>
        <v>57.47287671232877</v>
      </c>
      <c r="AN162" s="55">
        <f t="shared" si="180"/>
        <v>55.747945205479454</v>
      </c>
      <c r="AO162" s="55">
        <f t="shared" ref="AO162" si="181">AO102+AO103+AO104</f>
        <v>57.47287671232877</v>
      </c>
      <c r="AP162" s="38"/>
      <c r="AQ162" s="38"/>
      <c r="AR162" s="31"/>
      <c r="AS162" s="31"/>
      <c r="AT162" s="31"/>
    </row>
    <row r="163" spans="1:46" s="31" customFormat="1">
      <c r="A163" s="34" t="s">
        <v>144</v>
      </c>
      <c r="B163" s="398" t="s">
        <v>140</v>
      </c>
      <c r="C163" s="398" t="s">
        <v>147</v>
      </c>
      <c r="D163" s="401" t="s">
        <v>142</v>
      </c>
      <c r="E163" s="50"/>
      <c r="F163" s="50"/>
      <c r="G163" s="405"/>
      <c r="H163" s="405"/>
      <c r="I163" s="405">
        <f t="shared" ref="I163:AJ163" si="182">SUM(I105:I158)</f>
        <v>242.43</v>
      </c>
      <c r="J163" s="405">
        <f t="shared" si="182"/>
        <v>240.08403429999998</v>
      </c>
      <c r="K163" s="405">
        <f t="shared" si="182"/>
        <v>242.04816493999996</v>
      </c>
      <c r="L163" s="405">
        <f t="shared" si="182"/>
        <v>240.19812309999995</v>
      </c>
      <c r="M163" s="405">
        <f t="shared" si="182"/>
        <v>235.17329082000001</v>
      </c>
      <c r="N163" s="405">
        <f t="shared" si="182"/>
        <v>224.50545953</v>
      </c>
      <c r="O163" s="405">
        <f t="shared" si="182"/>
        <v>207.45499999999998</v>
      </c>
      <c r="P163" s="405">
        <f t="shared" si="182"/>
        <v>172.54</v>
      </c>
      <c r="Q163" s="405">
        <f t="shared" si="182"/>
        <v>170.11859380999999</v>
      </c>
      <c r="R163" s="405">
        <f t="shared" si="182"/>
        <v>183.64617381999997</v>
      </c>
      <c r="S163" s="405">
        <f t="shared" si="182"/>
        <v>206.13</v>
      </c>
      <c r="T163" s="405">
        <f t="shared" si="182"/>
        <v>215.22000000000006</v>
      </c>
      <c r="U163" s="405">
        <f t="shared" si="182"/>
        <v>216.19000000000003</v>
      </c>
      <c r="V163" s="405">
        <f t="shared" si="182"/>
        <v>228.25</v>
      </c>
      <c r="W163" s="405">
        <f t="shared" si="182"/>
        <v>222.56240770999997</v>
      </c>
      <c r="X163" s="405">
        <f t="shared" si="182"/>
        <v>224.22</v>
      </c>
      <c r="Y163" s="405">
        <f t="shared" si="182"/>
        <v>208.93700000000001</v>
      </c>
      <c r="Z163" s="405">
        <f t="shared" si="182"/>
        <v>204.36743945000001</v>
      </c>
      <c r="AA163" s="405">
        <f t="shared" si="182"/>
        <v>225.35999999999999</v>
      </c>
      <c r="AB163" s="405">
        <f t="shared" si="182"/>
        <v>195.85199999999998</v>
      </c>
      <c r="AC163" s="405">
        <f t="shared" si="182"/>
        <v>198.49500000000003</v>
      </c>
      <c r="AD163" s="405">
        <f t="shared" si="182"/>
        <v>198.48999999999995</v>
      </c>
      <c r="AE163" s="405">
        <f t="shared" si="182"/>
        <v>201.09856137000003</v>
      </c>
      <c r="AF163" s="405">
        <f t="shared" si="182"/>
        <v>220.63365578999998</v>
      </c>
      <c r="AG163" s="405">
        <f t="shared" si="182"/>
        <v>218.90812602999998</v>
      </c>
      <c r="AH163" s="405">
        <f t="shared" si="182"/>
        <v>221.28615352999995</v>
      </c>
      <c r="AI163" s="405">
        <f t="shared" si="182"/>
        <v>220.49638480999997</v>
      </c>
      <c r="AJ163" s="405">
        <f t="shared" si="182"/>
        <v>225.22726784999998</v>
      </c>
      <c r="AK163" s="405">
        <f>SUM(AK105:AK158)</f>
        <v>223.2368366</v>
      </c>
      <c r="AL163" s="405">
        <f>SUM(AL105:AL158)</f>
        <v>215.47718817000001</v>
      </c>
      <c r="AM163" s="405">
        <f>SUM(AM105:AM158)</f>
        <v>220.86127196999999</v>
      </c>
      <c r="AN163" s="405">
        <f>SUM(AN105:AN158)</f>
        <v>214.82085520999999</v>
      </c>
      <c r="AO163" s="405">
        <f>SUM(AO105:AO158)</f>
        <v>216.24072226999999</v>
      </c>
      <c r="AP163" s="38"/>
      <c r="AQ163" s="38"/>
    </row>
    <row r="164" spans="1:46" s="31" customFormat="1">
      <c r="A164" s="33"/>
      <c r="B164" s="5" t="s">
        <v>140</v>
      </c>
      <c r="C164" s="5" t="s">
        <v>148</v>
      </c>
      <c r="D164" s="395" t="s">
        <v>19</v>
      </c>
      <c r="G164" s="84"/>
      <c r="H164" s="84"/>
      <c r="I164" s="84">
        <f>I109+I114+I116+I118+I121+I124+I126+I129+I130+I131+I136+I137+I139+I141+I144+I146+I148+I150+I151</f>
        <v>23.099999999999998</v>
      </c>
      <c r="J164" s="84">
        <f t="shared" ref="J164:U164" si="183">J109+J114+J116+J118+J121+J124+J126+J129+J130+J131+J136+J137+J139+J141+J144+J146+J148+J150+J151</f>
        <v>25.6</v>
      </c>
      <c r="K164" s="84">
        <f t="shared" si="183"/>
        <v>38.35</v>
      </c>
      <c r="L164" s="84">
        <f t="shared" si="183"/>
        <v>24.62</v>
      </c>
      <c r="M164" s="84">
        <f t="shared" si="183"/>
        <v>22.66</v>
      </c>
      <c r="N164" s="84">
        <f t="shared" si="183"/>
        <v>18.09</v>
      </c>
      <c r="O164" s="84">
        <f t="shared" si="183"/>
        <v>17.23</v>
      </c>
      <c r="P164" s="84">
        <f t="shared" si="183"/>
        <v>11.25</v>
      </c>
      <c r="Q164" s="84">
        <f t="shared" si="183"/>
        <v>12.100000000000001</v>
      </c>
      <c r="R164" s="84">
        <f t="shared" si="183"/>
        <v>17.88</v>
      </c>
      <c r="S164" s="84">
        <f t="shared" si="183"/>
        <v>23.200000000000003</v>
      </c>
      <c r="T164" s="84">
        <f t="shared" si="183"/>
        <v>31.1</v>
      </c>
      <c r="U164" s="84">
        <f t="shared" si="183"/>
        <v>28.200000000000003</v>
      </c>
      <c r="V164" s="84">
        <f>V109+V110+V114+V116+V118+V119+V121+V122+V124+V126+V129+V130+V131+V136+V137+V139+V141+V144+V146+V148+V150+V151</f>
        <v>31.5</v>
      </c>
      <c r="W164" s="84">
        <f>W109+W110+W114+W116+W118+W119+W121+W122+W124+W126+W129+W130+W131+W136+W137+W139+W141+W144+W146+W148+W150+W151</f>
        <v>32.200000000000003</v>
      </c>
      <c r="X164" s="84">
        <f>X109+X110+X114+X116+X118+X119+X121+X122+X124+X126+X129+X130+X131+X136+X137+X139+X141+X144+X146+X148+X150+X151</f>
        <v>30.77</v>
      </c>
      <c r="Y164" s="84">
        <f>Y109+Y110+Y114+Y116+Y118+Y119+Y121+Y122+Y124+Y126+Y129+Y130+Y131+Y136+Y137+Y139+Y141+Y144+Y146+Y148+Y150+Y151+Y142</f>
        <v>26.55</v>
      </c>
      <c r="Z164" s="84">
        <f t="shared" ref="Z164:AK164" si="184">Z109+Z110+Z114+Z116+Z118+Z119+Z121+Z122+Z124+Z126+Z129+Z130+Z131+Z136+Z137+Z139+Z141+Z144+Z146+Z148+Z150+Z151+Z142</f>
        <v>32.519999999999996</v>
      </c>
      <c r="AA164" s="84">
        <f t="shared" si="184"/>
        <v>34.83</v>
      </c>
      <c r="AB164" s="84">
        <f t="shared" si="184"/>
        <v>29.07</v>
      </c>
      <c r="AC164" s="84">
        <f t="shared" si="184"/>
        <v>28.019999999999996</v>
      </c>
      <c r="AD164" s="84">
        <f t="shared" si="184"/>
        <v>27.019999999999996</v>
      </c>
      <c r="AE164" s="84">
        <f t="shared" si="184"/>
        <v>28.58</v>
      </c>
      <c r="AF164" s="84">
        <f t="shared" si="184"/>
        <v>30.68</v>
      </c>
      <c r="AG164" s="84">
        <f t="shared" si="184"/>
        <v>30.68</v>
      </c>
      <c r="AH164" s="84">
        <f t="shared" si="184"/>
        <v>30.68</v>
      </c>
      <c r="AI164" s="84">
        <f t="shared" si="184"/>
        <v>30.68</v>
      </c>
      <c r="AJ164" s="84">
        <f t="shared" si="184"/>
        <v>30.68</v>
      </c>
      <c r="AK164" s="84">
        <f t="shared" si="184"/>
        <v>30.68</v>
      </c>
      <c r="AL164" s="84">
        <f t="shared" ref="AL164:AM164" si="185">AL109+AL110+AL114+AL116+AL118+AL119+AL121+AL122+AL124+AL126+AL129+AL130+AL131+AL136+AL137+AL139+AL141+AL144+AL146+AL148+AL150+AL151+AL142</f>
        <v>30.68</v>
      </c>
      <c r="AM164" s="84">
        <f t="shared" si="185"/>
        <v>30.68</v>
      </c>
      <c r="AN164" s="84">
        <f t="shared" ref="AN164:AO164" si="186">AN109+AN110+AN114+AN116+AN118+AN119+AN121+AN122+AN124+AN126+AN129+AN130+AN131+AN136+AN137+AN139+AN141+AN144+AN146+AN148+AN150+AN151+AN142</f>
        <v>30.68</v>
      </c>
      <c r="AO164" s="84">
        <f t="shared" si="186"/>
        <v>30.68</v>
      </c>
      <c r="AP164" s="38"/>
      <c r="AQ164" s="38"/>
    </row>
    <row r="165" spans="1:46" s="31" customFormat="1">
      <c r="A165" s="33"/>
      <c r="B165" s="5" t="s">
        <v>140</v>
      </c>
      <c r="C165" s="5" t="s">
        <v>148</v>
      </c>
      <c r="D165" s="395" t="s">
        <v>88</v>
      </c>
      <c r="G165" s="393"/>
      <c r="H165" s="393"/>
      <c r="I165" s="393">
        <f>I107+I108+I111+I112+I113+I115+I117+I120+I123+I125+I127+I128+I135+I138+I140+I143+I145+I147+I149</f>
        <v>189.82999999999998</v>
      </c>
      <c r="J165" s="393">
        <f t="shared" ref="J165:AJ165" si="187">J107+J108+J111+J112+J113+J115+J117+J120+J123+J125+J127+J128+J135+J138+J140+J143+J145+J147+J149</f>
        <v>190.2437323</v>
      </c>
      <c r="K165" s="393">
        <f t="shared" si="187"/>
        <v>183.23999999999998</v>
      </c>
      <c r="L165" s="393">
        <f t="shared" si="187"/>
        <v>191.20567744999997</v>
      </c>
      <c r="M165" s="393">
        <f t="shared" si="187"/>
        <v>181.64329082</v>
      </c>
      <c r="N165" s="393">
        <f t="shared" si="187"/>
        <v>175.59545953</v>
      </c>
      <c r="O165" s="393">
        <f t="shared" si="187"/>
        <v>161.47</v>
      </c>
      <c r="P165" s="393">
        <f t="shared" si="187"/>
        <v>132.49</v>
      </c>
      <c r="Q165" s="393">
        <f t="shared" si="187"/>
        <v>133.46</v>
      </c>
      <c r="R165" s="393">
        <f t="shared" si="187"/>
        <v>141.44</v>
      </c>
      <c r="S165" s="393">
        <f t="shared" si="187"/>
        <v>156.22999999999999</v>
      </c>
      <c r="T165" s="393">
        <f t="shared" si="187"/>
        <v>160.78</v>
      </c>
      <c r="U165" s="393">
        <f t="shared" si="187"/>
        <v>158.84</v>
      </c>
      <c r="V165" s="393">
        <f t="shared" si="187"/>
        <v>166.91</v>
      </c>
      <c r="W165" s="393">
        <f t="shared" si="187"/>
        <v>160.70240770999999</v>
      </c>
      <c r="X165" s="393">
        <f t="shared" si="187"/>
        <v>162.72</v>
      </c>
      <c r="Y165" s="393">
        <f t="shared" si="187"/>
        <v>156.13</v>
      </c>
      <c r="Z165" s="393">
        <f t="shared" si="187"/>
        <v>148.42743945000001</v>
      </c>
      <c r="AA165" s="393">
        <f t="shared" si="187"/>
        <v>162.11000000000001</v>
      </c>
      <c r="AB165" s="393">
        <f t="shared" si="187"/>
        <v>137.82999999999998</v>
      </c>
      <c r="AC165" s="393">
        <f t="shared" si="187"/>
        <v>140.82999999999998</v>
      </c>
      <c r="AD165" s="393">
        <f t="shared" si="187"/>
        <v>143.88999999999999</v>
      </c>
      <c r="AE165" s="393">
        <f t="shared" si="187"/>
        <v>150.47356137</v>
      </c>
      <c r="AF165" s="393">
        <f t="shared" si="187"/>
        <v>160.83865578999999</v>
      </c>
      <c r="AG165" s="393">
        <f t="shared" si="187"/>
        <v>158.95812603000002</v>
      </c>
      <c r="AH165" s="393">
        <f t="shared" si="187"/>
        <v>160.70115352999997</v>
      </c>
      <c r="AI165" s="393">
        <f t="shared" si="187"/>
        <v>160.56138480999999</v>
      </c>
      <c r="AJ165" s="393">
        <f t="shared" si="187"/>
        <v>165.26226785</v>
      </c>
      <c r="AK165" s="393">
        <f>AK107+AK108+AK111+AK112+AK113+AK115+AK117+AK120+AK123+AK125+AK127+AK128+AK135+AK138+AK140+AK143+AK145+AK147+AK149</f>
        <v>164.8318366</v>
      </c>
      <c r="AL165" s="393">
        <f>AL107+AL108+AL111+AL112+AL113+AL115+AL117+AL120+AL123+AL125+AL127+AL128+AL135+AL138+AL140+AL143+AL145+AL147+AL149</f>
        <v>157.89218817</v>
      </c>
      <c r="AM165" s="393">
        <f>AM107+AM108+AM111+AM112+AM113+AM115+AM117+AM120+AM123+AM125+AM127+AM128+AM135+AM138+AM140+AM143+AM145+AM147+AM149</f>
        <v>161.77627197000001</v>
      </c>
      <c r="AN165" s="393">
        <f>AN107+AN108+AN111+AN112+AN113+AN115+AN117+AN120+AN123+AN125+AN127+AN128+AN135+AN138+AN140+AN143+AN145+AN147+AN149</f>
        <v>156.28585520999999</v>
      </c>
      <c r="AO165" s="393">
        <f>AO107+AO108+AO111+AO112+AO113+AO115+AO117+AO120+AO123+AO125+AO127+AO128+AO135+AO138+AO140+AO143+AO145+AO147+AO149</f>
        <v>157.00572227000001</v>
      </c>
      <c r="AP165" s="38"/>
      <c r="AQ165" s="38"/>
    </row>
    <row r="166" spans="1:46" s="31" customFormat="1">
      <c r="A166" s="33"/>
      <c r="B166" s="396" t="s">
        <v>3</v>
      </c>
      <c r="C166" s="5" t="s">
        <v>147</v>
      </c>
      <c r="D166" s="395" t="s">
        <v>149</v>
      </c>
      <c r="G166" s="84"/>
      <c r="H166" s="84"/>
      <c r="I166" s="84">
        <f t="shared" ref="I166:AJ166" si="188">I105+I106</f>
        <v>0.8</v>
      </c>
      <c r="J166" s="84">
        <f t="shared" si="188"/>
        <v>0.64030200000000004</v>
      </c>
      <c r="K166" s="84">
        <f t="shared" si="188"/>
        <v>0.60816493999999999</v>
      </c>
      <c r="L166" s="84">
        <f t="shared" si="188"/>
        <v>1.1024456499999999</v>
      </c>
      <c r="M166" s="84">
        <f t="shared" si="188"/>
        <v>1.3</v>
      </c>
      <c r="N166" s="84">
        <f t="shared" si="188"/>
        <v>1.56</v>
      </c>
      <c r="O166" s="84">
        <f t="shared" si="188"/>
        <v>1.3</v>
      </c>
      <c r="P166" s="84">
        <f t="shared" si="188"/>
        <v>1.45</v>
      </c>
      <c r="Q166" s="84">
        <f t="shared" si="188"/>
        <v>1.3585938099999999</v>
      </c>
      <c r="R166" s="84">
        <f t="shared" si="188"/>
        <v>1.12617382</v>
      </c>
      <c r="S166" s="84">
        <f t="shared" si="188"/>
        <v>1.4</v>
      </c>
      <c r="T166" s="84">
        <f t="shared" si="188"/>
        <v>1.02</v>
      </c>
      <c r="U166" s="84">
        <f t="shared" si="188"/>
        <v>1.45</v>
      </c>
      <c r="V166" s="84">
        <f t="shared" si="188"/>
        <v>1.4500000000000002</v>
      </c>
      <c r="W166" s="84">
        <f t="shared" si="188"/>
        <v>1.4</v>
      </c>
      <c r="X166" s="84">
        <f t="shared" si="188"/>
        <v>1.2</v>
      </c>
      <c r="Y166" s="84">
        <f t="shared" si="188"/>
        <v>1.4</v>
      </c>
      <c r="Z166" s="84">
        <f t="shared" si="188"/>
        <v>1.2999999999999998</v>
      </c>
      <c r="AA166" s="84">
        <f t="shared" si="188"/>
        <v>1.35</v>
      </c>
      <c r="AB166" s="84">
        <f t="shared" si="188"/>
        <v>1.2</v>
      </c>
      <c r="AC166" s="84">
        <f t="shared" si="188"/>
        <v>1.45</v>
      </c>
      <c r="AD166" s="84">
        <f t="shared" si="188"/>
        <v>1.1000000000000001</v>
      </c>
      <c r="AE166" s="84">
        <f t="shared" si="188"/>
        <v>1.2</v>
      </c>
      <c r="AF166" s="84">
        <f t="shared" si="188"/>
        <v>1.4</v>
      </c>
      <c r="AG166" s="84">
        <f t="shared" si="188"/>
        <v>1.4</v>
      </c>
      <c r="AH166" s="84">
        <f t="shared" si="188"/>
        <v>1.35</v>
      </c>
      <c r="AI166" s="84">
        <f t="shared" si="188"/>
        <v>1.2</v>
      </c>
      <c r="AJ166" s="84">
        <f t="shared" si="188"/>
        <v>1.1499999999999999</v>
      </c>
      <c r="AK166" s="84">
        <f>AK105+AK106</f>
        <v>1</v>
      </c>
      <c r="AL166" s="84">
        <f>AL105+AL106</f>
        <v>1.05</v>
      </c>
      <c r="AM166" s="84">
        <f>AM105+AM106</f>
        <v>1.05</v>
      </c>
      <c r="AN166" s="84">
        <f>AN105+AN106</f>
        <v>1</v>
      </c>
      <c r="AO166" s="84">
        <f>AO105+AO106</f>
        <v>1.2</v>
      </c>
      <c r="AP166" s="38"/>
      <c r="AQ166" s="38"/>
    </row>
    <row r="167" spans="1:46" s="31" customFormat="1" ht="15" thickBot="1">
      <c r="A167" s="33"/>
      <c r="B167" s="396" t="s">
        <v>157</v>
      </c>
      <c r="C167" s="5" t="s">
        <v>9</v>
      </c>
      <c r="D167" s="395" t="s">
        <v>146</v>
      </c>
      <c r="G167" s="85"/>
      <c r="H167" s="85"/>
      <c r="I167" s="85">
        <f t="shared" ref="I167:Q167" si="189">SUM(I153:I158)</f>
        <v>28.7</v>
      </c>
      <c r="J167" s="85">
        <f t="shared" si="189"/>
        <v>23.6</v>
      </c>
      <c r="K167" s="85">
        <f t="shared" si="189"/>
        <v>19.850000000000001</v>
      </c>
      <c r="L167" s="85">
        <f t="shared" si="189"/>
        <v>23.27</v>
      </c>
      <c r="M167" s="85">
        <f t="shared" si="189"/>
        <v>29.57</v>
      </c>
      <c r="N167" s="85">
        <f t="shared" si="189"/>
        <v>29.259999999999998</v>
      </c>
      <c r="O167" s="85">
        <f t="shared" si="189"/>
        <v>26.774999999999999</v>
      </c>
      <c r="P167" s="85">
        <f t="shared" si="189"/>
        <v>26.65</v>
      </c>
      <c r="Q167" s="85">
        <f t="shared" si="189"/>
        <v>22.6</v>
      </c>
      <c r="R167" s="85">
        <f>SUM(R153:R158)</f>
        <v>23.2</v>
      </c>
      <c r="S167" s="85">
        <f>SUM(S153:S158)</f>
        <v>24.7</v>
      </c>
      <c r="T167" s="85">
        <f t="shared" ref="T167:AD167" si="190">SUM(T153:T158)</f>
        <v>21.72</v>
      </c>
      <c r="U167" s="85">
        <f t="shared" si="190"/>
        <v>26.2</v>
      </c>
      <c r="V167" s="85">
        <f t="shared" si="190"/>
        <v>28.39</v>
      </c>
      <c r="W167" s="85">
        <f t="shared" si="190"/>
        <v>27.66</v>
      </c>
      <c r="X167" s="85">
        <f t="shared" si="190"/>
        <v>27.65</v>
      </c>
      <c r="Y167" s="85">
        <f t="shared" si="190"/>
        <v>24.856999999999999</v>
      </c>
      <c r="Z167" s="85">
        <f t="shared" si="190"/>
        <v>19.12</v>
      </c>
      <c r="AA167" s="85">
        <f t="shared" si="190"/>
        <v>25.87</v>
      </c>
      <c r="AB167" s="85">
        <f t="shared" si="190"/>
        <v>26.552</v>
      </c>
      <c r="AC167" s="85">
        <f t="shared" si="190"/>
        <v>26.995000000000001</v>
      </c>
      <c r="AD167" s="85">
        <f t="shared" si="190"/>
        <v>25.28</v>
      </c>
      <c r="AE167" s="85">
        <f t="shared" ref="AE167:AK167" si="191">SUM(AE153:AE158)</f>
        <v>20.844999999999999</v>
      </c>
      <c r="AF167" s="85">
        <f t="shared" si="191"/>
        <v>26.515000000000001</v>
      </c>
      <c r="AG167" s="85">
        <f t="shared" si="191"/>
        <v>26.67</v>
      </c>
      <c r="AH167" s="85">
        <f t="shared" si="191"/>
        <v>27.355</v>
      </c>
      <c r="AI167" s="85">
        <f t="shared" si="191"/>
        <v>26.855</v>
      </c>
      <c r="AJ167" s="85">
        <f t="shared" si="191"/>
        <v>26.935000000000002</v>
      </c>
      <c r="AK167" s="85">
        <f t="shared" si="191"/>
        <v>26.725000000000001</v>
      </c>
      <c r="AL167" s="85">
        <f t="shared" ref="AL167:AM167" si="192">SUM(AL153:AL158)</f>
        <v>25.855</v>
      </c>
      <c r="AM167" s="85">
        <f t="shared" si="192"/>
        <v>27.355</v>
      </c>
      <c r="AN167" s="85">
        <f t="shared" ref="AN167:AO167" si="193">SUM(AN153:AN158)</f>
        <v>26.855</v>
      </c>
      <c r="AO167" s="85">
        <f t="shared" si="193"/>
        <v>27.355</v>
      </c>
      <c r="AP167" s="38"/>
      <c r="AQ167" s="38"/>
    </row>
    <row r="168" spans="1:46" s="31" customFormat="1">
      <c r="A168" s="327"/>
      <c r="B168" s="445" t="s">
        <v>3</v>
      </c>
      <c r="C168" s="398" t="s">
        <v>151</v>
      </c>
      <c r="D168" s="394" t="s">
        <v>142</v>
      </c>
      <c r="E168" s="444">
        <f t="shared" ref="E168:T168" si="194">SUM(E106:E131)</f>
        <v>156.68</v>
      </c>
      <c r="F168" s="409">
        <f t="shared" si="194"/>
        <v>166.56891165000002</v>
      </c>
      <c r="G168" s="404">
        <f t="shared" si="194"/>
        <v>185.92871692</v>
      </c>
      <c r="H168" s="404">
        <f t="shared" si="194"/>
        <v>177.00768496999999</v>
      </c>
      <c r="I168" s="404">
        <f t="shared" si="194"/>
        <v>187.92999999999998</v>
      </c>
      <c r="J168" s="404">
        <f t="shared" si="194"/>
        <v>193.84373229999997</v>
      </c>
      <c r="K168" s="404">
        <f t="shared" si="194"/>
        <v>198.58999999999997</v>
      </c>
      <c r="L168" s="404">
        <f t="shared" si="194"/>
        <v>191.32567744999997</v>
      </c>
      <c r="M168" s="404">
        <f t="shared" si="194"/>
        <v>184.80329082</v>
      </c>
      <c r="N168" s="404">
        <f t="shared" si="194"/>
        <v>176.30545953000001</v>
      </c>
      <c r="O168" s="404">
        <f t="shared" si="194"/>
        <v>172.35000000000002</v>
      </c>
      <c r="P168" s="404">
        <f t="shared" si="194"/>
        <v>142.49</v>
      </c>
      <c r="Q168" s="404">
        <f t="shared" si="194"/>
        <v>140.31</v>
      </c>
      <c r="R168" s="404">
        <f t="shared" si="194"/>
        <v>160.07</v>
      </c>
      <c r="S168" s="404">
        <f t="shared" si="194"/>
        <v>176.33</v>
      </c>
      <c r="T168" s="404">
        <f t="shared" si="194"/>
        <v>191.43000000000004</v>
      </c>
      <c r="U168" s="404">
        <f>SUM(U105:U131)</f>
        <v>188.79000000000005</v>
      </c>
      <c r="V168" s="404">
        <f>SUM(V106:V131)</f>
        <v>199.20999999999998</v>
      </c>
      <c r="W168" s="404">
        <f>SUM(W106:W131)</f>
        <v>180.70240770999999</v>
      </c>
      <c r="X168" s="404">
        <f>SUM(X106:X131)</f>
        <v>182.49</v>
      </c>
      <c r="Y168" s="404">
        <f>SUM(Y106:Y131)</f>
        <v>164.48000000000002</v>
      </c>
      <c r="Z168" s="404">
        <f t="shared" ref="Z168:AJ168" si="195">SUM(Z106:Z131)</f>
        <v>166.64743945000001</v>
      </c>
      <c r="AA168" s="404">
        <f t="shared" si="195"/>
        <v>197.68999999999997</v>
      </c>
      <c r="AB168" s="404">
        <f t="shared" si="195"/>
        <v>165.49999999999997</v>
      </c>
      <c r="AC168" s="404">
        <f t="shared" si="195"/>
        <v>169.70000000000002</v>
      </c>
      <c r="AD168" s="404">
        <f t="shared" si="195"/>
        <v>171.50999999999996</v>
      </c>
      <c r="AE168" s="404">
        <f t="shared" si="195"/>
        <v>179.75356137</v>
      </c>
      <c r="AF168" s="404">
        <f t="shared" si="195"/>
        <v>192.41865578999997</v>
      </c>
      <c r="AG168" s="404">
        <f t="shared" si="195"/>
        <v>190.53812602999997</v>
      </c>
      <c r="AH168" s="404">
        <f t="shared" si="195"/>
        <v>192.23115352999994</v>
      </c>
      <c r="AI168" s="404">
        <f t="shared" si="195"/>
        <v>191.94138480999996</v>
      </c>
      <c r="AJ168" s="404">
        <f t="shared" si="195"/>
        <v>196.59226784999996</v>
      </c>
      <c r="AK168" s="404">
        <f>SUM(AK106:AK131)</f>
        <v>195.91183659999999</v>
      </c>
      <c r="AL168" s="404">
        <f>SUM(AL106:AL131)</f>
        <v>189.02218816999996</v>
      </c>
      <c r="AM168" s="404">
        <f>SUM(AM106:AM131)</f>
        <v>192.90627196999998</v>
      </c>
      <c r="AN168" s="404">
        <f>SUM(AN106:AN131)</f>
        <v>187.36585520999998</v>
      </c>
      <c r="AO168" s="404">
        <f>SUM(AO106:AO131)</f>
        <v>188.28572226999998</v>
      </c>
      <c r="AP168" s="38"/>
      <c r="AQ168" s="434">
        <f>SUM(Y168:AJ168)</f>
        <v>2179.0025888300001</v>
      </c>
    </row>
    <row r="169" spans="1:46" s="31" customFormat="1">
      <c r="A169" s="327"/>
      <c r="B169" s="446" t="s">
        <v>140</v>
      </c>
      <c r="C169" s="5" t="s">
        <v>150</v>
      </c>
      <c r="D169" s="395" t="s">
        <v>142</v>
      </c>
      <c r="G169" s="251"/>
      <c r="H169" s="251"/>
      <c r="I169" s="251">
        <f t="shared" ref="I169:T169" si="196">SUM(I107:I109,I135:I137,I153,I157,I158,I105,I106,I132)</f>
        <v>186.57</v>
      </c>
      <c r="J169" s="251">
        <f t="shared" si="196"/>
        <v>180.2840343</v>
      </c>
      <c r="K169" s="251">
        <f t="shared" si="196"/>
        <v>184.44816493999997</v>
      </c>
      <c r="L169" s="251">
        <f t="shared" si="196"/>
        <v>182.09812309999998</v>
      </c>
      <c r="M169" s="251">
        <f t="shared" si="196"/>
        <v>170.64329082</v>
      </c>
      <c r="N169" s="251">
        <f t="shared" si="196"/>
        <v>161.30545953000001</v>
      </c>
      <c r="O169" s="251">
        <f t="shared" si="196"/>
        <v>157.29500000000002</v>
      </c>
      <c r="P169" s="251">
        <f t="shared" si="196"/>
        <v>129.58999999999997</v>
      </c>
      <c r="Q169" s="251">
        <f t="shared" si="196"/>
        <v>127.31859380999998</v>
      </c>
      <c r="R169" s="251">
        <f t="shared" si="196"/>
        <v>131.86617382</v>
      </c>
      <c r="S169" s="251">
        <f t="shared" si="196"/>
        <v>149.82999999999998</v>
      </c>
      <c r="T169" s="251">
        <f t="shared" si="196"/>
        <v>159.02000000000004</v>
      </c>
      <c r="U169" s="251">
        <f t="shared" ref="U169:AI169" si="197">SUM(U107:U110,U135:U137,U153,U157,U158,U105,U106,U132)</f>
        <v>157.19</v>
      </c>
      <c r="V169" s="251">
        <f>SUM(V107:V110,V135:V137,V153,V157,V158,V105,V106,V132)</f>
        <v>163.95000000000002</v>
      </c>
      <c r="W169" s="251">
        <f t="shared" si="197"/>
        <v>162.36240770999999</v>
      </c>
      <c r="X169" s="251">
        <f t="shared" si="197"/>
        <v>162.32</v>
      </c>
      <c r="Y169" s="251">
        <f t="shared" si="197"/>
        <v>153.23699999999999</v>
      </c>
      <c r="Z169" s="251">
        <f t="shared" si="197"/>
        <v>146.16743944999999</v>
      </c>
      <c r="AA169" s="251">
        <f t="shared" si="197"/>
        <v>161.66</v>
      </c>
      <c r="AB169" s="251">
        <f t="shared" si="197"/>
        <v>143.65199999999999</v>
      </c>
      <c r="AC169" s="251">
        <f t="shared" si="197"/>
        <v>146.315</v>
      </c>
      <c r="AD169" s="251">
        <f t="shared" si="197"/>
        <v>146.29</v>
      </c>
      <c r="AE169" s="251">
        <f t="shared" si="197"/>
        <v>147.89856137000001</v>
      </c>
      <c r="AF169" s="251">
        <f t="shared" si="197"/>
        <v>159.43365578999999</v>
      </c>
      <c r="AG169" s="251">
        <f t="shared" si="197"/>
        <v>158.70812603000002</v>
      </c>
      <c r="AH169" s="251">
        <f t="shared" si="197"/>
        <v>160.58615352999996</v>
      </c>
      <c r="AI169" s="251">
        <f t="shared" si="197"/>
        <v>159.29638480999998</v>
      </c>
      <c r="AJ169" s="251">
        <f t="shared" ref="AJ169:AO169" si="198">SUM(AJ107:AJ110,AJ135:AJ137,AJ153,AJ157,AJ158,AJ105,AJ106,AJ132)</f>
        <v>164.02726785000002</v>
      </c>
      <c r="AK169" s="251">
        <f t="shared" si="198"/>
        <v>162.03683660000002</v>
      </c>
      <c r="AL169" s="251">
        <f t="shared" si="198"/>
        <v>154.27718816999999</v>
      </c>
      <c r="AM169" s="251">
        <f t="shared" si="198"/>
        <v>159.66127197</v>
      </c>
      <c r="AN169" s="251">
        <f t="shared" si="198"/>
        <v>153.62085521</v>
      </c>
      <c r="AO169" s="251">
        <f t="shared" si="198"/>
        <v>155.04072227</v>
      </c>
      <c r="AP169" s="38"/>
      <c r="AQ169" s="434">
        <f t="shared" ref="AQ169:AQ177" si="199">SUM(Y169:AJ169)</f>
        <v>1847.2715888300002</v>
      </c>
    </row>
    <row r="170" spans="1:46" s="31" customFormat="1">
      <c r="A170" s="327"/>
      <c r="B170" s="447" t="s">
        <v>140</v>
      </c>
      <c r="C170" s="410" t="s">
        <v>158</v>
      </c>
      <c r="D170" s="411" t="s">
        <v>142</v>
      </c>
      <c r="G170" s="412"/>
      <c r="H170" s="412"/>
      <c r="I170" s="412"/>
      <c r="J170" s="412"/>
      <c r="K170" s="412"/>
      <c r="L170" s="412"/>
      <c r="M170" s="412"/>
      <c r="N170" s="412"/>
      <c r="O170" s="412"/>
      <c r="P170" s="412"/>
      <c r="Q170" s="412"/>
      <c r="R170" s="412">
        <f t="shared" ref="R170:AJ170" si="200">R169-R105-R106</f>
        <v>130.74</v>
      </c>
      <c r="S170" s="412">
        <f t="shared" si="200"/>
        <v>148.42999999999998</v>
      </c>
      <c r="T170" s="412">
        <f t="shared" si="200"/>
        <v>158.00000000000003</v>
      </c>
      <c r="U170" s="412">
        <f t="shared" si="200"/>
        <v>155.74</v>
      </c>
      <c r="V170" s="412">
        <f t="shared" si="200"/>
        <v>162.5</v>
      </c>
      <c r="W170" s="412">
        <f t="shared" si="200"/>
        <v>160.96240770999998</v>
      </c>
      <c r="X170" s="412">
        <f t="shared" si="200"/>
        <v>161.12</v>
      </c>
      <c r="Y170" s="412">
        <f t="shared" si="200"/>
        <v>151.83699999999999</v>
      </c>
      <c r="Z170" s="412">
        <f t="shared" si="200"/>
        <v>144.86743945000001</v>
      </c>
      <c r="AA170" s="412">
        <f t="shared" si="200"/>
        <v>160.31</v>
      </c>
      <c r="AB170" s="412">
        <f t="shared" si="200"/>
        <v>142.452</v>
      </c>
      <c r="AC170" s="412">
        <f t="shared" si="200"/>
        <v>144.86500000000001</v>
      </c>
      <c r="AD170" s="412">
        <f t="shared" si="200"/>
        <v>145.19</v>
      </c>
      <c r="AE170" s="412">
        <f t="shared" si="200"/>
        <v>146.69856137000002</v>
      </c>
      <c r="AF170" s="412">
        <f t="shared" si="200"/>
        <v>158.03365578999998</v>
      </c>
      <c r="AG170" s="412">
        <f t="shared" si="200"/>
        <v>157.30812603000001</v>
      </c>
      <c r="AH170" s="412">
        <f t="shared" si="200"/>
        <v>159.23615352999997</v>
      </c>
      <c r="AI170" s="412">
        <f t="shared" si="200"/>
        <v>158.09638480999999</v>
      </c>
      <c r="AJ170" s="412">
        <f t="shared" si="200"/>
        <v>162.87726785000001</v>
      </c>
      <c r="AK170" s="412">
        <f>AK169-AK105-AK106</f>
        <v>161.03683660000002</v>
      </c>
      <c r="AL170" s="412">
        <f>AL169-AL105-AL106</f>
        <v>153.22718817000001</v>
      </c>
      <c r="AM170" s="412">
        <f>AM169-AM105-AM106</f>
        <v>158.61127197000002</v>
      </c>
      <c r="AN170" s="412">
        <f>AN169-AN105-AN106</f>
        <v>152.62085521</v>
      </c>
      <c r="AO170" s="412">
        <f>AO169-AO105-AO106</f>
        <v>153.84072227000001</v>
      </c>
      <c r="AP170" s="38"/>
      <c r="AQ170" s="434">
        <f t="shared" si="199"/>
        <v>1831.7715888300002</v>
      </c>
    </row>
    <row r="171" spans="1:46" s="31" customFormat="1">
      <c r="A171" s="327"/>
      <c r="B171" s="446" t="s">
        <v>140</v>
      </c>
      <c r="C171" s="5" t="s">
        <v>154</v>
      </c>
      <c r="D171" s="395" t="s">
        <v>142</v>
      </c>
      <c r="G171" s="251"/>
      <c r="H171" s="251"/>
      <c r="I171" s="251">
        <f t="shared" ref="I171:AJ171" si="201">I111+I112</f>
        <v>45.760000000000005</v>
      </c>
      <c r="J171" s="251">
        <f t="shared" si="201"/>
        <v>46.2</v>
      </c>
      <c r="K171" s="251">
        <f t="shared" si="201"/>
        <v>46.2</v>
      </c>
      <c r="L171" s="251">
        <f t="shared" si="201"/>
        <v>46.2</v>
      </c>
      <c r="M171" s="251">
        <f t="shared" si="201"/>
        <v>44</v>
      </c>
      <c r="N171" s="251">
        <f t="shared" si="201"/>
        <v>44</v>
      </c>
      <c r="O171" s="251">
        <f t="shared" si="201"/>
        <v>33</v>
      </c>
      <c r="P171" s="251">
        <f t="shared" si="201"/>
        <v>30</v>
      </c>
      <c r="Q171" s="251">
        <f t="shared" si="201"/>
        <v>31</v>
      </c>
      <c r="R171" s="251">
        <f t="shared" si="201"/>
        <v>35</v>
      </c>
      <c r="S171" s="251">
        <f t="shared" si="201"/>
        <v>39</v>
      </c>
      <c r="T171" s="251">
        <f t="shared" si="201"/>
        <v>40</v>
      </c>
      <c r="U171" s="251">
        <f t="shared" si="201"/>
        <v>41</v>
      </c>
      <c r="V171" s="251">
        <f t="shared" si="201"/>
        <v>43</v>
      </c>
      <c r="W171" s="251">
        <f t="shared" si="201"/>
        <v>41</v>
      </c>
      <c r="X171" s="251">
        <f t="shared" si="201"/>
        <v>42</v>
      </c>
      <c r="Y171" s="251">
        <f t="shared" si="201"/>
        <v>40</v>
      </c>
      <c r="Z171" s="251">
        <f t="shared" si="201"/>
        <v>39.4</v>
      </c>
      <c r="AA171" s="251">
        <f t="shared" si="201"/>
        <v>43</v>
      </c>
      <c r="AB171" s="251">
        <f t="shared" si="201"/>
        <v>36</v>
      </c>
      <c r="AC171" s="251">
        <f t="shared" si="201"/>
        <v>36</v>
      </c>
      <c r="AD171" s="251">
        <f t="shared" si="201"/>
        <v>36</v>
      </c>
      <c r="AE171" s="251">
        <f t="shared" si="201"/>
        <v>36</v>
      </c>
      <c r="AF171" s="251">
        <f t="shared" si="201"/>
        <v>42</v>
      </c>
      <c r="AG171" s="251">
        <f t="shared" si="201"/>
        <v>41</v>
      </c>
      <c r="AH171" s="251">
        <f t="shared" si="201"/>
        <v>41.5</v>
      </c>
      <c r="AI171" s="251">
        <f t="shared" si="201"/>
        <v>42</v>
      </c>
      <c r="AJ171" s="251">
        <f t="shared" si="201"/>
        <v>42</v>
      </c>
      <c r="AK171" s="251">
        <f>AK111+AK112</f>
        <v>42</v>
      </c>
      <c r="AL171" s="251">
        <f>AL111+AL112</f>
        <v>42</v>
      </c>
      <c r="AM171" s="251">
        <f>AM111+AM112</f>
        <v>42</v>
      </c>
      <c r="AN171" s="251">
        <f>AN111+AN112</f>
        <v>42</v>
      </c>
      <c r="AO171" s="251">
        <f>AO111+AO112</f>
        <v>42</v>
      </c>
      <c r="AP171" s="38"/>
      <c r="AQ171" s="434">
        <f t="shared" si="199"/>
        <v>474.9</v>
      </c>
    </row>
    <row r="172" spans="1:46" s="31" customFormat="1">
      <c r="A172" s="327"/>
      <c r="B172" s="446" t="s">
        <v>140</v>
      </c>
      <c r="C172" s="5" t="s">
        <v>153</v>
      </c>
      <c r="D172" s="395" t="s">
        <v>142</v>
      </c>
      <c r="G172" s="251"/>
      <c r="H172" s="251"/>
      <c r="I172" s="251">
        <f t="shared" ref="I172:U172" si="202">I117+I118+I140+I141+I154</f>
        <v>2.4</v>
      </c>
      <c r="J172" s="251">
        <f t="shared" si="202"/>
        <v>1.8</v>
      </c>
      <c r="K172" s="251">
        <f t="shared" si="202"/>
        <v>2.4</v>
      </c>
      <c r="L172" s="251">
        <f t="shared" si="202"/>
        <v>2.4</v>
      </c>
      <c r="M172" s="251">
        <f t="shared" si="202"/>
        <v>4.33</v>
      </c>
      <c r="N172" s="251">
        <f t="shared" si="202"/>
        <v>4.2</v>
      </c>
      <c r="O172" s="251">
        <f t="shared" si="202"/>
        <v>3</v>
      </c>
      <c r="P172" s="251">
        <f t="shared" si="202"/>
        <v>1.8</v>
      </c>
      <c r="Q172" s="251">
        <f t="shared" si="202"/>
        <v>1.8</v>
      </c>
      <c r="R172" s="251">
        <f t="shared" si="202"/>
        <v>1.8</v>
      </c>
      <c r="S172" s="251">
        <f t="shared" si="202"/>
        <v>1.8</v>
      </c>
      <c r="T172" s="251">
        <f t="shared" si="202"/>
        <v>1.8</v>
      </c>
      <c r="U172" s="251">
        <f t="shared" si="202"/>
        <v>2.4</v>
      </c>
      <c r="V172" s="251">
        <f>V117+V118+V140+V141+V154+V119</f>
        <v>2.6</v>
      </c>
      <c r="W172" s="251">
        <f>W117+W118+W140+W141+W154+W119</f>
        <v>4.2</v>
      </c>
      <c r="X172" s="251">
        <f>X117+X118+X140+X141+X154+X119</f>
        <v>4.2</v>
      </c>
      <c r="Y172" s="251">
        <f>Y117+Y118+Y140+Y141+Y142+Y154+Y119</f>
        <v>4.4000000000000004</v>
      </c>
      <c r="Z172" s="251">
        <f t="shared" ref="Z172:AJ172" si="203">Z117+Z118+Z140+Z141+Z142+Z154+Z119</f>
        <v>5</v>
      </c>
      <c r="AA172" s="251">
        <f t="shared" si="203"/>
        <v>4.2</v>
      </c>
      <c r="AB172" s="251">
        <f t="shared" si="203"/>
        <v>4.2</v>
      </c>
      <c r="AC172" s="251">
        <f t="shared" si="203"/>
        <v>3.5999999999999996</v>
      </c>
      <c r="AD172" s="251">
        <f t="shared" si="203"/>
        <v>4.2</v>
      </c>
      <c r="AE172" s="251">
        <f t="shared" si="203"/>
        <v>4.2</v>
      </c>
      <c r="AF172" s="251">
        <f t="shared" si="203"/>
        <v>4.2</v>
      </c>
      <c r="AG172" s="251">
        <f t="shared" si="203"/>
        <v>4.2</v>
      </c>
      <c r="AH172" s="251">
        <f t="shared" si="203"/>
        <v>4.2</v>
      </c>
      <c r="AI172" s="251">
        <f t="shared" si="203"/>
        <v>4.2</v>
      </c>
      <c r="AJ172" s="251">
        <f t="shared" si="203"/>
        <v>4.2</v>
      </c>
      <c r="AK172" s="251">
        <f>AK117+AK118+AK140+AK141+AK142+AK154+AK119</f>
        <v>4.2</v>
      </c>
      <c r="AL172" s="251">
        <f>AL117+AL118+AL140+AL141+AL142+AL154+AL119</f>
        <v>4.2</v>
      </c>
      <c r="AM172" s="251">
        <f>AM117+AM118+AM140+AM141+AM142+AM154+AM119</f>
        <v>4.2</v>
      </c>
      <c r="AN172" s="251">
        <f>AN117+AN118+AN140+AN141+AN142+AN154+AN119</f>
        <v>4.2</v>
      </c>
      <c r="AO172" s="251">
        <f>AO117+AO118+AO140+AO141+AO142+AO154+AO119</f>
        <v>4.2</v>
      </c>
      <c r="AP172" s="38"/>
      <c r="AQ172" s="434">
        <f t="shared" si="199"/>
        <v>50.800000000000011</v>
      </c>
    </row>
    <row r="173" spans="1:46" s="31" customFormat="1" ht="12" customHeight="1">
      <c r="A173" s="327"/>
      <c r="B173" s="446" t="s">
        <v>140</v>
      </c>
      <c r="C173" s="5" t="s">
        <v>152</v>
      </c>
      <c r="D173" s="395" t="s">
        <v>142</v>
      </c>
      <c r="G173" s="251"/>
      <c r="H173" s="251"/>
      <c r="I173" s="251">
        <f t="shared" ref="I173:AK173" si="204">I120+I121+I133+I143+I144+I155</f>
        <v>3.8</v>
      </c>
      <c r="J173" s="251">
        <f t="shared" si="204"/>
        <v>6.4</v>
      </c>
      <c r="K173" s="251">
        <f t="shared" si="204"/>
        <v>5.6</v>
      </c>
      <c r="L173" s="251">
        <f t="shared" si="204"/>
        <v>6.4</v>
      </c>
      <c r="M173" s="251">
        <f t="shared" si="204"/>
        <v>15</v>
      </c>
      <c r="N173" s="251">
        <f t="shared" si="204"/>
        <v>15</v>
      </c>
      <c r="O173" s="251">
        <f t="shared" si="204"/>
        <v>14.16</v>
      </c>
      <c r="P173" s="251">
        <f t="shared" si="204"/>
        <v>10.5</v>
      </c>
      <c r="Q173" s="251">
        <f t="shared" si="204"/>
        <v>10</v>
      </c>
      <c r="R173" s="251">
        <f t="shared" si="204"/>
        <v>14.98</v>
      </c>
      <c r="S173" s="251">
        <f t="shared" si="204"/>
        <v>15.5</v>
      </c>
      <c r="T173" s="251">
        <f t="shared" si="204"/>
        <v>14.4</v>
      </c>
      <c r="U173" s="251">
        <f t="shared" si="204"/>
        <v>15.6</v>
      </c>
      <c r="V173" s="251">
        <f t="shared" si="204"/>
        <v>17.5</v>
      </c>
      <c r="W173" s="251">
        <f t="shared" si="204"/>
        <v>15</v>
      </c>
      <c r="X173" s="251">
        <f t="shared" si="204"/>
        <v>15.7</v>
      </c>
      <c r="Y173" s="251">
        <f t="shared" si="204"/>
        <v>11.3</v>
      </c>
      <c r="Z173" s="251">
        <f t="shared" si="204"/>
        <v>13.2</v>
      </c>
      <c r="AA173" s="251">
        <f t="shared" si="204"/>
        <v>16.5</v>
      </c>
      <c r="AB173" s="251">
        <f t="shared" si="204"/>
        <v>12</v>
      </c>
      <c r="AC173" s="251">
        <f t="shared" si="204"/>
        <v>12.579999999999998</v>
      </c>
      <c r="AD173" s="251">
        <f t="shared" si="204"/>
        <v>12</v>
      </c>
      <c r="AE173" s="251">
        <f t="shared" si="204"/>
        <v>13</v>
      </c>
      <c r="AF173" s="251">
        <f t="shared" si="204"/>
        <v>15</v>
      </c>
      <c r="AG173" s="251">
        <f t="shared" si="204"/>
        <v>15</v>
      </c>
      <c r="AH173" s="251">
        <f t="shared" si="204"/>
        <v>15</v>
      </c>
      <c r="AI173" s="251">
        <f t="shared" si="204"/>
        <v>15</v>
      </c>
      <c r="AJ173" s="251">
        <f t="shared" si="204"/>
        <v>15</v>
      </c>
      <c r="AK173" s="251">
        <f t="shared" si="204"/>
        <v>15</v>
      </c>
      <c r="AL173" s="251">
        <f t="shared" ref="AL173:AM173" si="205">AL120+AL121+AL133+AL143+AL144+AL155</f>
        <v>15</v>
      </c>
      <c r="AM173" s="251">
        <f t="shared" si="205"/>
        <v>15</v>
      </c>
      <c r="AN173" s="251">
        <f t="shared" ref="AN173:AO173" si="206">AN120+AN121+AN133+AN143+AN144+AN155</f>
        <v>15</v>
      </c>
      <c r="AO173" s="251">
        <f t="shared" si="206"/>
        <v>15</v>
      </c>
      <c r="AP173" s="38"/>
      <c r="AQ173" s="434">
        <f t="shared" si="199"/>
        <v>165.57999999999998</v>
      </c>
    </row>
    <row r="174" spans="1:46" s="31" customFormat="1" ht="12.6" customHeight="1">
      <c r="A174" s="327"/>
      <c r="B174" s="446" t="s">
        <v>140</v>
      </c>
      <c r="C174" s="5" t="s">
        <v>161</v>
      </c>
      <c r="D174" s="395" t="s">
        <v>142</v>
      </c>
      <c r="G174" s="251"/>
      <c r="H174" s="251"/>
      <c r="I174" s="251"/>
      <c r="J174" s="251"/>
      <c r="K174" s="251"/>
      <c r="L174" s="251"/>
      <c r="M174" s="251"/>
      <c r="N174" s="251"/>
      <c r="O174" s="251"/>
      <c r="P174" s="251"/>
      <c r="Q174" s="251"/>
      <c r="R174" s="251"/>
      <c r="S174" s="251"/>
      <c r="T174" s="251">
        <f t="shared" ref="T174:AJ174" si="207">T122+T156</f>
        <v>0</v>
      </c>
      <c r="U174" s="251">
        <f t="shared" si="207"/>
        <v>0</v>
      </c>
      <c r="V174" s="251">
        <f t="shared" si="207"/>
        <v>0</v>
      </c>
      <c r="W174" s="251">
        <f t="shared" si="207"/>
        <v>0</v>
      </c>
      <c r="X174" s="251">
        <f t="shared" si="207"/>
        <v>0</v>
      </c>
      <c r="Y174" s="251">
        <f t="shared" si="207"/>
        <v>0</v>
      </c>
      <c r="Z174" s="251">
        <f t="shared" si="207"/>
        <v>0</v>
      </c>
      <c r="AA174" s="251">
        <f t="shared" si="207"/>
        <v>0</v>
      </c>
      <c r="AB174" s="251">
        <f t="shared" si="207"/>
        <v>0</v>
      </c>
      <c r="AC174" s="251">
        <f t="shared" si="207"/>
        <v>0</v>
      </c>
      <c r="AD174" s="251">
        <f t="shared" si="207"/>
        <v>0</v>
      </c>
      <c r="AE174" s="251">
        <f t="shared" si="207"/>
        <v>0</v>
      </c>
      <c r="AF174" s="251">
        <f t="shared" si="207"/>
        <v>0</v>
      </c>
      <c r="AG174" s="251">
        <f t="shared" si="207"/>
        <v>0</v>
      </c>
      <c r="AH174" s="251">
        <f t="shared" si="207"/>
        <v>0</v>
      </c>
      <c r="AI174" s="251">
        <f t="shared" si="207"/>
        <v>0</v>
      </c>
      <c r="AJ174" s="251">
        <f t="shared" si="207"/>
        <v>0</v>
      </c>
      <c r="AK174" s="251">
        <f>AK122+AK156</f>
        <v>0</v>
      </c>
      <c r="AL174" s="251">
        <f>AL122+AL156</f>
        <v>0</v>
      </c>
      <c r="AM174" s="251">
        <f>AM122+AM156</f>
        <v>0</v>
      </c>
      <c r="AN174" s="251">
        <f>AN122+AN156</f>
        <v>0</v>
      </c>
      <c r="AO174" s="251">
        <f>AO122+AO156</f>
        <v>0</v>
      </c>
      <c r="AP174" s="38"/>
      <c r="AQ174" s="434">
        <f t="shared" si="199"/>
        <v>0</v>
      </c>
    </row>
    <row r="175" spans="1:46" s="31" customFormat="1" ht="12.6" customHeight="1">
      <c r="A175" s="327"/>
      <c r="B175" s="446" t="s">
        <v>140</v>
      </c>
      <c r="C175" s="5" t="s">
        <v>164</v>
      </c>
      <c r="D175" s="395" t="s">
        <v>142</v>
      </c>
      <c r="G175" s="251"/>
      <c r="H175" s="251"/>
      <c r="I175" s="251"/>
      <c r="J175" s="251"/>
      <c r="K175" s="251"/>
      <c r="L175" s="251"/>
      <c r="M175" s="251"/>
      <c r="N175" s="251"/>
      <c r="O175" s="251"/>
      <c r="P175" s="251"/>
      <c r="Q175" s="251"/>
      <c r="R175" s="251"/>
      <c r="S175" s="251"/>
      <c r="T175" s="251"/>
      <c r="U175" s="251"/>
      <c r="V175" s="251"/>
      <c r="W175" s="251">
        <f>W113+W114+W138+W139</f>
        <v>0</v>
      </c>
      <c r="X175" s="251">
        <f t="shared" ref="X175:AJ175" si="208">X113+X114+X138+X139</f>
        <v>0</v>
      </c>
      <c r="Y175" s="251">
        <f t="shared" si="208"/>
        <v>0</v>
      </c>
      <c r="Z175" s="251">
        <f t="shared" si="208"/>
        <v>0</v>
      </c>
      <c r="AA175" s="251">
        <f t="shared" si="208"/>
        <v>0</v>
      </c>
      <c r="AB175" s="251">
        <f t="shared" si="208"/>
        <v>0</v>
      </c>
      <c r="AC175" s="251">
        <f t="shared" si="208"/>
        <v>0</v>
      </c>
      <c r="AD175" s="251">
        <f t="shared" si="208"/>
        <v>0</v>
      </c>
      <c r="AE175" s="251">
        <f t="shared" si="208"/>
        <v>0</v>
      </c>
      <c r="AF175" s="251">
        <f t="shared" si="208"/>
        <v>0</v>
      </c>
      <c r="AG175" s="251">
        <f t="shared" si="208"/>
        <v>0</v>
      </c>
      <c r="AH175" s="251">
        <f t="shared" si="208"/>
        <v>0</v>
      </c>
      <c r="AI175" s="251">
        <f t="shared" si="208"/>
        <v>0</v>
      </c>
      <c r="AJ175" s="251">
        <f t="shared" si="208"/>
        <v>0</v>
      </c>
      <c r="AK175" s="251">
        <f>AK113+AK114+AK138+AK139</f>
        <v>0</v>
      </c>
      <c r="AL175" s="251">
        <f>AL113+AL114+AL138+AL139</f>
        <v>0</v>
      </c>
      <c r="AM175" s="251">
        <f>AM113+AM114+AM138+AM139</f>
        <v>0</v>
      </c>
      <c r="AN175" s="251">
        <f>AN113+AN114+AN138+AN139</f>
        <v>0</v>
      </c>
      <c r="AO175" s="251">
        <f>AO113+AO114+AO138+AO139</f>
        <v>0</v>
      </c>
      <c r="AP175" s="38"/>
      <c r="AQ175" s="434">
        <f t="shared" si="199"/>
        <v>0</v>
      </c>
    </row>
    <row r="176" spans="1:46" s="31" customFormat="1" ht="12.6" customHeight="1">
      <c r="A176" s="327"/>
      <c r="B176" s="446" t="s">
        <v>140</v>
      </c>
      <c r="C176" s="5" t="s">
        <v>165</v>
      </c>
      <c r="D176" s="395" t="s">
        <v>142</v>
      </c>
      <c r="G176" s="251"/>
      <c r="H176" s="251"/>
      <c r="I176" s="251"/>
      <c r="J176" s="251"/>
      <c r="K176" s="251"/>
      <c r="L176" s="251"/>
      <c r="M176" s="251"/>
      <c r="N176" s="251"/>
      <c r="O176" s="251"/>
      <c r="P176" s="251"/>
      <c r="Q176" s="251"/>
      <c r="R176" s="251"/>
      <c r="S176" s="251"/>
      <c r="T176" s="251"/>
      <c r="U176" s="251"/>
      <c r="V176" s="251"/>
      <c r="W176" s="251">
        <f>W115+W116</f>
        <v>0</v>
      </c>
      <c r="X176" s="251">
        <f t="shared" ref="X176:AJ176" si="209">X115+X116</f>
        <v>0</v>
      </c>
      <c r="Y176" s="251">
        <f t="shared" si="209"/>
        <v>0</v>
      </c>
      <c r="Z176" s="251">
        <f t="shared" si="209"/>
        <v>0</v>
      </c>
      <c r="AA176" s="251">
        <f t="shared" si="209"/>
        <v>0</v>
      </c>
      <c r="AB176" s="251">
        <f t="shared" si="209"/>
        <v>0</v>
      </c>
      <c r="AC176" s="251">
        <f t="shared" si="209"/>
        <v>0</v>
      </c>
      <c r="AD176" s="251">
        <f t="shared" si="209"/>
        <v>0</v>
      </c>
      <c r="AE176" s="251">
        <f t="shared" si="209"/>
        <v>0</v>
      </c>
      <c r="AF176" s="251">
        <f t="shared" si="209"/>
        <v>0</v>
      </c>
      <c r="AG176" s="251">
        <f t="shared" si="209"/>
        <v>0</v>
      </c>
      <c r="AH176" s="251">
        <f t="shared" si="209"/>
        <v>0</v>
      </c>
      <c r="AI176" s="251">
        <f t="shared" si="209"/>
        <v>0</v>
      </c>
      <c r="AJ176" s="251">
        <f t="shared" si="209"/>
        <v>0</v>
      </c>
      <c r="AK176" s="251">
        <f>AK115+AK116</f>
        <v>0</v>
      </c>
      <c r="AL176" s="251">
        <f>AL115+AL116</f>
        <v>0</v>
      </c>
      <c r="AM176" s="251">
        <f>AM115+AM116</f>
        <v>0</v>
      </c>
      <c r="AN176" s="251">
        <f>AN115+AN116</f>
        <v>0</v>
      </c>
      <c r="AO176" s="251">
        <f>AO115+AO116</f>
        <v>0</v>
      </c>
      <c r="AP176" s="38"/>
      <c r="AQ176" s="434">
        <f t="shared" si="199"/>
        <v>0</v>
      </c>
    </row>
    <row r="177" spans="1:46" s="31" customFormat="1" ht="12.6" customHeight="1" thickBot="1">
      <c r="A177" s="327"/>
      <c r="B177" s="400" t="s">
        <v>140</v>
      </c>
      <c r="C177" s="399" t="s">
        <v>166</v>
      </c>
      <c r="D177" s="397" t="s">
        <v>142</v>
      </c>
      <c r="G177" s="251"/>
      <c r="H177" s="251"/>
      <c r="I177" s="251"/>
      <c r="J177" s="251"/>
      <c r="K177" s="251"/>
      <c r="L177" s="251"/>
      <c r="M177" s="251"/>
      <c r="N177" s="251"/>
      <c r="O177" s="251"/>
      <c r="P177" s="251"/>
      <c r="Q177" s="251"/>
      <c r="R177" s="251"/>
      <c r="S177" s="251"/>
      <c r="T177" s="251"/>
      <c r="U177" s="251"/>
      <c r="V177" s="251"/>
      <c r="W177" s="251">
        <f>W125+W126+W147+W148</f>
        <v>0</v>
      </c>
      <c r="X177" s="251">
        <f t="shared" ref="X177:AJ177" si="210">X125+X126+X147+X148</f>
        <v>0</v>
      </c>
      <c r="Y177" s="251">
        <f t="shared" si="210"/>
        <v>0</v>
      </c>
      <c r="Z177" s="251">
        <f t="shared" si="210"/>
        <v>0</v>
      </c>
      <c r="AA177" s="251">
        <f t="shared" si="210"/>
        <v>0</v>
      </c>
      <c r="AB177" s="251">
        <f t="shared" si="210"/>
        <v>0</v>
      </c>
      <c r="AC177" s="251">
        <f t="shared" si="210"/>
        <v>0</v>
      </c>
      <c r="AD177" s="251">
        <f t="shared" si="210"/>
        <v>0</v>
      </c>
      <c r="AE177" s="251">
        <f t="shared" si="210"/>
        <v>0</v>
      </c>
      <c r="AF177" s="251">
        <f t="shared" si="210"/>
        <v>0</v>
      </c>
      <c r="AG177" s="251">
        <f t="shared" si="210"/>
        <v>0</v>
      </c>
      <c r="AH177" s="251">
        <f t="shared" si="210"/>
        <v>0</v>
      </c>
      <c r="AI177" s="251">
        <f t="shared" si="210"/>
        <v>0</v>
      </c>
      <c r="AJ177" s="251">
        <f t="shared" si="210"/>
        <v>0</v>
      </c>
      <c r="AK177" s="251">
        <f>AK125+AK126+AK147+AK148</f>
        <v>0</v>
      </c>
      <c r="AL177" s="251">
        <f>AL125+AL126+AL147+AL148</f>
        <v>0</v>
      </c>
      <c r="AM177" s="251">
        <f>AM125+AM126+AM147+AM148</f>
        <v>0</v>
      </c>
      <c r="AN177" s="251">
        <f>AN125+AN126+AN147+AN148</f>
        <v>0</v>
      </c>
      <c r="AO177" s="251">
        <f>AO125+AO126+AO147+AO148</f>
        <v>0</v>
      </c>
      <c r="AP177" s="38"/>
      <c r="AQ177" s="434">
        <f t="shared" si="199"/>
        <v>0</v>
      </c>
    </row>
    <row r="178" spans="1:46" s="31" customFormat="1" ht="15" thickBot="1">
      <c r="A178" s="331" t="s">
        <v>145</v>
      </c>
      <c r="B178" s="400" t="s">
        <v>143</v>
      </c>
      <c r="C178" s="399" t="s">
        <v>141</v>
      </c>
      <c r="D178" s="397" t="s">
        <v>143</v>
      </c>
      <c r="E178" s="50">
        <f>SUM(E95:E158)</f>
        <v>43944.538999999997</v>
      </c>
      <c r="F178" s="50">
        <f>SUM(F95:F158)</f>
        <v>43958.297005059998</v>
      </c>
      <c r="G178" s="50">
        <f>SUM(G95:G158)</f>
        <v>44027.982716919993</v>
      </c>
      <c r="H178" s="50">
        <f>SUM(H95:H158)</f>
        <v>44046.748237969987</v>
      </c>
      <c r="I178" s="406">
        <f t="shared" ref="I178:Y178" si="211">SUM(I97:I158)</f>
        <v>307.97699999999998</v>
      </c>
      <c r="J178" s="406">
        <f t="shared" si="211"/>
        <v>311.40103429999999</v>
      </c>
      <c r="K178" s="406">
        <f t="shared" si="211"/>
        <v>310.49016493999994</v>
      </c>
      <c r="L178" s="406">
        <f t="shared" si="211"/>
        <v>301.83112309999996</v>
      </c>
      <c r="M178" s="406">
        <f t="shared" si="211"/>
        <v>297.98329081999998</v>
      </c>
      <c r="N178" s="406">
        <f t="shared" si="211"/>
        <v>287.21145953000001</v>
      </c>
      <c r="O178" s="406">
        <f t="shared" si="211"/>
        <v>287.78300000000007</v>
      </c>
      <c r="P178" s="406">
        <f t="shared" si="211"/>
        <v>293.58999999999986</v>
      </c>
      <c r="Q178" s="406">
        <f t="shared" si="211"/>
        <v>243.57659381000002</v>
      </c>
      <c r="R178" s="406">
        <f t="shared" si="211"/>
        <v>282.79017382000001</v>
      </c>
      <c r="S178" s="407">
        <f t="shared" si="211"/>
        <v>301.85999999999996</v>
      </c>
      <c r="T178" s="407">
        <f t="shared" si="211"/>
        <v>323.9323626373627</v>
      </c>
      <c r="U178" s="407">
        <f t="shared" si="211"/>
        <v>310.59999999999997</v>
      </c>
      <c r="V178" s="407">
        <f t="shared" si="211"/>
        <v>325.31</v>
      </c>
      <c r="W178" s="407">
        <f t="shared" si="211"/>
        <v>323.36240770999996</v>
      </c>
      <c r="X178" s="407">
        <f t="shared" si="211"/>
        <v>337.09400000000005</v>
      </c>
      <c r="Y178" s="407">
        <f t="shared" si="211"/>
        <v>323.80400000000009</v>
      </c>
      <c r="Z178" s="407">
        <f>SUM(Z97:Z158)+Z93</f>
        <v>324.90343944999995</v>
      </c>
      <c r="AA178" s="407">
        <f>SUM(AA97:AA158)+AA93</f>
        <v>354.01599999999996</v>
      </c>
      <c r="AB178" s="407">
        <f t="shared" ref="AB178:AC178" si="212">SUM(AB97:AB158)+AB93</f>
        <v>324.34300000000002</v>
      </c>
      <c r="AC178" s="407">
        <f t="shared" si="212"/>
        <v>373.42199999999991</v>
      </c>
      <c r="AD178" s="407">
        <f>SUM(AD97:AD158)</f>
        <v>344.38299999999987</v>
      </c>
      <c r="AE178" s="407">
        <f t="shared" ref="AE178:AO178" si="213">SUM(AE97:AE158)</f>
        <v>325.91556137000003</v>
      </c>
      <c r="AF178" s="407">
        <f t="shared" si="213"/>
        <v>359.39465579000006</v>
      </c>
      <c r="AG178" s="407">
        <f t="shared" si="213"/>
        <v>349.02512603000002</v>
      </c>
      <c r="AH178" s="407">
        <f t="shared" si="213"/>
        <v>334.70015352999997</v>
      </c>
      <c r="AI178" s="407">
        <f t="shared" si="213"/>
        <v>353.79138481000001</v>
      </c>
      <c r="AJ178" s="407">
        <f t="shared" si="213"/>
        <v>344.49326785</v>
      </c>
      <c r="AK178" s="407">
        <f t="shared" si="213"/>
        <v>349.12971331232876</v>
      </c>
      <c r="AL178" s="407">
        <f t="shared" si="213"/>
        <v>330.73527036178081</v>
      </c>
      <c r="AM178" s="407">
        <f t="shared" si="213"/>
        <v>346.75414868232878</v>
      </c>
      <c r="AN178" s="407">
        <f t="shared" si="213"/>
        <v>337.16880041547944</v>
      </c>
      <c r="AO178" s="407">
        <f t="shared" si="213"/>
        <v>342.13359898232881</v>
      </c>
      <c r="AP178" s="38"/>
      <c r="AQ178" s="38"/>
    </row>
    <row r="179" spans="1:46" s="31" customFormat="1" ht="24" thickBot="1">
      <c r="A179" s="39" t="s">
        <v>137</v>
      </c>
      <c r="B179" s="30"/>
      <c r="L179" s="363"/>
      <c r="M179" s="85">
        <f t="shared" ref="M179:Z179" si="214">M178-M160</f>
        <v>188.17329081999998</v>
      </c>
      <c r="N179" s="85">
        <f t="shared" si="214"/>
        <v>202.50545953000002</v>
      </c>
      <c r="O179" s="85">
        <f t="shared" si="214"/>
        <v>168.45500000000007</v>
      </c>
      <c r="P179" s="85">
        <f t="shared" si="214"/>
        <v>172.53999999999985</v>
      </c>
      <c r="Q179" s="85">
        <f t="shared" si="214"/>
        <v>170.11859381000002</v>
      </c>
      <c r="R179" s="85">
        <f t="shared" si="214"/>
        <v>183.64617382</v>
      </c>
      <c r="S179" s="85">
        <f t="shared" si="214"/>
        <v>206.12999999999997</v>
      </c>
      <c r="T179" s="85">
        <f t="shared" si="214"/>
        <v>215.22000000000008</v>
      </c>
      <c r="U179" s="85">
        <f t="shared" si="214"/>
        <v>216.18999999999997</v>
      </c>
      <c r="V179" s="85">
        <f t="shared" si="214"/>
        <v>228.25</v>
      </c>
      <c r="W179" s="85">
        <f t="shared" si="214"/>
        <v>222.56240770999995</v>
      </c>
      <c r="X179" s="85">
        <f t="shared" si="214"/>
        <v>224.22000000000006</v>
      </c>
      <c r="Y179" s="85">
        <f t="shared" si="214"/>
        <v>208.93700000000007</v>
      </c>
      <c r="Z179" s="85">
        <f t="shared" si="214"/>
        <v>204.36743944999995</v>
      </c>
      <c r="AA179" s="85">
        <f>AA178-AA160-AA105-AA106</f>
        <v>224.00999999999996</v>
      </c>
      <c r="AB179" s="85">
        <f t="shared" ref="AB179:AL179" si="215">AB178-AB160-AB105-AB106</f>
        <v>194.65200000000004</v>
      </c>
      <c r="AC179" s="85">
        <f t="shared" si="215"/>
        <v>197.04499999999993</v>
      </c>
      <c r="AD179" s="85">
        <f t="shared" si="215"/>
        <v>197.38999999999987</v>
      </c>
      <c r="AE179" s="85">
        <f t="shared" si="215"/>
        <v>199.89856137000004</v>
      </c>
      <c r="AF179" s="85">
        <f t="shared" si="215"/>
        <v>219.23365579000006</v>
      </c>
      <c r="AG179" s="85">
        <f t="shared" si="215"/>
        <v>217.50812603</v>
      </c>
      <c r="AH179" s="85">
        <f t="shared" si="215"/>
        <v>219.93615352999998</v>
      </c>
      <c r="AI179" s="85">
        <f t="shared" si="215"/>
        <v>219.29638481000001</v>
      </c>
      <c r="AJ179" s="85">
        <f t="shared" si="215"/>
        <v>224.07726784999997</v>
      </c>
      <c r="AK179" s="85">
        <f t="shared" si="215"/>
        <v>222.2368366</v>
      </c>
      <c r="AL179" s="85">
        <f t="shared" si="215"/>
        <v>214.42718816999999</v>
      </c>
      <c r="AM179" s="85">
        <f t="shared" ref="AM179:AN179" si="216">AM178-AM160-AM105-AM106</f>
        <v>219.81127197000004</v>
      </c>
      <c r="AN179" s="85">
        <f t="shared" si="216"/>
        <v>213.82085520999999</v>
      </c>
      <c r="AO179" s="85">
        <f t="shared" ref="AO179" si="217">AO178-AO160-AO105-AO106</f>
        <v>215.04072227000006</v>
      </c>
      <c r="AP179" s="38"/>
      <c r="AQ179" s="38"/>
    </row>
    <row r="180" spans="1:46">
      <c r="A180" s="385" t="s">
        <v>0</v>
      </c>
      <c r="B180" s="386"/>
      <c r="C180" s="387"/>
      <c r="D180" s="388"/>
      <c r="E180" s="53">
        <f t="shared" ref="E180:T180" si="218">E61-E135-E136-E137-E138-E139-E140-E141-E143-E144-E145-E146-E147-E148-E149-E150-E151</f>
        <v>-1.4270000000000005</v>
      </c>
      <c r="F180" s="53">
        <f t="shared" si="218"/>
        <v>-3.0010934100000028</v>
      </c>
      <c r="G180" s="53">
        <f t="shared" si="218"/>
        <v>-8.8817841970012523E-16</v>
      </c>
      <c r="H180" s="53">
        <f t="shared" si="218"/>
        <v>-8.8817841970012523E-16</v>
      </c>
      <c r="I180" s="53">
        <f t="shared" si="218"/>
        <v>-1.3322676295501878E-15</v>
      </c>
      <c r="J180" s="53">
        <f t="shared" si="218"/>
        <v>2.6645352591003757E-15</v>
      </c>
      <c r="K180" s="53">
        <f t="shared" si="218"/>
        <v>0</v>
      </c>
      <c r="L180" s="53">
        <f t="shared" si="218"/>
        <v>-1.7763568394002505E-15</v>
      </c>
      <c r="M180" s="53">
        <f t="shared" si="218"/>
        <v>0</v>
      </c>
      <c r="N180" s="53">
        <f t="shared" si="218"/>
        <v>-3.5527136788005009E-15</v>
      </c>
      <c r="O180" s="53">
        <f t="shared" si="218"/>
        <v>0</v>
      </c>
      <c r="P180" s="53">
        <f t="shared" si="218"/>
        <v>-2.2204460492503131E-16</v>
      </c>
      <c r="Q180" s="53">
        <f t="shared" si="218"/>
        <v>2.2204460492503131E-16</v>
      </c>
      <c r="R180" s="53">
        <f t="shared" si="218"/>
        <v>0</v>
      </c>
      <c r="S180" s="53">
        <f t="shared" si="218"/>
        <v>0</v>
      </c>
      <c r="T180" s="53">
        <f t="shared" si="218"/>
        <v>-5.5511151231257827E-17</v>
      </c>
      <c r="U180" s="53">
        <f>U61-U135-U136-U137-U138-U139-U140-U141-U143-U144-U145-U146-U147-U148-U149-U150-U151</f>
        <v>0</v>
      </c>
      <c r="V180" s="53">
        <f t="shared" ref="V180:AJ180" si="219">V61-V135-V136-V137-V138-V139-V140-V141-V143-V144-V145-V146-V147-V148-V149-V150-V151</f>
        <v>0</v>
      </c>
      <c r="W180" s="53">
        <f t="shared" si="219"/>
        <v>0</v>
      </c>
      <c r="X180" s="53">
        <f t="shared" si="219"/>
        <v>0</v>
      </c>
      <c r="Y180" s="53">
        <f t="shared" si="219"/>
        <v>0.80000000000000071</v>
      </c>
      <c r="Z180" s="53">
        <f t="shared" si="219"/>
        <v>0</v>
      </c>
      <c r="AA180" s="53">
        <f t="shared" si="219"/>
        <v>0</v>
      </c>
      <c r="AB180" s="53">
        <f t="shared" si="219"/>
        <v>0</v>
      </c>
      <c r="AC180" s="53">
        <f t="shared" si="219"/>
        <v>0</v>
      </c>
      <c r="AD180" s="53">
        <f t="shared" si="219"/>
        <v>0</v>
      </c>
      <c r="AE180" s="53">
        <f t="shared" si="219"/>
        <v>0</v>
      </c>
      <c r="AF180" s="53">
        <f t="shared" si="219"/>
        <v>0</v>
      </c>
      <c r="AG180" s="53">
        <f t="shared" si="219"/>
        <v>0</v>
      </c>
      <c r="AH180" s="53">
        <f t="shared" si="219"/>
        <v>0</v>
      </c>
      <c r="AI180" s="53">
        <f t="shared" si="219"/>
        <v>0</v>
      </c>
      <c r="AJ180" s="53">
        <f t="shared" si="219"/>
        <v>0</v>
      </c>
      <c r="AK180" s="53">
        <f>AK61-AK135-AK136-AK137-AK138-AK139-AK140-AK141-AK143-AK144-AK145-AK146-AK147-AK148-AK149-AK150-AK151</f>
        <v>0</v>
      </c>
      <c r="AL180" s="53">
        <f>AL61-AL135-AL136-AL137-AL138-AL139-AL140-AL141-AL143-AL144-AL145-AL146-AL147-AL148-AL149-AL150-AL151</f>
        <v>0</v>
      </c>
      <c r="AM180" s="53">
        <f>AM61-AM135-AM136-AM137-AM138-AM139-AM140-AM141-AM143-AM144-AM145-AM146-AM147-AM148-AM149-AM150-AM151</f>
        <v>0</v>
      </c>
      <c r="AN180" s="53">
        <f>AN61-AN135-AN136-AN137-AN138-AN139-AN140-AN141-AN143-AN144-AN145-AN146-AN147-AN148-AN149-AN150-AN151</f>
        <v>0</v>
      </c>
      <c r="AO180" s="53">
        <f>AO61-AO135-AO136-AO137-AO138-AO139-AO140-AO141-AO143-AO144-AO145-AO146-AO147-AO148-AO149-AO150-AO151</f>
        <v>0</v>
      </c>
      <c r="AP180" s="38"/>
      <c r="AQ180" s="38"/>
      <c r="AR180" s="31"/>
      <c r="AS180" s="31"/>
      <c r="AT180" s="31"/>
    </row>
    <row r="181" spans="1:46">
      <c r="A181" s="104" t="s">
        <v>1</v>
      </c>
      <c r="B181" s="105"/>
      <c r="C181" s="106"/>
      <c r="D181" s="389"/>
      <c r="E181" s="84">
        <f t="shared" ref="E181:U181" si="220">E62-E153-E155-E154-E156</f>
        <v>0</v>
      </c>
      <c r="F181" s="84">
        <f t="shared" si="220"/>
        <v>0</v>
      </c>
      <c r="G181" s="84">
        <f t="shared" si="220"/>
        <v>0</v>
      </c>
      <c r="H181" s="84">
        <f t="shared" si="220"/>
        <v>0</v>
      </c>
      <c r="I181" s="84">
        <f t="shared" si="220"/>
        <v>0</v>
      </c>
      <c r="J181" s="84">
        <f t="shared" si="220"/>
        <v>0</v>
      </c>
      <c r="K181" s="84">
        <f t="shared" si="220"/>
        <v>0</v>
      </c>
      <c r="L181" s="84">
        <f t="shared" si="220"/>
        <v>0</v>
      </c>
      <c r="M181" s="84">
        <f t="shared" si="220"/>
        <v>0</v>
      </c>
      <c r="N181" s="84">
        <f t="shared" si="220"/>
        <v>0</v>
      </c>
      <c r="O181" s="84">
        <f t="shared" si="220"/>
        <v>0.74999999999999956</v>
      </c>
      <c r="P181" s="84">
        <f t="shared" si="220"/>
        <v>0</v>
      </c>
      <c r="Q181" s="84">
        <f t="shared" si="220"/>
        <v>0</v>
      </c>
      <c r="R181" s="84">
        <f t="shared" si="220"/>
        <v>0</v>
      </c>
      <c r="S181" s="84">
        <f t="shared" si="220"/>
        <v>0</v>
      </c>
      <c r="T181" s="84">
        <f t="shared" si="220"/>
        <v>0</v>
      </c>
      <c r="U181" s="84">
        <f t="shared" si="220"/>
        <v>1.1102230246251565E-16</v>
      </c>
      <c r="V181" s="84">
        <f>V62-V153-V155-V154-V156</f>
        <v>0</v>
      </c>
      <c r="W181" s="84">
        <f t="shared" ref="W181:AJ181" si="221">W62-W153-W155-W154-W156</f>
        <v>0</v>
      </c>
      <c r="X181" s="84">
        <f t="shared" si="221"/>
        <v>-3.3306690738754696E-16</v>
      </c>
      <c r="Y181" s="84">
        <f t="shared" si="221"/>
        <v>0</v>
      </c>
      <c r="Z181" s="84">
        <f t="shared" si="221"/>
        <v>0.59999999999999964</v>
      </c>
      <c r="AA181" s="84">
        <f t="shared" si="221"/>
        <v>0</v>
      </c>
      <c r="AB181" s="84">
        <f t="shared" si="221"/>
        <v>0</v>
      </c>
      <c r="AC181" s="84">
        <f t="shared" si="221"/>
        <v>0</v>
      </c>
      <c r="AD181" s="84">
        <f t="shared" si="221"/>
        <v>0</v>
      </c>
      <c r="AE181" s="84">
        <f t="shared" si="221"/>
        <v>0</v>
      </c>
      <c r="AF181" s="84">
        <f t="shared" si="221"/>
        <v>0</v>
      </c>
      <c r="AG181" s="84">
        <f t="shared" si="221"/>
        <v>0</v>
      </c>
      <c r="AH181" s="84">
        <f t="shared" si="221"/>
        <v>0</v>
      </c>
      <c r="AI181" s="84">
        <f t="shared" si="221"/>
        <v>0</v>
      </c>
      <c r="AJ181" s="84">
        <f t="shared" si="221"/>
        <v>0</v>
      </c>
      <c r="AK181" s="84">
        <f>AK62-AK153-AK155-AK154-AK156</f>
        <v>0</v>
      </c>
      <c r="AL181" s="84">
        <f>AL62-AL153-AL155-AL154-AL156</f>
        <v>0</v>
      </c>
      <c r="AM181" s="84">
        <f>AM62-AM153-AM155-AM154-AM156</f>
        <v>0</v>
      </c>
      <c r="AN181" s="84">
        <f>AN62-AN153-AN155-AN154-AN156</f>
        <v>0</v>
      </c>
      <c r="AO181" s="84">
        <f>AO62-AO153-AO155-AO154-AO156</f>
        <v>0</v>
      </c>
      <c r="AP181" s="38"/>
      <c r="AQ181" s="38"/>
      <c r="AR181" s="31"/>
      <c r="AS181" s="31"/>
      <c r="AT181" s="31"/>
    </row>
    <row r="182" spans="1:46">
      <c r="A182" s="104" t="s">
        <v>27</v>
      </c>
      <c r="B182" s="105"/>
      <c r="C182" s="106"/>
      <c r="D182" s="389"/>
      <c r="E182" s="84">
        <f t="shared" ref="E182:AJ182" si="222">E63-E157</f>
        <v>0</v>
      </c>
      <c r="F182" s="84">
        <f t="shared" si="222"/>
        <v>0</v>
      </c>
      <c r="G182" s="84">
        <f t="shared" si="222"/>
        <v>0</v>
      </c>
      <c r="H182" s="84">
        <f t="shared" si="222"/>
        <v>0</v>
      </c>
      <c r="I182" s="84">
        <f t="shared" si="222"/>
        <v>0</v>
      </c>
      <c r="J182" s="84">
        <f t="shared" si="222"/>
        <v>0</v>
      </c>
      <c r="K182" s="84">
        <f t="shared" si="222"/>
        <v>0</v>
      </c>
      <c r="L182" s="84">
        <f t="shared" si="222"/>
        <v>0</v>
      </c>
      <c r="M182" s="84">
        <f t="shared" si="222"/>
        <v>0</v>
      </c>
      <c r="N182" s="84">
        <f t="shared" si="222"/>
        <v>0</v>
      </c>
      <c r="O182" s="84">
        <f t="shared" si="222"/>
        <v>0</v>
      </c>
      <c r="P182" s="84">
        <f t="shared" si="222"/>
        <v>0</v>
      </c>
      <c r="Q182" s="84">
        <f t="shared" si="222"/>
        <v>0</v>
      </c>
      <c r="R182" s="391">
        <f t="shared" si="222"/>
        <v>0</v>
      </c>
      <c r="S182" s="84">
        <f t="shared" si="222"/>
        <v>0</v>
      </c>
      <c r="T182" s="84">
        <f t="shared" si="222"/>
        <v>0</v>
      </c>
      <c r="U182" s="84">
        <f t="shared" si="222"/>
        <v>0</v>
      </c>
      <c r="V182" s="84">
        <f t="shared" si="222"/>
        <v>0</v>
      </c>
      <c r="W182" s="84">
        <f t="shared" si="222"/>
        <v>0</v>
      </c>
      <c r="X182" s="84">
        <f t="shared" si="222"/>
        <v>0</v>
      </c>
      <c r="Y182" s="84">
        <f t="shared" si="222"/>
        <v>0</v>
      </c>
      <c r="Z182" s="84">
        <f t="shared" si="222"/>
        <v>0</v>
      </c>
      <c r="AA182" s="84">
        <f t="shared" si="222"/>
        <v>0</v>
      </c>
      <c r="AB182" s="84">
        <f t="shared" si="222"/>
        <v>0</v>
      </c>
      <c r="AC182" s="84">
        <f t="shared" si="222"/>
        <v>0</v>
      </c>
      <c r="AD182" s="84">
        <f t="shared" si="222"/>
        <v>0</v>
      </c>
      <c r="AE182" s="84">
        <f t="shared" si="222"/>
        <v>0</v>
      </c>
      <c r="AF182" s="84">
        <f t="shared" si="222"/>
        <v>0</v>
      </c>
      <c r="AG182" s="84">
        <f t="shared" si="222"/>
        <v>0</v>
      </c>
      <c r="AH182" s="84">
        <f t="shared" si="222"/>
        <v>0</v>
      </c>
      <c r="AI182" s="84">
        <f t="shared" si="222"/>
        <v>0</v>
      </c>
      <c r="AJ182" s="84">
        <f t="shared" si="222"/>
        <v>0</v>
      </c>
      <c r="AK182" s="84">
        <f t="shared" ref="AK182:AM183" si="223">AK63-AK157</f>
        <v>0</v>
      </c>
      <c r="AL182" s="84">
        <f t="shared" si="223"/>
        <v>0</v>
      </c>
      <c r="AM182" s="84">
        <f t="shared" si="223"/>
        <v>0</v>
      </c>
      <c r="AN182" s="84">
        <f t="shared" ref="AN182:AO182" si="224">AN63-AN157</f>
        <v>0</v>
      </c>
      <c r="AO182" s="84">
        <f t="shared" si="224"/>
        <v>0</v>
      </c>
      <c r="AP182" s="38"/>
      <c r="AQ182" s="38"/>
      <c r="AR182" s="31"/>
      <c r="AS182" s="31"/>
      <c r="AT182" s="31"/>
    </row>
    <row r="183" spans="1:46" ht="15" thickBot="1">
      <c r="A183" s="107" t="s">
        <v>5</v>
      </c>
      <c r="B183" s="108"/>
      <c r="C183" s="109"/>
      <c r="D183" s="390"/>
      <c r="E183" s="85">
        <f t="shared" ref="E183:AJ183" si="225">E64-E158</f>
        <v>0</v>
      </c>
      <c r="F183" s="85">
        <f t="shared" si="225"/>
        <v>0</v>
      </c>
      <c r="G183" s="85">
        <f t="shared" si="225"/>
        <v>0</v>
      </c>
      <c r="H183" s="85">
        <f t="shared" si="225"/>
        <v>0</v>
      </c>
      <c r="I183" s="85">
        <f t="shared" si="225"/>
        <v>0</v>
      </c>
      <c r="J183" s="85">
        <f t="shared" si="225"/>
        <v>0</v>
      </c>
      <c r="K183" s="85">
        <f t="shared" si="225"/>
        <v>0</v>
      </c>
      <c r="L183" s="85">
        <f t="shared" si="225"/>
        <v>0</v>
      </c>
      <c r="M183" s="85">
        <f t="shared" si="225"/>
        <v>0</v>
      </c>
      <c r="N183" s="85">
        <f t="shared" si="225"/>
        <v>0</v>
      </c>
      <c r="O183" s="85">
        <f t="shared" si="225"/>
        <v>0</v>
      </c>
      <c r="P183" s="85">
        <f t="shared" si="225"/>
        <v>0</v>
      </c>
      <c r="Q183" s="85">
        <f t="shared" si="225"/>
        <v>0</v>
      </c>
      <c r="R183" s="392">
        <f t="shared" si="225"/>
        <v>0</v>
      </c>
      <c r="S183" s="85">
        <f t="shared" si="225"/>
        <v>0</v>
      </c>
      <c r="T183" s="85">
        <f t="shared" si="225"/>
        <v>0</v>
      </c>
      <c r="U183" s="85">
        <f t="shared" si="225"/>
        <v>0</v>
      </c>
      <c r="V183" s="85">
        <f t="shared" si="225"/>
        <v>0</v>
      </c>
      <c r="W183" s="85">
        <f t="shared" si="225"/>
        <v>0</v>
      </c>
      <c r="X183" s="85">
        <f t="shared" si="225"/>
        <v>0</v>
      </c>
      <c r="Y183" s="85">
        <f t="shared" si="225"/>
        <v>0</v>
      </c>
      <c r="Z183" s="85">
        <f t="shared" si="225"/>
        <v>0</v>
      </c>
      <c r="AA183" s="85">
        <f t="shared" si="225"/>
        <v>0</v>
      </c>
      <c r="AB183" s="85">
        <f t="shared" si="225"/>
        <v>0</v>
      </c>
      <c r="AC183" s="85">
        <f t="shared" si="225"/>
        <v>0</v>
      </c>
      <c r="AD183" s="85">
        <f t="shared" si="225"/>
        <v>0</v>
      </c>
      <c r="AE183" s="85">
        <f t="shared" si="225"/>
        <v>0</v>
      </c>
      <c r="AF183" s="85">
        <f t="shared" si="225"/>
        <v>0</v>
      </c>
      <c r="AG183" s="85">
        <f t="shared" si="225"/>
        <v>0</v>
      </c>
      <c r="AH183" s="85">
        <f t="shared" si="225"/>
        <v>0</v>
      </c>
      <c r="AI183" s="85">
        <f t="shared" si="225"/>
        <v>0</v>
      </c>
      <c r="AJ183" s="85">
        <f t="shared" si="225"/>
        <v>0</v>
      </c>
      <c r="AK183" s="85">
        <f t="shared" si="223"/>
        <v>0</v>
      </c>
      <c r="AL183" s="85">
        <f t="shared" si="223"/>
        <v>0</v>
      </c>
      <c r="AM183" s="85">
        <f t="shared" si="223"/>
        <v>0</v>
      </c>
      <c r="AN183" s="85">
        <f t="shared" ref="AN183:AO183" si="226">AN64-AN158</f>
        <v>0</v>
      </c>
      <c r="AO183" s="85">
        <f t="shared" si="226"/>
        <v>0</v>
      </c>
      <c r="AP183" s="38"/>
      <c r="AQ183" s="38"/>
      <c r="AR183" s="31"/>
      <c r="AS183" s="31"/>
      <c r="AT183" s="31"/>
    </row>
    <row r="184" spans="1:46">
      <c r="F184" s="214"/>
      <c r="G184" s="214"/>
      <c r="H184" s="214"/>
      <c r="I184" s="214"/>
      <c r="J184" s="214"/>
      <c r="K184" s="214"/>
      <c r="L184" s="214"/>
      <c r="M184" s="214"/>
      <c r="N184" s="214"/>
      <c r="O184" s="214"/>
      <c r="P184" s="214"/>
      <c r="Q184" s="214"/>
      <c r="R184" s="214"/>
      <c r="S184" s="214"/>
      <c r="T184" s="214"/>
      <c r="U184" s="214"/>
      <c r="V184" s="214"/>
      <c r="W184" s="214"/>
      <c r="X184" s="214"/>
      <c r="Y184" s="214"/>
      <c r="Z184" s="214"/>
      <c r="AA184" s="214"/>
      <c r="AB184" s="214"/>
      <c r="AC184" s="214"/>
      <c r="AD184" s="355"/>
      <c r="AE184" s="416"/>
      <c r="AF184" s="422"/>
      <c r="AG184" s="422"/>
      <c r="AH184" s="422"/>
      <c r="AI184" s="422"/>
      <c r="AJ184" s="422"/>
      <c r="AK184" s="513"/>
      <c r="AL184" s="513"/>
      <c r="AM184" s="513"/>
      <c r="AN184" s="596"/>
      <c r="AO184" s="596"/>
    </row>
    <row r="185" spans="1:46">
      <c r="D185" t="s">
        <v>162</v>
      </c>
      <c r="F185" s="214"/>
      <c r="G185" s="214"/>
      <c r="H185" s="214"/>
      <c r="I185" s="214"/>
      <c r="J185" s="214"/>
      <c r="K185" s="214"/>
      <c r="L185" s="214"/>
      <c r="M185" s="214"/>
      <c r="N185" s="214"/>
      <c r="O185" s="214"/>
      <c r="P185" s="214"/>
      <c r="Q185" s="214"/>
      <c r="R185" s="214"/>
      <c r="S185" s="214"/>
      <c r="T185" s="214"/>
      <c r="U185" s="214"/>
      <c r="V185" s="214">
        <f>V170-156-V157</f>
        <v>0.70000000000000018</v>
      </c>
      <c r="W185" s="422">
        <f t="shared" ref="W185:AJ185" si="227">W170-156-W157</f>
        <v>-0.43759229000002087</v>
      </c>
      <c r="X185" s="422">
        <f t="shared" si="227"/>
        <v>-0.45999999999999552</v>
      </c>
      <c r="Y185" s="422">
        <f t="shared" si="227"/>
        <v>-9.650000000000011</v>
      </c>
      <c r="Z185" s="422">
        <f t="shared" si="227"/>
        <v>-16.452560549999994</v>
      </c>
      <c r="AA185" s="422">
        <f t="shared" si="227"/>
        <v>-1.4299999999999979</v>
      </c>
      <c r="AB185" s="422">
        <f t="shared" si="227"/>
        <v>-19.37</v>
      </c>
      <c r="AC185" s="422">
        <f t="shared" si="227"/>
        <v>-16.86999999999999</v>
      </c>
      <c r="AD185" s="422">
        <f t="shared" si="227"/>
        <v>-16.360000000000003</v>
      </c>
      <c r="AE185" s="422">
        <f t="shared" si="227"/>
        <v>-15.036438629999978</v>
      </c>
      <c r="AF185" s="422">
        <f t="shared" si="227"/>
        <v>-3.7013442100000171</v>
      </c>
      <c r="AG185" s="422">
        <f t="shared" si="227"/>
        <v>-4.2418739699999888</v>
      </c>
      <c r="AH185" s="422">
        <f t="shared" si="227"/>
        <v>-2.498846470000033</v>
      </c>
      <c r="AI185" s="422">
        <f t="shared" si="227"/>
        <v>-3.638615190000011</v>
      </c>
      <c r="AJ185" s="422">
        <f t="shared" si="227"/>
        <v>1.1422678500000094</v>
      </c>
      <c r="AK185" s="513">
        <f>AK170-156-AK157</f>
        <v>-0.69816339999998522</v>
      </c>
      <c r="AL185" s="513">
        <f>AL170-156-AL157</f>
        <v>-8.5078118299999943</v>
      </c>
      <c r="AM185" s="513">
        <f>AM170-156-AM157</f>
        <v>-3.1237280299999819</v>
      </c>
      <c r="AN185" s="596">
        <f>AN170-156-AN157</f>
        <v>-9.1141447899999974</v>
      </c>
      <c r="AO185" s="596">
        <f>AO170-156-AO157</f>
        <v>-7.8942777299999856</v>
      </c>
    </row>
    <row r="186" spans="1:46">
      <c r="T186" s="421"/>
      <c r="U186" s="421"/>
      <c r="X186" s="469"/>
      <c r="Y186" s="469"/>
      <c r="Z186" s="469"/>
      <c r="AA186" s="469"/>
      <c r="AB186" s="469"/>
      <c r="AC186" s="469"/>
      <c r="AD186" s="469"/>
      <c r="AE186" s="469"/>
      <c r="AF186" s="469"/>
      <c r="AG186" s="469"/>
      <c r="AH186" s="469"/>
      <c r="AI186" s="469"/>
      <c r="AJ186" s="469"/>
      <c r="AK186" s="513"/>
      <c r="AL186" s="513"/>
      <c r="AM186" s="513"/>
      <c r="AN186" s="596"/>
      <c r="AO186" s="596"/>
    </row>
    <row r="187" spans="1:46">
      <c r="V187" s="449"/>
      <c r="W187" s="449"/>
      <c r="X187" s="449"/>
      <c r="Y187" s="449"/>
      <c r="Z187" s="449"/>
      <c r="AA187" s="449"/>
      <c r="AB187" s="449"/>
      <c r="AC187" s="449"/>
      <c r="AD187" s="449"/>
      <c r="AE187" s="449"/>
      <c r="AF187" s="449"/>
      <c r="AG187" s="449"/>
      <c r="AH187" s="449"/>
      <c r="AI187" s="449"/>
    </row>
    <row r="198" spans="25:41">
      <c r="Y198" s="469"/>
      <c r="Z198" s="469"/>
      <c r="AA198" s="469"/>
      <c r="AB198" s="469"/>
      <c r="AC198" s="469"/>
      <c r="AD198" s="469"/>
      <c r="AE198" s="469"/>
      <c r="AF198" s="469"/>
      <c r="AG198" s="469"/>
      <c r="AH198" s="469"/>
      <c r="AI198" s="469"/>
      <c r="AJ198" s="469"/>
      <c r="AK198" s="513"/>
      <c r="AL198" s="513"/>
      <c r="AM198" s="513"/>
      <c r="AN198" s="596"/>
      <c r="AO198" s="596"/>
    </row>
    <row r="199" spans="25:41">
      <c r="Y199" s="469"/>
      <c r="Z199" s="469"/>
      <c r="AA199" s="469"/>
      <c r="AB199" s="469"/>
      <c r="AC199" s="469"/>
      <c r="AD199" s="469"/>
      <c r="AE199" s="469"/>
      <c r="AF199" s="469"/>
      <c r="AG199" s="469"/>
      <c r="AH199" s="469"/>
      <c r="AI199" s="469"/>
      <c r="AJ199" s="469"/>
      <c r="AK199" s="513"/>
      <c r="AL199" s="513"/>
      <c r="AM199" s="513"/>
      <c r="AN199" s="596"/>
      <c r="AO199" s="596"/>
    </row>
    <row r="200" spans="25:41">
      <c r="Y200" s="469"/>
      <c r="Z200" s="469"/>
      <c r="AA200" s="469"/>
      <c r="AB200" s="469"/>
      <c r="AC200" s="469"/>
      <c r="AD200" s="469"/>
      <c r="AE200" s="469"/>
      <c r="AF200" s="469"/>
      <c r="AG200" s="469"/>
      <c r="AH200" s="469"/>
      <c r="AI200" s="469"/>
      <c r="AJ200" s="469"/>
      <c r="AK200" s="513"/>
      <c r="AL200" s="513"/>
      <c r="AM200" s="513"/>
      <c r="AN200" s="596"/>
      <c r="AO200" s="596"/>
    </row>
    <row r="201" spans="25:41">
      <c r="Y201" s="469"/>
      <c r="Z201" s="469"/>
      <c r="AA201" s="469"/>
      <c r="AB201" s="469"/>
      <c r="AC201" s="469"/>
      <c r="AD201" s="469"/>
      <c r="AE201" s="469"/>
      <c r="AF201" s="469"/>
      <c r="AG201" s="469"/>
      <c r="AH201" s="469"/>
      <c r="AI201" s="469"/>
      <c r="AJ201" s="469"/>
      <c r="AK201" s="513"/>
      <c r="AL201" s="513"/>
      <c r="AM201" s="513"/>
      <c r="AN201" s="596"/>
      <c r="AO201" s="596"/>
    </row>
    <row r="202" spans="25:41">
      <c r="Y202" s="469"/>
      <c r="Z202" s="469"/>
      <c r="AA202" s="469"/>
      <c r="AB202" s="469"/>
      <c r="AC202" s="469"/>
      <c r="AD202" s="469"/>
      <c r="AE202" s="469"/>
      <c r="AF202" s="469"/>
      <c r="AG202" s="469"/>
      <c r="AH202" s="469"/>
      <c r="AI202" s="469"/>
      <c r="AJ202" s="469"/>
      <c r="AK202" s="513"/>
      <c r="AL202" s="513"/>
      <c r="AM202" s="513"/>
      <c r="AN202" s="596"/>
      <c r="AO202" s="596"/>
    </row>
    <row r="203" spans="25:41">
      <c r="Y203" s="469"/>
      <c r="Z203" s="469"/>
      <c r="AA203" s="469"/>
      <c r="AB203" s="469"/>
      <c r="AC203" s="469"/>
      <c r="AD203" s="469"/>
      <c r="AE203" s="469"/>
      <c r="AF203" s="469"/>
      <c r="AG203" s="469"/>
      <c r="AH203" s="469"/>
      <c r="AI203" s="469"/>
      <c r="AJ203" s="469"/>
      <c r="AK203" s="513"/>
      <c r="AL203" s="513"/>
      <c r="AM203" s="513"/>
      <c r="AN203" s="596"/>
      <c r="AO203" s="596"/>
    </row>
  </sheetData>
  <mergeCells count="41">
    <mergeCell ref="C64:D64"/>
    <mergeCell ref="A65:D65"/>
    <mergeCell ref="C60:D60"/>
    <mergeCell ref="C49:D49"/>
    <mergeCell ref="C55:D55"/>
    <mergeCell ref="C62:D62"/>
    <mergeCell ref="C57:D57"/>
    <mergeCell ref="C58:D58"/>
    <mergeCell ref="A3:B3"/>
    <mergeCell ref="A41:B41"/>
    <mergeCell ref="C41:D41"/>
    <mergeCell ref="C46:D46"/>
    <mergeCell ref="C48:D48"/>
    <mergeCell ref="C47:D47"/>
    <mergeCell ref="C42:D42"/>
    <mergeCell ref="C43:D43"/>
    <mergeCell ref="A27:B27"/>
    <mergeCell ref="A34:B34"/>
    <mergeCell ref="C44:D44"/>
    <mergeCell ref="C45:D45"/>
    <mergeCell ref="A77:D77"/>
    <mergeCell ref="A21:B21"/>
    <mergeCell ref="A13:B13"/>
    <mergeCell ref="A67:B67"/>
    <mergeCell ref="C67:D67"/>
    <mergeCell ref="C50:D50"/>
    <mergeCell ref="C51:D51"/>
    <mergeCell ref="A52:D52"/>
    <mergeCell ref="C56:D56"/>
    <mergeCell ref="A54:B54"/>
    <mergeCell ref="C54:D54"/>
    <mergeCell ref="C59:D59"/>
    <mergeCell ref="C61:D61"/>
    <mergeCell ref="C68:D68"/>
    <mergeCell ref="C69:D69"/>
    <mergeCell ref="C63:D63"/>
    <mergeCell ref="C72:D72"/>
    <mergeCell ref="C73:D73"/>
    <mergeCell ref="C74:D74"/>
    <mergeCell ref="C75:D75"/>
    <mergeCell ref="C76:D76"/>
  </mergeCells>
  <conditionalFormatting sqref="Q182:Q183 E181:AJ181">
    <cfRule type="colorScale" priority="67">
      <colorScale>
        <cfvo type="min"/>
        <cfvo type="percentile" val="50"/>
        <cfvo type="max"/>
        <color rgb="FFF8696B"/>
        <color rgb="FFFFEB84"/>
        <color rgb="FF63BE7B"/>
      </colorScale>
    </cfRule>
  </conditionalFormatting>
  <conditionalFormatting sqref="R182:AD183 E180:AJ180">
    <cfRule type="colorScale" priority="70">
      <colorScale>
        <cfvo type="min"/>
        <cfvo type="percentile" val="50"/>
        <cfvo type="max"/>
        <color rgb="FFF8696B"/>
        <color rgb="FFFFEB84"/>
        <color rgb="FF63BE7B"/>
      </colorScale>
    </cfRule>
  </conditionalFormatting>
  <conditionalFormatting sqref="E182:P183">
    <cfRule type="colorScale" priority="72">
      <colorScale>
        <cfvo type="min"/>
        <cfvo type="percentile" val="50"/>
        <cfvo type="max"/>
        <color rgb="FFF8696B"/>
        <color rgb="FFFFEB84"/>
        <color rgb="FF63BE7B"/>
      </colorScale>
    </cfRule>
  </conditionalFormatting>
  <conditionalFormatting sqref="A168:D168">
    <cfRule type="duplicateValues" dxfId="0" priority="30"/>
  </conditionalFormatting>
  <conditionalFormatting sqref="AE182:AE183">
    <cfRule type="colorScale" priority="29">
      <colorScale>
        <cfvo type="min"/>
        <cfvo type="percentile" val="50"/>
        <cfvo type="max"/>
        <color rgb="FFF8696B"/>
        <color rgb="FFFFEB84"/>
        <color rgb="FF63BE7B"/>
      </colorScale>
    </cfRule>
  </conditionalFormatting>
  <conditionalFormatting sqref="AF182:AF183">
    <cfRule type="colorScale" priority="27">
      <colorScale>
        <cfvo type="min"/>
        <cfvo type="percentile" val="50"/>
        <cfvo type="max"/>
        <color rgb="FFF8696B"/>
        <color rgb="FFFFEB84"/>
        <color rgb="FF63BE7B"/>
      </colorScale>
    </cfRule>
  </conditionalFormatting>
  <conditionalFormatting sqref="AG182:AG183">
    <cfRule type="colorScale" priority="25">
      <colorScale>
        <cfvo type="min"/>
        <cfvo type="percentile" val="50"/>
        <cfvo type="max"/>
        <color rgb="FFF8696B"/>
        <color rgb="FFFFEB84"/>
        <color rgb="FF63BE7B"/>
      </colorScale>
    </cfRule>
  </conditionalFormatting>
  <conditionalFormatting sqref="AH182:AH183">
    <cfRule type="colorScale" priority="23">
      <colorScale>
        <cfvo type="min"/>
        <cfvo type="percentile" val="50"/>
        <cfvo type="max"/>
        <color rgb="FFF8696B"/>
        <color rgb="FFFFEB84"/>
        <color rgb="FF63BE7B"/>
      </colorScale>
    </cfRule>
  </conditionalFormatting>
  <conditionalFormatting sqref="AI182:AI183">
    <cfRule type="colorScale" priority="21">
      <colorScale>
        <cfvo type="min"/>
        <cfvo type="percentile" val="50"/>
        <cfvo type="max"/>
        <color rgb="FFF8696B"/>
        <color rgb="FFFFEB84"/>
        <color rgb="FF63BE7B"/>
      </colorScale>
    </cfRule>
  </conditionalFormatting>
  <conditionalFormatting sqref="AJ182:AJ183">
    <cfRule type="colorScale" priority="19">
      <colorScale>
        <cfvo type="min"/>
        <cfvo type="percentile" val="50"/>
        <cfvo type="max"/>
        <color rgb="FFF8696B"/>
        <color rgb="FFFFEB84"/>
        <color rgb="FF63BE7B"/>
      </colorScale>
    </cfRule>
  </conditionalFormatting>
  <conditionalFormatting sqref="AK181">
    <cfRule type="colorScale" priority="14">
      <colorScale>
        <cfvo type="min"/>
        <cfvo type="percentile" val="50"/>
        <cfvo type="max"/>
        <color rgb="FFF8696B"/>
        <color rgb="FFFFEB84"/>
        <color rgb="FF63BE7B"/>
      </colorScale>
    </cfRule>
  </conditionalFormatting>
  <conditionalFormatting sqref="AK180">
    <cfRule type="colorScale" priority="15">
      <colorScale>
        <cfvo type="min"/>
        <cfvo type="percentile" val="50"/>
        <cfvo type="max"/>
        <color rgb="FFF8696B"/>
        <color rgb="FFFFEB84"/>
        <color rgb="FF63BE7B"/>
      </colorScale>
    </cfRule>
  </conditionalFormatting>
  <conditionalFormatting sqref="AK182:AK183">
    <cfRule type="colorScale" priority="13">
      <colorScale>
        <cfvo type="min"/>
        <cfvo type="percentile" val="50"/>
        <cfvo type="max"/>
        <color rgb="FFF8696B"/>
        <color rgb="FFFFEB84"/>
        <color rgb="FF63BE7B"/>
      </colorScale>
    </cfRule>
  </conditionalFormatting>
  <conditionalFormatting sqref="AL181">
    <cfRule type="colorScale" priority="11">
      <colorScale>
        <cfvo type="min"/>
        <cfvo type="percentile" val="50"/>
        <cfvo type="max"/>
        <color rgb="FFF8696B"/>
        <color rgb="FFFFEB84"/>
        <color rgb="FF63BE7B"/>
      </colorScale>
    </cfRule>
  </conditionalFormatting>
  <conditionalFormatting sqref="AL180">
    <cfRule type="colorScale" priority="12">
      <colorScale>
        <cfvo type="min"/>
        <cfvo type="percentile" val="50"/>
        <cfvo type="max"/>
        <color rgb="FFF8696B"/>
        <color rgb="FFFFEB84"/>
        <color rgb="FF63BE7B"/>
      </colorScale>
    </cfRule>
  </conditionalFormatting>
  <conditionalFormatting sqref="AL182:AL183">
    <cfRule type="colorScale" priority="10">
      <colorScale>
        <cfvo type="min"/>
        <cfvo type="percentile" val="50"/>
        <cfvo type="max"/>
        <color rgb="FFF8696B"/>
        <color rgb="FFFFEB84"/>
        <color rgb="FF63BE7B"/>
      </colorScale>
    </cfRule>
  </conditionalFormatting>
  <conditionalFormatting sqref="AM181">
    <cfRule type="colorScale" priority="8">
      <colorScale>
        <cfvo type="min"/>
        <cfvo type="percentile" val="50"/>
        <cfvo type="max"/>
        <color rgb="FFF8696B"/>
        <color rgb="FFFFEB84"/>
        <color rgb="FF63BE7B"/>
      </colorScale>
    </cfRule>
  </conditionalFormatting>
  <conditionalFormatting sqref="AM180">
    <cfRule type="colorScale" priority="9">
      <colorScale>
        <cfvo type="min"/>
        <cfvo type="percentile" val="50"/>
        <cfvo type="max"/>
        <color rgb="FFF8696B"/>
        <color rgb="FFFFEB84"/>
        <color rgb="FF63BE7B"/>
      </colorScale>
    </cfRule>
  </conditionalFormatting>
  <conditionalFormatting sqref="AM182:AM183">
    <cfRule type="colorScale" priority="7">
      <colorScale>
        <cfvo type="min"/>
        <cfvo type="percentile" val="50"/>
        <cfvo type="max"/>
        <color rgb="FFF8696B"/>
        <color rgb="FFFFEB84"/>
        <color rgb="FF63BE7B"/>
      </colorScale>
    </cfRule>
  </conditionalFormatting>
  <conditionalFormatting sqref="AN181">
    <cfRule type="colorScale" priority="5">
      <colorScale>
        <cfvo type="min"/>
        <cfvo type="percentile" val="50"/>
        <cfvo type="max"/>
        <color rgb="FFF8696B"/>
        <color rgb="FFFFEB84"/>
        <color rgb="FF63BE7B"/>
      </colorScale>
    </cfRule>
  </conditionalFormatting>
  <conditionalFormatting sqref="AN180">
    <cfRule type="colorScale" priority="6">
      <colorScale>
        <cfvo type="min"/>
        <cfvo type="percentile" val="50"/>
        <cfvo type="max"/>
        <color rgb="FFF8696B"/>
        <color rgb="FFFFEB84"/>
        <color rgb="FF63BE7B"/>
      </colorScale>
    </cfRule>
  </conditionalFormatting>
  <conditionalFormatting sqref="AN182:AN183">
    <cfRule type="colorScale" priority="4">
      <colorScale>
        <cfvo type="min"/>
        <cfvo type="percentile" val="50"/>
        <cfvo type="max"/>
        <color rgb="FFF8696B"/>
        <color rgb="FFFFEB84"/>
        <color rgb="FF63BE7B"/>
      </colorScale>
    </cfRule>
  </conditionalFormatting>
  <conditionalFormatting sqref="AO181">
    <cfRule type="colorScale" priority="2">
      <colorScale>
        <cfvo type="min"/>
        <cfvo type="percentile" val="50"/>
        <cfvo type="max"/>
        <color rgb="FFF8696B"/>
        <color rgb="FFFFEB84"/>
        <color rgb="FF63BE7B"/>
      </colorScale>
    </cfRule>
  </conditionalFormatting>
  <conditionalFormatting sqref="AO180">
    <cfRule type="colorScale" priority="3">
      <colorScale>
        <cfvo type="min"/>
        <cfvo type="percentile" val="50"/>
        <cfvo type="max"/>
        <color rgb="FFF8696B"/>
        <color rgb="FFFFEB84"/>
        <color rgb="FF63BE7B"/>
      </colorScale>
    </cfRule>
  </conditionalFormatting>
  <conditionalFormatting sqref="AO182:AO183">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CK37"/>
  <sheetViews>
    <sheetView zoomScaleNormal="100" workbookViewId="0">
      <pane xSplit="2" ySplit="3" topLeftCell="BO4" activePane="bottomRight" state="frozen"/>
      <selection activeCell="G41" sqref="G41"/>
      <selection pane="topRight" activeCell="G41" sqref="G41"/>
      <selection pane="bottomLeft" activeCell="G41" sqref="G41"/>
      <selection pane="bottomRight" activeCell="BP26" sqref="BP26"/>
    </sheetView>
  </sheetViews>
  <sheetFormatPr defaultColWidth="8.109375" defaultRowHeight="14.4"/>
  <cols>
    <col min="1" max="1" width="15" style="126" bestFit="1" customWidth="1"/>
    <col min="2" max="2" width="34.88671875" style="126" customWidth="1"/>
    <col min="3" max="9" width="8.109375" style="126" bestFit="1" customWidth="1"/>
    <col min="10" max="26" width="9.109375" style="126" customWidth="1"/>
    <col min="27" max="27" width="8.88671875" style="126" customWidth="1"/>
    <col min="28" max="28" width="10.109375" style="126" bestFit="1" customWidth="1"/>
    <col min="29" max="29" width="8.109375" style="126" customWidth="1"/>
    <col min="30" max="31" width="10.109375" style="126" bestFit="1" customWidth="1"/>
    <col min="32" max="32" width="8.109375" style="126" bestFit="1" customWidth="1"/>
    <col min="33" max="34" width="9.109375" style="126" customWidth="1"/>
    <col min="35" max="35" width="8.109375" style="126" bestFit="1" customWidth="1"/>
    <col min="36" max="79" width="9" style="126" customWidth="1"/>
    <col min="80" max="81" width="9" style="126" bestFit="1" customWidth="1"/>
    <col min="82" max="82" width="8.109375" style="126"/>
    <col min="83" max="87" width="9" style="126" bestFit="1" customWidth="1"/>
    <col min="88" max="16384" width="8.109375" style="126"/>
  </cols>
  <sheetData>
    <row r="1" spans="1:89">
      <c r="B1" s="148" t="s">
        <v>213</v>
      </c>
      <c r="AM1" s="127">
        <v>69</v>
      </c>
      <c r="AN1" s="127">
        <v>68.959999999999994</v>
      </c>
      <c r="AO1" s="127">
        <v>83</v>
      </c>
      <c r="AP1" s="127">
        <v>80.008456709956704</v>
      </c>
      <c r="AQ1" s="127">
        <v>80.637</v>
      </c>
      <c r="AR1" s="127">
        <v>78</v>
      </c>
      <c r="AS1" s="127">
        <v>85.386547619047604</v>
      </c>
      <c r="AT1" s="127">
        <v>83.894000000000005</v>
      </c>
      <c r="AU1" s="127">
        <v>82.285551948051932</v>
      </c>
      <c r="AV1" s="127">
        <v>80.510000000000005</v>
      </c>
      <c r="AW1" s="127">
        <v>82.3</v>
      </c>
      <c r="AX1" s="127">
        <v>85.6</v>
      </c>
      <c r="AY1" s="127">
        <v>80.5</v>
      </c>
      <c r="AZ1" s="127">
        <v>75.5</v>
      </c>
      <c r="BA1" s="127">
        <v>80.8</v>
      </c>
      <c r="BB1" s="127">
        <v>77.786000000000001</v>
      </c>
      <c r="BC1" s="127">
        <v>60.347000000000001</v>
      </c>
      <c r="BD1" s="127">
        <v>59.180454545454538</v>
      </c>
      <c r="BE1" s="127">
        <v>62.7</v>
      </c>
      <c r="BF1" s="127">
        <v>71.587909090909093</v>
      </c>
      <c r="BG1" s="127">
        <v>73.900000000000006</v>
      </c>
      <c r="BH1" s="127">
        <v>79.302000000000007</v>
      </c>
      <c r="BI1" s="127">
        <v>71.215000000000003</v>
      </c>
      <c r="BJ1" s="127">
        <v>69.162000000000006</v>
      </c>
      <c r="BK1" s="127">
        <v>81.400000000000006</v>
      </c>
      <c r="BL1" s="127">
        <v>73.696513482172435</v>
      </c>
      <c r="BM1" s="127">
        <v>82.295560574202909</v>
      </c>
      <c r="BN1" s="127">
        <v>78.086476881859795</v>
      </c>
      <c r="BO1" s="127">
        <v>82.831999999999994</v>
      </c>
      <c r="BP1" s="127">
        <v>78.059999999999988</v>
      </c>
      <c r="BQ1" s="127">
        <v>63.390738636363636</v>
      </c>
      <c r="BR1" s="127">
        <v>76.944999999999993</v>
      </c>
      <c r="BS1" s="127">
        <v>71.358999999999995</v>
      </c>
      <c r="BT1" s="127">
        <v>64.580317311041441</v>
      </c>
      <c r="BU1" s="127">
        <v>72.844310663404428</v>
      </c>
      <c r="BV1" s="127">
        <v>74.768213718344072</v>
      </c>
      <c r="BW1" s="127">
        <v>74.768213718344072</v>
      </c>
      <c r="BX1" s="127">
        <v>67.532580132697873</v>
      </c>
      <c r="BY1" s="127">
        <v>74.774213718344072</v>
      </c>
      <c r="BZ1" s="127">
        <v>72.359335856461996</v>
      </c>
      <c r="CA1" s="127">
        <v>72.359335856461996</v>
      </c>
    </row>
    <row r="2" spans="1:89" ht="15" thickBot="1">
      <c r="AM2" s="344">
        <f>AM6-AM1</f>
        <v>0.93000000000000682</v>
      </c>
      <c r="AN2" s="344">
        <f>AN6-AN1</f>
        <v>1.3840000000000003</v>
      </c>
      <c r="AO2" s="344">
        <f t="shared" ref="AO2:BP2" si="0">AO6-AO1</f>
        <v>1</v>
      </c>
      <c r="AP2" s="344">
        <f t="shared" si="0"/>
        <v>0.99154329004329611</v>
      </c>
      <c r="AQ2" s="344">
        <f t="shared" si="0"/>
        <v>0</v>
      </c>
      <c r="AR2" s="344">
        <f t="shared" si="0"/>
        <v>0</v>
      </c>
      <c r="AS2" s="344">
        <f t="shared" si="0"/>
        <v>-0.9865476190475988</v>
      </c>
      <c r="AT2" s="344">
        <f t="shared" si="0"/>
        <v>0</v>
      </c>
      <c r="AU2" s="344">
        <f t="shared" si="0"/>
        <v>-1.6015519480519345</v>
      </c>
      <c r="AV2" s="344">
        <f t="shared" si="0"/>
        <v>0.78999999999999204</v>
      </c>
      <c r="AW2" s="344">
        <f t="shared" si="0"/>
        <v>0.70000000000000284</v>
      </c>
      <c r="AX2" s="344">
        <f t="shared" si="0"/>
        <v>0</v>
      </c>
      <c r="AY2" s="344">
        <f t="shared" si="0"/>
        <v>0</v>
      </c>
      <c r="AZ2" s="344">
        <f t="shared" si="0"/>
        <v>-5.7000000000000028</v>
      </c>
      <c r="BA2" s="344">
        <f t="shared" si="0"/>
        <v>0</v>
      </c>
      <c r="BB2" s="344">
        <f t="shared" si="0"/>
        <v>-13.286000000000001</v>
      </c>
      <c r="BC2" s="344">
        <f t="shared" si="0"/>
        <v>-3.1829999999999998</v>
      </c>
      <c r="BD2" s="344">
        <f>BD6-BD1</f>
        <v>2.0195454545454652</v>
      </c>
      <c r="BE2" s="344">
        <f>BE6-BE1</f>
        <v>3.5</v>
      </c>
      <c r="BF2" s="344">
        <f>BF6-BF1</f>
        <v>2.8710909090909098</v>
      </c>
      <c r="BG2" s="344">
        <f>BG6-BG1</f>
        <v>2.6999999999999886</v>
      </c>
      <c r="BH2" s="344">
        <f>BH6-BH1</f>
        <v>-1.2310000000000088</v>
      </c>
      <c r="BI2" s="344">
        <f t="shared" si="0"/>
        <v>0.86399999999999011</v>
      </c>
      <c r="BJ2" s="344">
        <f t="shared" si="0"/>
        <v>9.8379999999999939</v>
      </c>
      <c r="BK2" s="344">
        <f t="shared" si="0"/>
        <v>0.48458356309541273</v>
      </c>
      <c r="BL2" s="344">
        <f t="shared" si="0"/>
        <v>0.39782810199932328</v>
      </c>
      <c r="BM2" s="344">
        <f t="shared" si="0"/>
        <v>-0.34890938240690161</v>
      </c>
      <c r="BN2" s="344">
        <f t="shared" si="0"/>
        <v>-3.7664342467194984</v>
      </c>
      <c r="BO2" s="344">
        <f t="shared" si="0"/>
        <v>-2.1319999999999908</v>
      </c>
      <c r="BP2" s="344">
        <f t="shared" si="0"/>
        <v>-5.9999999999988063E-2</v>
      </c>
      <c r="BQ2" s="344">
        <f t="shared" ref="BQ2:BW2" si="1">BQ6-BQ1</f>
        <v>0.37126136363636419</v>
      </c>
      <c r="BR2" s="344">
        <f t="shared" si="1"/>
        <v>3.3449999999999989</v>
      </c>
      <c r="BS2" s="428">
        <f t="shared" si="1"/>
        <v>0.23099999999999454</v>
      </c>
      <c r="BT2" s="428">
        <f t="shared" si="1"/>
        <v>0</v>
      </c>
      <c r="BU2" s="428">
        <f t="shared" si="1"/>
        <v>0</v>
      </c>
      <c r="BV2" s="428">
        <f t="shared" si="1"/>
        <v>0</v>
      </c>
      <c r="BW2" s="471">
        <f t="shared" si="1"/>
        <v>-1.0677777777777777</v>
      </c>
      <c r="BX2" s="471">
        <f t="shared" ref="BX2:BY2" si="2">BX6-BX1</f>
        <v>-0.96444444444443889</v>
      </c>
      <c r="BY2" s="541">
        <f t="shared" si="2"/>
        <v>-1.0677777777777777</v>
      </c>
      <c r="BZ2" s="541">
        <f t="shared" ref="BZ2:CA2" si="3">BZ6-BZ1</f>
        <v>-1.0333333333333314</v>
      </c>
      <c r="CA2" s="541">
        <f t="shared" si="3"/>
        <v>1.3471000841042979</v>
      </c>
    </row>
    <row r="3" spans="1:89" ht="15" thickBot="1">
      <c r="A3" s="662" t="s">
        <v>52</v>
      </c>
      <c r="B3" s="663"/>
      <c r="C3" s="128">
        <v>42370</v>
      </c>
      <c r="D3" s="129">
        <v>42401</v>
      </c>
      <c r="E3" s="128">
        <v>42430</v>
      </c>
      <c r="F3" s="129">
        <v>42461</v>
      </c>
      <c r="G3" s="128">
        <v>42491</v>
      </c>
      <c r="H3" s="129">
        <v>42522</v>
      </c>
      <c r="I3" s="130">
        <v>42552</v>
      </c>
      <c r="J3" s="129">
        <v>42583</v>
      </c>
      <c r="K3" s="129">
        <v>42614</v>
      </c>
      <c r="L3" s="131">
        <v>42644</v>
      </c>
      <c r="M3" s="132">
        <v>42675</v>
      </c>
      <c r="N3" s="129">
        <v>42705</v>
      </c>
      <c r="O3" s="133">
        <v>42736</v>
      </c>
      <c r="P3" s="133">
        <v>42767</v>
      </c>
      <c r="Q3" s="134">
        <v>42795</v>
      </c>
      <c r="R3" s="135">
        <v>42826</v>
      </c>
      <c r="S3" s="136">
        <v>42856</v>
      </c>
      <c r="T3" s="135">
        <v>42887</v>
      </c>
      <c r="U3" s="137">
        <v>42917</v>
      </c>
      <c r="V3" s="135">
        <v>42948</v>
      </c>
      <c r="W3" s="137">
        <v>42979</v>
      </c>
      <c r="X3" s="135">
        <v>43009</v>
      </c>
      <c r="Y3" s="137">
        <v>43040</v>
      </c>
      <c r="Z3" s="137">
        <v>43070</v>
      </c>
      <c r="AA3" s="137">
        <v>43101</v>
      </c>
      <c r="AB3" s="137">
        <v>43132</v>
      </c>
      <c r="AC3" s="137">
        <v>43160</v>
      </c>
      <c r="AD3" s="137">
        <v>43191</v>
      </c>
      <c r="AE3" s="137">
        <v>43221</v>
      </c>
      <c r="AF3" s="137">
        <v>43252</v>
      </c>
      <c r="AG3" s="137">
        <v>43282</v>
      </c>
      <c r="AH3" s="137">
        <v>43313</v>
      </c>
      <c r="AI3" s="137">
        <v>43344</v>
      </c>
      <c r="AJ3" s="137">
        <v>43374</v>
      </c>
      <c r="AK3" s="137">
        <v>43405</v>
      </c>
      <c r="AL3" s="137">
        <v>43435</v>
      </c>
      <c r="AM3" s="137">
        <v>43466</v>
      </c>
      <c r="AN3" s="137">
        <v>43497</v>
      </c>
      <c r="AO3" s="137">
        <v>43525</v>
      </c>
      <c r="AP3" s="137">
        <v>43556</v>
      </c>
      <c r="AQ3" s="137">
        <v>43586</v>
      </c>
      <c r="AR3" s="137">
        <v>43617</v>
      </c>
      <c r="AS3" s="137">
        <v>43647</v>
      </c>
      <c r="AT3" s="137">
        <v>43678</v>
      </c>
      <c r="AU3" s="137">
        <v>43709</v>
      </c>
      <c r="AV3" s="137">
        <v>43739</v>
      </c>
      <c r="AW3" s="137">
        <v>43770</v>
      </c>
      <c r="AX3" s="137">
        <v>43800</v>
      </c>
      <c r="AY3" s="137">
        <v>43831</v>
      </c>
      <c r="AZ3" s="137">
        <v>43862</v>
      </c>
      <c r="BA3" s="137">
        <v>43891</v>
      </c>
      <c r="BB3" s="138">
        <v>43922</v>
      </c>
      <c r="BC3" s="353">
        <v>43952</v>
      </c>
      <c r="BD3" s="353">
        <v>43983</v>
      </c>
      <c r="BE3" s="138">
        <v>44013</v>
      </c>
      <c r="BF3" s="138">
        <v>44044</v>
      </c>
      <c r="BG3" s="138">
        <v>44075</v>
      </c>
      <c r="BH3" s="138">
        <v>44105</v>
      </c>
      <c r="BI3" s="138">
        <v>44136</v>
      </c>
      <c r="BJ3" s="138">
        <v>44166</v>
      </c>
      <c r="BK3" s="138">
        <v>44197</v>
      </c>
      <c r="BL3" s="138">
        <v>44228</v>
      </c>
      <c r="BM3" s="138">
        <v>44256</v>
      </c>
      <c r="BN3" s="138">
        <v>44287</v>
      </c>
      <c r="BO3" s="138">
        <v>44317</v>
      </c>
      <c r="BP3" s="138">
        <v>44348</v>
      </c>
      <c r="BQ3" s="138">
        <v>44378</v>
      </c>
      <c r="BR3" s="138">
        <v>44409</v>
      </c>
      <c r="BS3" s="138">
        <v>44440</v>
      </c>
      <c r="BT3" s="138">
        <v>44470</v>
      </c>
      <c r="BU3" s="138">
        <v>44501</v>
      </c>
      <c r="BV3" s="138">
        <v>44531</v>
      </c>
      <c r="BW3" s="138">
        <v>44562</v>
      </c>
      <c r="BX3" s="138">
        <v>44593</v>
      </c>
      <c r="BY3" s="138">
        <v>44621</v>
      </c>
      <c r="BZ3" s="138">
        <v>44652</v>
      </c>
      <c r="CA3" s="138">
        <v>44682</v>
      </c>
    </row>
    <row r="4" spans="1:89">
      <c r="A4" s="139"/>
      <c r="B4" s="139"/>
      <c r="C4" s="140"/>
      <c r="D4" s="140"/>
      <c r="E4" s="140"/>
      <c r="F4" s="140"/>
      <c r="G4" s="140"/>
      <c r="H4" s="141"/>
      <c r="I4" s="141"/>
      <c r="J4" s="141"/>
      <c r="K4" s="141"/>
      <c r="L4" s="141"/>
      <c r="M4" s="141"/>
      <c r="N4" s="141"/>
      <c r="O4" s="141">
        <v>31</v>
      </c>
      <c r="P4" s="141">
        <v>28</v>
      </c>
      <c r="Q4" s="141">
        <v>31</v>
      </c>
      <c r="R4" s="142">
        <v>30</v>
      </c>
      <c r="S4" s="142">
        <v>31</v>
      </c>
      <c r="T4" s="142">
        <v>30</v>
      </c>
      <c r="U4" s="142">
        <v>31</v>
      </c>
      <c r="V4" s="142">
        <v>31</v>
      </c>
      <c r="W4" s="142">
        <v>30</v>
      </c>
      <c r="X4" s="142">
        <v>31</v>
      </c>
      <c r="Y4" s="142">
        <v>30</v>
      </c>
      <c r="Z4" s="142">
        <v>31</v>
      </c>
      <c r="AA4" s="142">
        <v>31</v>
      </c>
      <c r="AB4" s="142">
        <v>28</v>
      </c>
      <c r="AC4" s="143">
        <v>31</v>
      </c>
      <c r="AD4" s="143">
        <v>30</v>
      </c>
      <c r="AE4" s="143">
        <v>31</v>
      </c>
      <c r="AF4" s="143">
        <v>30</v>
      </c>
      <c r="AG4" s="143">
        <v>31</v>
      </c>
      <c r="AH4" s="143">
        <v>31</v>
      </c>
      <c r="AI4" s="143">
        <v>30</v>
      </c>
      <c r="AJ4" s="143">
        <v>31</v>
      </c>
      <c r="AK4" s="143">
        <v>30</v>
      </c>
      <c r="AL4" s="143">
        <v>31</v>
      </c>
      <c r="AM4" s="143">
        <v>31</v>
      </c>
      <c r="AN4" s="143">
        <v>28</v>
      </c>
      <c r="AO4" s="143">
        <v>31</v>
      </c>
      <c r="AP4" s="143">
        <v>30</v>
      </c>
      <c r="AQ4" s="143">
        <v>31</v>
      </c>
      <c r="AR4" s="143">
        <v>30</v>
      </c>
      <c r="AS4" s="143">
        <v>31</v>
      </c>
      <c r="AT4" s="143">
        <v>31</v>
      </c>
      <c r="AU4" s="143">
        <v>30</v>
      </c>
      <c r="AV4" s="143">
        <v>31</v>
      </c>
      <c r="AW4" s="143">
        <v>30</v>
      </c>
      <c r="AX4" s="143">
        <v>31</v>
      </c>
      <c r="AY4" s="143">
        <v>31</v>
      </c>
      <c r="AZ4" s="143">
        <v>29</v>
      </c>
      <c r="BA4" s="143">
        <v>31</v>
      </c>
      <c r="BB4" s="143">
        <v>30</v>
      </c>
      <c r="BC4" s="143">
        <v>31</v>
      </c>
      <c r="BD4" s="143">
        <v>30</v>
      </c>
      <c r="BE4" s="143">
        <v>31</v>
      </c>
      <c r="BF4" s="143">
        <v>31</v>
      </c>
      <c r="BG4" s="143">
        <v>30</v>
      </c>
      <c r="BH4" s="143">
        <v>31</v>
      </c>
      <c r="BI4" s="143">
        <v>30</v>
      </c>
      <c r="BJ4" s="143">
        <v>31</v>
      </c>
      <c r="BK4" s="143">
        <v>31</v>
      </c>
      <c r="BL4" s="548">
        <v>28</v>
      </c>
      <c r="BM4" s="548">
        <v>31</v>
      </c>
      <c r="BN4" s="548">
        <v>30</v>
      </c>
      <c r="BO4" s="548">
        <v>31</v>
      </c>
      <c r="BP4" s="548">
        <v>30</v>
      </c>
      <c r="BQ4" s="548">
        <v>31</v>
      </c>
      <c r="BR4" s="548">
        <v>31</v>
      </c>
      <c r="BS4" s="548">
        <v>30</v>
      </c>
      <c r="BT4" s="548">
        <v>31</v>
      </c>
      <c r="BU4" s="548">
        <v>30</v>
      </c>
      <c r="BV4" s="548">
        <v>31</v>
      </c>
      <c r="BW4" s="548">
        <v>31</v>
      </c>
      <c r="BX4" s="548">
        <v>28</v>
      </c>
      <c r="BY4" s="548">
        <v>31</v>
      </c>
      <c r="BZ4" s="548">
        <v>30</v>
      </c>
      <c r="CA4" s="548">
        <v>30</v>
      </c>
      <c r="CB4" s="126" t="s">
        <v>53</v>
      </c>
      <c r="CC4" s="126" t="s">
        <v>43</v>
      </c>
      <c r="CE4" s="452" t="s">
        <v>53</v>
      </c>
      <c r="CF4" s="453" t="s">
        <v>43</v>
      </c>
      <c r="CG4" s="452" t="s">
        <v>53</v>
      </c>
      <c r="CH4" s="453" t="s">
        <v>43</v>
      </c>
    </row>
    <row r="5" spans="1:89" ht="15" thickBot="1">
      <c r="A5" s="139"/>
      <c r="B5" s="139"/>
      <c r="C5" s="140"/>
      <c r="D5" s="140"/>
      <c r="E5" s="140"/>
      <c r="F5" s="140"/>
      <c r="G5" s="140"/>
      <c r="H5" s="141"/>
      <c r="I5" s="141"/>
      <c r="J5" s="141"/>
      <c r="K5" s="141"/>
      <c r="L5" s="141"/>
      <c r="M5" s="141"/>
      <c r="N5" s="141"/>
      <c r="O5" s="141"/>
      <c r="P5" s="141"/>
      <c r="Q5" s="144">
        <v>87.28</v>
      </c>
      <c r="R5" s="144">
        <v>80.59</v>
      </c>
      <c r="S5" s="144"/>
      <c r="T5" s="144"/>
      <c r="U5" s="144"/>
      <c r="V5" s="145"/>
      <c r="W5" s="144"/>
      <c r="X5" s="144"/>
      <c r="Y5" s="144"/>
      <c r="Z5" s="144"/>
      <c r="AA5" s="144"/>
      <c r="AB5" s="144"/>
      <c r="AC5" s="146"/>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7">
        <v>2019</v>
      </c>
      <c r="CE5" s="454">
        <v>2020</v>
      </c>
      <c r="CF5" s="455">
        <v>2020</v>
      </c>
      <c r="CG5" s="454">
        <v>2021</v>
      </c>
      <c r="CH5" s="455">
        <v>2021</v>
      </c>
    </row>
    <row r="6" spans="1:89" s="147" customFormat="1" ht="15" thickBot="1">
      <c r="A6" s="148" t="s">
        <v>54</v>
      </c>
      <c r="B6" s="423" t="s">
        <v>217</v>
      </c>
      <c r="C6" s="149"/>
      <c r="D6" s="150">
        <v>81.403073829000007</v>
      </c>
      <c r="E6" s="150">
        <v>82.923235591999997</v>
      </c>
      <c r="F6" s="150">
        <v>88.145956060999993</v>
      </c>
      <c r="G6" s="150">
        <v>86.867129508999994</v>
      </c>
      <c r="H6" s="150">
        <v>85.79563047900001</v>
      </c>
      <c r="I6" s="150">
        <v>90.18</v>
      </c>
      <c r="J6" s="151">
        <v>86.242000000000004</v>
      </c>
      <c r="K6" s="150">
        <v>87.343999999999994</v>
      </c>
      <c r="L6" s="150">
        <v>91.8</v>
      </c>
      <c r="M6" s="152">
        <v>87.174999999999997</v>
      </c>
      <c r="N6" s="150">
        <v>88.4</v>
      </c>
      <c r="O6" s="152">
        <v>87.058000000000007</v>
      </c>
      <c r="P6" s="150">
        <v>80.992999999999995</v>
      </c>
      <c r="Q6" s="150">
        <v>90.6</v>
      </c>
      <c r="R6" s="153">
        <v>76.8</v>
      </c>
      <c r="S6" s="154">
        <v>86.93</v>
      </c>
      <c r="T6" s="155">
        <v>79.861000000000004</v>
      </c>
      <c r="U6" s="156">
        <v>76.353999999999999</v>
      </c>
      <c r="V6" s="156">
        <v>82.415999999999997</v>
      </c>
      <c r="W6" s="156">
        <v>77.09</v>
      </c>
      <c r="X6" s="156">
        <f>88.073</f>
        <v>88.072999999999993</v>
      </c>
      <c r="Y6" s="156">
        <v>90.5</v>
      </c>
      <c r="Z6" s="156">
        <v>89.215999999999994</v>
      </c>
      <c r="AA6" s="156">
        <v>86.5</v>
      </c>
      <c r="AB6" s="156">
        <v>75.268000000000001</v>
      </c>
      <c r="AC6" s="156">
        <v>82</v>
      </c>
      <c r="AD6" s="156">
        <v>77.295000000000002</v>
      </c>
      <c r="AE6" s="156">
        <v>82.748999999999995</v>
      </c>
      <c r="AF6" s="156">
        <v>81.87</v>
      </c>
      <c r="AG6" s="156">
        <v>80.123000000000005</v>
      </c>
      <c r="AH6" s="156">
        <v>82.5</v>
      </c>
      <c r="AI6" s="157">
        <v>72.971090909090918</v>
      </c>
      <c r="AJ6" s="156">
        <v>82.519000000000005</v>
      </c>
      <c r="AK6" s="156">
        <v>78.2</v>
      </c>
      <c r="AL6" s="156">
        <v>79.95</v>
      </c>
      <c r="AM6" s="156">
        <v>69.930000000000007</v>
      </c>
      <c r="AN6" s="156">
        <v>70.343999999999994</v>
      </c>
      <c r="AO6" s="156">
        <v>84</v>
      </c>
      <c r="AP6" s="156">
        <v>81</v>
      </c>
      <c r="AQ6" s="156">
        <v>80.637</v>
      </c>
      <c r="AR6" s="156">
        <v>78</v>
      </c>
      <c r="AS6" s="156">
        <v>84.4</v>
      </c>
      <c r="AT6" s="156">
        <v>83.894000000000005</v>
      </c>
      <c r="AU6" s="156">
        <v>80.683999999999997</v>
      </c>
      <c r="AV6" s="156">
        <v>81.3</v>
      </c>
      <c r="AW6" s="156">
        <v>83</v>
      </c>
      <c r="AX6" s="156">
        <v>85.6</v>
      </c>
      <c r="AY6" s="156">
        <v>80.5</v>
      </c>
      <c r="AZ6" s="156">
        <v>69.8</v>
      </c>
      <c r="BA6" s="252">
        <v>80.8</v>
      </c>
      <c r="BB6" s="347">
        <v>64.5</v>
      </c>
      <c r="BC6" s="253">
        <v>57.164000000000001</v>
      </c>
      <c r="BD6" s="253">
        <v>61.2</v>
      </c>
      <c r="BE6" s="420">
        <v>66.2</v>
      </c>
      <c r="BF6" s="424">
        <v>74.459000000000003</v>
      </c>
      <c r="BG6" s="424">
        <v>76.599999999999994</v>
      </c>
      <c r="BH6" s="424">
        <v>78.070999999999998</v>
      </c>
      <c r="BI6" s="424">
        <v>72.078999999999994</v>
      </c>
      <c r="BJ6" s="424">
        <v>79</v>
      </c>
      <c r="BK6" s="424">
        <v>81.884583563095418</v>
      </c>
      <c r="BL6" s="424">
        <v>74.094341584171758</v>
      </c>
      <c r="BM6" s="424">
        <v>81.946651191796008</v>
      </c>
      <c r="BN6" s="424">
        <f>77.8200426351403-2-1.5</f>
        <v>74.320042635140297</v>
      </c>
      <c r="BO6" s="424">
        <v>80.7</v>
      </c>
      <c r="BP6" s="424">
        <v>78</v>
      </c>
      <c r="BQ6" s="424">
        <v>63.762</v>
      </c>
      <c r="BR6" s="424">
        <v>80.289999999999992</v>
      </c>
      <c r="BS6" s="424">
        <v>71.589999999999989</v>
      </c>
      <c r="BT6" s="424">
        <v>64.580317311041441</v>
      </c>
      <c r="BU6" s="424">
        <v>72.844310663404428</v>
      </c>
      <c r="BV6" s="424">
        <v>74.768213718344072</v>
      </c>
      <c r="BW6" s="424">
        <v>73.700435940566294</v>
      </c>
      <c r="BX6" s="424">
        <v>66.568135688253435</v>
      </c>
      <c r="BY6" s="424">
        <v>73.706435940566294</v>
      </c>
      <c r="BZ6" s="424">
        <v>71.326002523128665</v>
      </c>
      <c r="CA6" s="424">
        <v>73.706435940566294</v>
      </c>
      <c r="CB6" s="158">
        <v>73.448999999999998</v>
      </c>
      <c r="CC6" s="158">
        <f>CB6*0.648</f>
        <v>47.594951999999999</v>
      </c>
      <c r="CD6" s="234"/>
      <c r="CE6" s="456">
        <f>SUM(AY6:BJ6)</f>
        <v>860.37300000000005</v>
      </c>
      <c r="CF6" s="457">
        <f>CE6*0.648</f>
        <v>557.521704</v>
      </c>
      <c r="CG6" s="456">
        <f>SUM(BK6:BV6)</f>
        <v>898.78046066699346</v>
      </c>
      <c r="CH6" s="457">
        <f>CG6*0.648</f>
        <v>582.40973851221179</v>
      </c>
    </row>
    <row r="7" spans="1:89" s="147" customFormat="1">
      <c r="A7" s="664" t="s">
        <v>55</v>
      </c>
      <c r="B7" s="417" t="s">
        <v>56</v>
      </c>
      <c r="C7" s="159">
        <v>53.985610000000001</v>
      </c>
      <c r="D7" s="160">
        <v>45.941310999999999</v>
      </c>
      <c r="E7" s="160">
        <v>46.670610000000003</v>
      </c>
      <c r="F7" s="160">
        <v>49.345337000000001</v>
      </c>
      <c r="G7" s="160">
        <v>50.110622999999997</v>
      </c>
      <c r="H7" s="160">
        <v>50.597169999999998</v>
      </c>
      <c r="I7" s="161">
        <v>52.5</v>
      </c>
      <c r="J7" s="162">
        <v>52.5</v>
      </c>
      <c r="K7" s="161">
        <v>52.5</v>
      </c>
      <c r="L7" s="161">
        <v>55</v>
      </c>
      <c r="M7" s="163">
        <v>58</v>
      </c>
      <c r="N7" s="161">
        <v>55.648000000000003</v>
      </c>
      <c r="O7" s="161">
        <v>31</v>
      </c>
      <c r="P7" s="161">
        <v>28.548999999999999</v>
      </c>
      <c r="Q7" s="162">
        <v>30</v>
      </c>
      <c r="R7" s="162">
        <v>26.234000000000002</v>
      </c>
      <c r="S7" s="162">
        <v>21.6</v>
      </c>
      <c r="T7" s="162">
        <v>4.5999999999999996</v>
      </c>
      <c r="U7" s="162">
        <v>23</v>
      </c>
      <c r="V7" s="162">
        <v>25</v>
      </c>
      <c r="W7" s="162">
        <v>21.5</v>
      </c>
      <c r="X7" s="162">
        <f>27.8+3.4</f>
        <v>31.2</v>
      </c>
      <c r="Y7" s="162">
        <v>34</v>
      </c>
      <c r="Z7" s="162">
        <f>33.179+2</f>
        <v>35.179000000000002</v>
      </c>
      <c r="AA7" s="164">
        <f>1000*AA4/1000</f>
        <v>31</v>
      </c>
      <c r="AB7" s="165">
        <f>1050*AB4/1000</f>
        <v>29.4</v>
      </c>
      <c r="AC7" s="165">
        <v>23.6</v>
      </c>
      <c r="AD7" s="165">
        <v>27.78</v>
      </c>
      <c r="AE7" s="165">
        <v>23</v>
      </c>
      <c r="AF7" s="165">
        <v>28.56</v>
      </c>
      <c r="AG7" s="165">
        <v>27.32</v>
      </c>
      <c r="AH7" s="165">
        <v>22.5</v>
      </c>
      <c r="AI7" s="166">
        <v>15</v>
      </c>
      <c r="AJ7" s="165">
        <v>23.8</v>
      </c>
      <c r="AK7" s="165">
        <f>23/0.648</f>
        <v>35.493827160493829</v>
      </c>
      <c r="AL7" s="165">
        <f>19.5/0.648</f>
        <v>30.092592592592592</v>
      </c>
      <c r="AM7" s="165">
        <f>12/0.648</f>
        <v>18.518518518518519</v>
      </c>
      <c r="AN7" s="165">
        <f>15/0.648</f>
        <v>23.148148148148149</v>
      </c>
      <c r="AO7" s="165">
        <f>21/0.648</f>
        <v>32.407407407407405</v>
      </c>
      <c r="AP7" s="165">
        <f>21/0.648</f>
        <v>32.407407407407405</v>
      </c>
      <c r="AQ7" s="165">
        <f>17/0.648</f>
        <v>26.234567901234566</v>
      </c>
      <c r="AR7" s="165">
        <f>19/0.648</f>
        <v>29.320987654320987</v>
      </c>
      <c r="AS7" s="165">
        <f>18.5/0.648</f>
        <v>28.549382716049383</v>
      </c>
      <c r="AT7" s="165">
        <f>20/0.648</f>
        <v>30.864197530864196</v>
      </c>
      <c r="AU7" s="165">
        <f>19/0.648</f>
        <v>29.320987654320987</v>
      </c>
      <c r="AV7" s="165">
        <f>18/0.648</f>
        <v>27.777777777777779</v>
      </c>
      <c r="AW7" s="165">
        <f>17.5/0.648</f>
        <v>27.006172839506171</v>
      </c>
      <c r="AX7" s="165">
        <v>32.407407407407398</v>
      </c>
      <c r="AY7" s="165">
        <f>(15+3+1)/0.648</f>
        <v>29.320987654320987</v>
      </c>
      <c r="AZ7" s="165">
        <f>5.8/0.648</f>
        <v>8.9506172839506171</v>
      </c>
      <c r="BA7" s="172">
        <f>(22.5+2.7)/0.648</f>
        <v>38.888888888888886</v>
      </c>
      <c r="BB7" s="172">
        <f>15/0.648</f>
        <v>23.148148148148149</v>
      </c>
      <c r="BC7" s="172">
        <f>9/0.648</f>
        <v>13.888888888888889</v>
      </c>
      <c r="BD7" s="172">
        <f>5/0.648</f>
        <v>7.716049382716049</v>
      </c>
      <c r="BE7" s="172">
        <f>5/0.648</f>
        <v>7.716049382716049</v>
      </c>
      <c r="BF7" s="172">
        <f>15/0.648</f>
        <v>23.148148148148149</v>
      </c>
      <c r="BG7" s="172">
        <f>23/0.648</f>
        <v>35.493827160493829</v>
      </c>
      <c r="BH7" s="172">
        <f>25.5/0.648</f>
        <v>39.351851851851848</v>
      </c>
      <c r="BI7" s="172">
        <f>(21.5-1.5)/0.648</f>
        <v>30.864197530864196</v>
      </c>
      <c r="BJ7" s="172">
        <f>22/0.648</f>
        <v>33.950617283950614</v>
      </c>
      <c r="BK7" s="172">
        <f>24.5/0.648</f>
        <v>37.808641975308639</v>
      </c>
      <c r="BL7" s="172">
        <f>(23+1.5)/0.648</f>
        <v>37.808641975308639</v>
      </c>
      <c r="BM7" s="172">
        <f>26/0.648</f>
        <v>40.123456790123456</v>
      </c>
      <c r="BN7" s="172">
        <f>(19)/0.648</f>
        <v>29.320987654320987</v>
      </c>
      <c r="BO7" s="172">
        <f>(26/0.648)</f>
        <v>40.123456790123456</v>
      </c>
      <c r="BP7" s="172">
        <f>21.5/0.648</f>
        <v>33.179012345679013</v>
      </c>
      <c r="BQ7" s="172">
        <f>19/0.648</f>
        <v>29.320987654320987</v>
      </c>
      <c r="BR7" s="173">
        <f>24/0.648</f>
        <v>37.037037037037038</v>
      </c>
      <c r="BS7" s="173">
        <f>19/0.648</f>
        <v>29.320987654320987</v>
      </c>
      <c r="BT7" s="173">
        <f>16.5/0.648</f>
        <v>25.462962962962962</v>
      </c>
      <c r="BU7" s="173">
        <f>20/0.648</f>
        <v>30.864197530864196</v>
      </c>
      <c r="BV7" s="173">
        <f>20/0.648</f>
        <v>30.864197530864196</v>
      </c>
      <c r="BW7" s="173">
        <f>19.5/0.648</f>
        <v>30.092592592592592</v>
      </c>
      <c r="BX7" s="173">
        <f>17.5/0.648</f>
        <v>27.006172839506171</v>
      </c>
      <c r="BY7" s="173">
        <f>19.5/0.648</f>
        <v>30.092592592592592</v>
      </c>
      <c r="BZ7" s="173">
        <f>19/0.648</f>
        <v>29.320987654320987</v>
      </c>
      <c r="CA7" s="173">
        <f>20/0.648</f>
        <v>30.864197530864196</v>
      </c>
      <c r="CB7" s="158">
        <f>SUM(AM7:AX7)</f>
        <v>337.96296296296299</v>
      </c>
      <c r="CC7" s="158">
        <f>CB7*0.648</f>
        <v>219.00000000000003</v>
      </c>
      <c r="CD7" s="147">
        <f>CB7/CB6</f>
        <v>4.6013283089349484</v>
      </c>
      <c r="CE7" s="456">
        <f>SUM(AY7:BJ7)</f>
        <v>292.43827160493828</v>
      </c>
      <c r="CF7" s="457">
        <f>CE7*0.648</f>
        <v>189.5</v>
      </c>
      <c r="CG7" s="456">
        <f>SUM(BK7:BV7)</f>
        <v>401.23456790123453</v>
      </c>
      <c r="CH7" s="457">
        <f>CG7*0.648</f>
        <v>260</v>
      </c>
      <c r="CI7" s="464">
        <f>CH7*0.9</f>
        <v>234</v>
      </c>
      <c r="CK7" s="464"/>
    </row>
    <row r="8" spans="1:89" s="147" customFormat="1" ht="15" thickBot="1">
      <c r="A8" s="665"/>
      <c r="B8" s="418" t="s">
        <v>184</v>
      </c>
      <c r="C8" s="167">
        <v>30.989631000000003</v>
      </c>
      <c r="D8" s="168">
        <v>29.898712</v>
      </c>
      <c r="E8" s="168">
        <v>32.193482000000003</v>
      </c>
      <c r="F8" s="168">
        <v>31.362504000000001</v>
      </c>
      <c r="G8" s="168">
        <v>31.123810000000002</v>
      </c>
      <c r="H8" s="168">
        <v>33.331128</v>
      </c>
      <c r="I8" s="169">
        <v>32</v>
      </c>
      <c r="J8" s="170">
        <v>33</v>
      </c>
      <c r="K8" s="169">
        <v>30</v>
      </c>
      <c r="L8" s="169">
        <v>30</v>
      </c>
      <c r="M8" s="171">
        <v>25</v>
      </c>
      <c r="N8" s="169">
        <v>29.111000000000001</v>
      </c>
      <c r="O8" s="169">
        <v>50</v>
      </c>
      <c r="P8" s="169">
        <v>53</v>
      </c>
      <c r="Q8" s="169">
        <f>53+0.8</f>
        <v>53.8</v>
      </c>
      <c r="R8" s="169">
        <v>53</v>
      </c>
      <c r="S8" s="169">
        <v>58</v>
      </c>
      <c r="T8" s="169">
        <v>56</v>
      </c>
      <c r="U8" s="169">
        <v>56</v>
      </c>
      <c r="V8" s="169">
        <v>55</v>
      </c>
      <c r="W8" s="169">
        <v>54</v>
      </c>
      <c r="X8" s="169">
        <v>58</v>
      </c>
      <c r="Y8" s="169">
        <v>56</v>
      </c>
      <c r="Z8" s="169">
        <v>55</v>
      </c>
      <c r="AA8" s="172">
        <f>48/0.648*AA4*24/1000</f>
        <v>55.111111111111114</v>
      </c>
      <c r="AB8" s="172">
        <f t="shared" ref="AB8:AG8" si="4">48/0.648*AB4*24/1000</f>
        <v>49.777777777777771</v>
      </c>
      <c r="AC8" s="172">
        <f t="shared" si="4"/>
        <v>55.111111111111114</v>
      </c>
      <c r="AD8" s="172">
        <f t="shared" si="4"/>
        <v>53.333333333333329</v>
      </c>
      <c r="AE8" s="172">
        <f t="shared" si="4"/>
        <v>55.111111111111114</v>
      </c>
      <c r="AF8" s="172">
        <f t="shared" si="4"/>
        <v>53.333333333333329</v>
      </c>
      <c r="AG8" s="172">
        <f t="shared" si="4"/>
        <v>55.111111111111114</v>
      </c>
      <c r="AH8" s="172">
        <f>48/0.648*AH4*24/1000</f>
        <v>55.111111111111114</v>
      </c>
      <c r="AI8" s="172">
        <v>46.9</v>
      </c>
      <c r="AJ8" s="172">
        <v>45</v>
      </c>
      <c r="AK8" s="172">
        <v>40</v>
      </c>
      <c r="AL8" s="172">
        <f>48/0.648*AL4*24/1000</f>
        <v>55.111111111111114</v>
      </c>
      <c r="AM8" s="172">
        <f>52-7</f>
        <v>45</v>
      </c>
      <c r="AN8" s="172">
        <v>48</v>
      </c>
      <c r="AO8" s="172">
        <v>55</v>
      </c>
      <c r="AP8" s="172">
        <v>53</v>
      </c>
      <c r="AQ8" s="172">
        <v>55</v>
      </c>
      <c r="AR8" s="172">
        <v>53</v>
      </c>
      <c r="AS8" s="172">
        <v>55</v>
      </c>
      <c r="AT8" s="172">
        <v>55</v>
      </c>
      <c r="AU8" s="172">
        <v>51.5</v>
      </c>
      <c r="AV8" s="172">
        <f>48*AV4/0.648/1000*24</f>
        <v>55.111111111111114</v>
      </c>
      <c r="AW8" s="172">
        <f>48*AW4/0.648/1000*24</f>
        <v>53.333333333333336</v>
      </c>
      <c r="AX8" s="172">
        <v>55</v>
      </c>
      <c r="AY8" s="172">
        <f>53+2</f>
        <v>55</v>
      </c>
      <c r="AZ8" s="172">
        <f>48/0.648*AZ4*24/1000</f>
        <v>51.555555555555564</v>
      </c>
      <c r="BA8" s="172">
        <v>43.6</v>
      </c>
      <c r="BB8" s="172">
        <v>42.2</v>
      </c>
      <c r="BC8" s="172">
        <v>42.2</v>
      </c>
      <c r="BD8" s="172">
        <f>48/0.648*BD4*24/1000</f>
        <v>53.333333333333329</v>
      </c>
      <c r="BE8" s="172">
        <v>58.857999999999997</v>
      </c>
      <c r="BF8" s="172">
        <f>48/0.648*BF4*24/1000</f>
        <v>55.111111111111114</v>
      </c>
      <c r="BG8" s="172">
        <f>38/0.648*BG4*24/1000</f>
        <v>42.222222222222221</v>
      </c>
      <c r="BH8" s="172">
        <f>38/0.648*BH4*24/1000</f>
        <v>43.629629629629626</v>
      </c>
      <c r="BI8" s="172">
        <f>(38/0.648*BI4*24/1000)-2.22</f>
        <v>40.002222222222223</v>
      </c>
      <c r="BJ8" s="172">
        <f>(38/0.648*BJ4*24/1000)-3.03+2</f>
        <v>42.599629629629625</v>
      </c>
      <c r="BK8" s="172">
        <v>45</v>
      </c>
      <c r="BL8" s="172">
        <v>39</v>
      </c>
      <c r="BM8" s="172">
        <f>38/0.648*BM4*24/1000</f>
        <v>43.629629629629626</v>
      </c>
      <c r="BN8" s="172">
        <v>43.7</v>
      </c>
      <c r="BO8" s="172">
        <f t="shared" ref="BO8:BX8" si="5">38/0.648*BO4*24/1000</f>
        <v>43.629629629629626</v>
      </c>
      <c r="BP8" s="172">
        <f t="shared" si="5"/>
        <v>42.222222222222221</v>
      </c>
      <c r="BQ8" s="172">
        <v>33</v>
      </c>
      <c r="BR8" s="173">
        <f t="shared" si="5"/>
        <v>43.629629629629626</v>
      </c>
      <c r="BS8" s="173">
        <f t="shared" si="5"/>
        <v>42.222222222222221</v>
      </c>
      <c r="BT8" s="460">
        <f>34/0.648*BT4*24/1000</f>
        <v>39.037037037037038</v>
      </c>
      <c r="BU8" s="173">
        <f t="shared" si="5"/>
        <v>42.222222222222221</v>
      </c>
      <c r="BV8" s="173">
        <f t="shared" si="5"/>
        <v>43.629629629629626</v>
      </c>
      <c r="BW8" s="173">
        <f t="shared" si="5"/>
        <v>43.629629629629626</v>
      </c>
      <c r="BX8" s="173">
        <f t="shared" si="5"/>
        <v>39.407407407407412</v>
      </c>
      <c r="BY8" s="173">
        <f t="shared" ref="BY8:BZ8" si="6">38/0.648*BY4*24/1000</f>
        <v>43.629629629629626</v>
      </c>
      <c r="BZ8" s="173">
        <f t="shared" si="6"/>
        <v>42.222222222222221</v>
      </c>
      <c r="CA8" s="173">
        <f t="shared" ref="CA8" si="7">38/0.648*CA4*24/1000</f>
        <v>42.222222222222221</v>
      </c>
      <c r="CB8" s="158">
        <f>SUM(AM8:AX8)</f>
        <v>633.94444444444446</v>
      </c>
      <c r="CC8" s="158">
        <f>CB8*0.648</f>
        <v>410.79600000000005</v>
      </c>
      <c r="CD8" s="147">
        <f>CB8/CB6</f>
        <v>8.631083397247675</v>
      </c>
      <c r="CE8" s="458">
        <f>SUM(AY8:BJ8)</f>
        <v>570.31170370370364</v>
      </c>
      <c r="CF8" s="459">
        <f>CE8*0.648</f>
        <v>369.561984</v>
      </c>
      <c r="CG8" s="458">
        <f>SUM(BK8:BV8)</f>
        <v>500.92222222222222</v>
      </c>
      <c r="CH8" s="459">
        <f>CG8*0.648</f>
        <v>324.5976</v>
      </c>
      <c r="CI8" s="464">
        <f>CH8*0.9</f>
        <v>292.13783999999998</v>
      </c>
    </row>
    <row r="9" spans="1:89" s="147" customFormat="1">
      <c r="A9" s="665"/>
      <c r="B9" s="418" t="s">
        <v>183</v>
      </c>
      <c r="C9" s="167">
        <v>0.78237099999999993</v>
      </c>
      <c r="D9" s="168">
        <v>0.7522279999999999</v>
      </c>
      <c r="E9" s="168">
        <v>0.775474</v>
      </c>
      <c r="F9" s="168">
        <v>0.79658699999999993</v>
      </c>
      <c r="G9" s="168">
        <v>0.84058900000000003</v>
      </c>
      <c r="H9" s="168">
        <v>0.81647700000000001</v>
      </c>
      <c r="I9" s="169">
        <v>0.8</v>
      </c>
      <c r="J9" s="170">
        <v>0.8</v>
      </c>
      <c r="K9" s="169">
        <v>0.8</v>
      </c>
      <c r="L9" s="169">
        <v>0.8</v>
      </c>
      <c r="M9" s="174">
        <v>0.8</v>
      </c>
      <c r="N9" s="169">
        <v>0.8</v>
      </c>
      <c r="O9" s="169">
        <v>0.8</v>
      </c>
      <c r="P9" s="169">
        <v>0.8</v>
      </c>
      <c r="Q9" s="170">
        <v>0.8</v>
      </c>
      <c r="R9" s="170">
        <v>0</v>
      </c>
      <c r="S9" s="170">
        <v>0</v>
      </c>
      <c r="T9" s="170">
        <v>0</v>
      </c>
      <c r="U9" s="170">
        <v>0</v>
      </c>
      <c r="V9" s="170">
        <v>0</v>
      </c>
      <c r="W9" s="170">
        <v>0</v>
      </c>
      <c r="X9" s="170"/>
      <c r="Y9" s="170"/>
      <c r="Z9" s="170">
        <v>0</v>
      </c>
      <c r="AA9" s="172"/>
      <c r="AB9" s="175"/>
      <c r="AC9" s="175">
        <v>0</v>
      </c>
      <c r="AD9" s="176">
        <v>-2.5</v>
      </c>
      <c r="AE9" s="175">
        <v>0</v>
      </c>
      <c r="AF9" s="175">
        <v>0</v>
      </c>
      <c r="AG9" s="175">
        <v>0</v>
      </c>
      <c r="AH9" s="175">
        <v>0</v>
      </c>
      <c r="AI9" s="175">
        <v>0</v>
      </c>
      <c r="AJ9" s="175">
        <v>0</v>
      </c>
      <c r="AK9" s="177"/>
      <c r="AL9" s="175"/>
      <c r="AM9" s="175"/>
      <c r="AN9" s="175">
        <v>0</v>
      </c>
      <c r="AO9" s="175"/>
      <c r="AP9" s="175"/>
      <c r="AQ9" s="175"/>
      <c r="AR9" s="175">
        <v>0</v>
      </c>
      <c r="AS9" s="175">
        <v>0</v>
      </c>
      <c r="AT9" s="175">
        <v>0</v>
      </c>
      <c r="AU9" s="175">
        <v>0</v>
      </c>
      <c r="AV9" s="175">
        <v>0</v>
      </c>
      <c r="AW9" s="175">
        <v>0</v>
      </c>
      <c r="AX9" s="175">
        <v>0</v>
      </c>
      <c r="AY9" s="175">
        <v>0</v>
      </c>
      <c r="AZ9" s="175"/>
      <c r="BA9" s="175"/>
      <c r="BB9" s="175"/>
      <c r="BC9" s="175">
        <v>0</v>
      </c>
      <c r="BD9" s="175">
        <v>0</v>
      </c>
      <c r="BE9" s="175"/>
      <c r="BF9" s="175">
        <v>0</v>
      </c>
      <c r="BG9" s="175">
        <v>0</v>
      </c>
      <c r="BH9" s="175">
        <v>0</v>
      </c>
      <c r="BI9" s="175">
        <v>0</v>
      </c>
      <c r="BJ9" s="175">
        <v>0</v>
      </c>
      <c r="BK9" s="177"/>
      <c r="BL9" s="175"/>
      <c r="BM9" s="175">
        <v>0</v>
      </c>
      <c r="BN9" s="175">
        <v>0</v>
      </c>
      <c r="BO9" s="175">
        <v>0</v>
      </c>
      <c r="BP9" s="175">
        <v>0</v>
      </c>
      <c r="BQ9" s="175"/>
      <c r="BR9" s="175">
        <v>0</v>
      </c>
      <c r="BS9" s="175">
        <v>0</v>
      </c>
      <c r="BT9" s="175">
        <v>0</v>
      </c>
      <c r="BU9" s="175">
        <v>0</v>
      </c>
      <c r="BV9" s="175">
        <v>0</v>
      </c>
      <c r="BW9" s="175">
        <v>0</v>
      </c>
      <c r="BX9" s="175">
        <v>0</v>
      </c>
      <c r="BY9" s="175">
        <v>0</v>
      </c>
      <c r="BZ9" s="175">
        <v>0</v>
      </c>
      <c r="CA9" s="175">
        <v>0</v>
      </c>
      <c r="CB9" s="158">
        <f>SUM(AM9:BI9)</f>
        <v>0</v>
      </c>
      <c r="CC9" s="158">
        <f>CB9*0.648</f>
        <v>0</v>
      </c>
      <c r="CE9" s="234"/>
    </row>
    <row r="10" spans="1:89" s="147" customFormat="1" ht="15" thickBot="1">
      <c r="A10" s="665"/>
      <c r="B10" s="178" t="s">
        <v>57</v>
      </c>
      <c r="C10" s="179">
        <v>0</v>
      </c>
      <c r="D10" s="180">
        <v>4.7416499999999999</v>
      </c>
      <c r="E10" s="180">
        <v>0</v>
      </c>
      <c r="F10" s="180">
        <v>5.2014629999999995</v>
      </c>
      <c r="G10" s="180">
        <v>0</v>
      </c>
      <c r="H10" s="180">
        <v>0</v>
      </c>
      <c r="I10" s="181">
        <v>5</v>
      </c>
      <c r="J10" s="182">
        <v>0</v>
      </c>
      <c r="K10" s="181">
        <f>4.697+4.9</f>
        <v>9.5970000000000013</v>
      </c>
      <c r="L10" s="181">
        <v>4.524</v>
      </c>
      <c r="M10" s="183">
        <v>0</v>
      </c>
      <c r="N10" s="181">
        <f>3.85+4.8+3.7</f>
        <v>12.350000000000001</v>
      </c>
      <c r="O10" s="181">
        <v>0</v>
      </c>
      <c r="P10" s="184"/>
      <c r="Q10" s="182"/>
      <c r="R10" s="181">
        <v>5</v>
      </c>
      <c r="S10" s="185">
        <v>10</v>
      </c>
      <c r="T10" s="185">
        <f>15+2.4</f>
        <v>17.399999999999999</v>
      </c>
      <c r="U10" s="181">
        <v>0</v>
      </c>
      <c r="V10" s="181" t="s">
        <v>58</v>
      </c>
      <c r="W10" s="181">
        <v>0</v>
      </c>
      <c r="X10" s="181"/>
      <c r="Y10" s="181">
        <v>0</v>
      </c>
      <c r="Z10" s="181">
        <v>5</v>
      </c>
      <c r="AA10" s="186">
        <v>0</v>
      </c>
      <c r="AB10" s="186">
        <v>4.2</v>
      </c>
      <c r="AC10" s="186">
        <v>0</v>
      </c>
      <c r="AD10" s="186">
        <v>0</v>
      </c>
      <c r="AE10" s="187"/>
      <c r="AF10" s="186">
        <v>0</v>
      </c>
      <c r="AG10" s="188">
        <v>1.9</v>
      </c>
      <c r="AH10" s="188"/>
      <c r="AI10" s="188"/>
      <c r="AJ10" s="188">
        <v>1.9</v>
      </c>
      <c r="AK10" s="186">
        <v>1.9</v>
      </c>
      <c r="AL10" s="186">
        <v>0</v>
      </c>
      <c r="AM10" s="186"/>
      <c r="AN10" s="186"/>
      <c r="AO10" s="186"/>
      <c r="AP10" s="186"/>
      <c r="AQ10" s="186"/>
      <c r="AR10" s="186"/>
      <c r="AS10" s="186"/>
      <c r="AT10" s="186"/>
      <c r="AU10" s="186"/>
      <c r="AV10" s="186"/>
      <c r="AW10" s="186">
        <v>0</v>
      </c>
      <c r="AX10" s="186"/>
      <c r="AY10" s="186"/>
      <c r="AZ10" s="186">
        <f>0.5+0.6</f>
        <v>1.1000000000000001</v>
      </c>
      <c r="BA10" s="186">
        <f>1.9+1.2</f>
        <v>3.0999999999999996</v>
      </c>
      <c r="BB10" s="186"/>
      <c r="BC10" s="186"/>
      <c r="BD10" s="186"/>
      <c r="BE10" s="186"/>
      <c r="BF10" s="172"/>
      <c r="BG10" s="172"/>
      <c r="BH10" s="173"/>
      <c r="BI10" s="186"/>
      <c r="BJ10" s="186"/>
      <c r="BK10" s="186">
        <v>0.6</v>
      </c>
      <c r="BL10" s="186"/>
      <c r="BM10" s="186"/>
      <c r="BN10" s="186"/>
      <c r="BO10" s="186"/>
      <c r="BP10" s="186"/>
      <c r="BQ10" s="177">
        <v>1.8</v>
      </c>
      <c r="BR10" s="186"/>
      <c r="BS10" s="186"/>
      <c r="BT10" s="186"/>
      <c r="BU10" s="186"/>
      <c r="BV10" s="186"/>
      <c r="BW10" s="186"/>
      <c r="BX10" s="186"/>
      <c r="BY10" s="186"/>
      <c r="BZ10" s="186"/>
      <c r="CA10" s="186"/>
      <c r="CB10" s="158">
        <f>SUM(AM10:BI10)</f>
        <v>4.1999999999999993</v>
      </c>
      <c r="CC10" s="158">
        <f>CB10*0.648</f>
        <v>2.7215999999999996</v>
      </c>
    </row>
    <row r="11" spans="1:89">
      <c r="A11" s="666" t="s">
        <v>59</v>
      </c>
      <c r="B11" s="189" t="s">
        <v>60</v>
      </c>
      <c r="C11" s="190">
        <v>12801</v>
      </c>
      <c r="D11" s="191">
        <v>11978</v>
      </c>
      <c r="E11" s="191">
        <v>11819</v>
      </c>
      <c r="F11" s="191">
        <v>12516</v>
      </c>
      <c r="G11" s="191">
        <v>15372</v>
      </c>
      <c r="H11" s="191">
        <v>14218</v>
      </c>
      <c r="I11" s="191">
        <v>15829</v>
      </c>
      <c r="J11" s="191">
        <v>16938</v>
      </c>
      <c r="K11" s="191">
        <v>12542</v>
      </c>
      <c r="L11" s="191">
        <v>14998.005565862706</v>
      </c>
      <c r="M11" s="191">
        <v>17756</v>
      </c>
      <c r="N11" s="192">
        <v>10570</v>
      </c>
      <c r="O11" s="191">
        <v>14582</v>
      </c>
      <c r="P11" s="191">
        <v>10587</v>
      </c>
      <c r="Q11" s="191">
        <v>18260</v>
      </c>
      <c r="R11" s="191">
        <v>10952</v>
      </c>
      <c r="S11" s="191">
        <v>10878</v>
      </c>
      <c r="T11" s="191">
        <v>13661</v>
      </c>
      <c r="U11" s="191">
        <v>8620</v>
      </c>
      <c r="V11" s="191">
        <v>12250</v>
      </c>
      <c r="W11" s="191">
        <v>15873</v>
      </c>
      <c r="X11" s="191">
        <v>16544</v>
      </c>
      <c r="Y11" s="191">
        <v>17135.611999511748</v>
      </c>
      <c r="Z11" s="191">
        <v>12707</v>
      </c>
      <c r="AA11" s="191">
        <v>13801</v>
      </c>
      <c r="AB11" s="191">
        <v>6198</v>
      </c>
      <c r="AC11" s="191">
        <v>9407</v>
      </c>
      <c r="AD11" s="191">
        <v>6916</v>
      </c>
      <c r="AE11" s="191">
        <v>9122.472412109375</v>
      </c>
      <c r="AF11" s="191">
        <v>9923.3910827636719</v>
      </c>
      <c r="AG11" s="191">
        <f>AF11+((AG6-AG13)*1000)</f>
        <v>5715.2799716525633</v>
      </c>
      <c r="AH11" s="191">
        <v>2608</v>
      </c>
      <c r="AI11" s="191">
        <v>5452</v>
      </c>
      <c r="AJ11" s="191">
        <v>12416</v>
      </c>
      <c r="AK11" s="191">
        <v>13315</v>
      </c>
      <c r="AL11" s="191">
        <v>8617</v>
      </c>
      <c r="AM11" s="191">
        <v>15252.196105957031</v>
      </c>
      <c r="AN11" s="191">
        <v>15784</v>
      </c>
      <c r="AO11" s="191">
        <v>14297</v>
      </c>
      <c r="AP11" s="191">
        <v>11185.101745605469</v>
      </c>
      <c r="AQ11" s="191">
        <v>10090.282043457031</v>
      </c>
      <c r="AR11" s="191">
        <v>10986</v>
      </c>
      <c r="AS11" s="191">
        <v>12870</v>
      </c>
      <c r="AT11" s="191">
        <v>9734</v>
      </c>
      <c r="AU11" s="191">
        <v>8503.5310573577881</v>
      </c>
      <c r="AV11" s="191">
        <v>7993.1530246734619</v>
      </c>
      <c r="AW11" s="191">
        <v>11222.628784179688</v>
      </c>
      <c r="AX11" s="191">
        <v>10678.500749588013</v>
      </c>
      <c r="AY11" s="191">
        <v>6267.9736328125</v>
      </c>
      <c r="AZ11" s="191">
        <v>14970.42724609375</v>
      </c>
      <c r="BA11" s="191">
        <v>10564.156494140625</v>
      </c>
      <c r="BB11" s="191">
        <v>10702</v>
      </c>
      <c r="BC11" s="191">
        <v>13927</v>
      </c>
      <c r="BD11" s="191">
        <v>16225.431045145331</v>
      </c>
      <c r="BE11" s="191">
        <v>17232.923314780463</v>
      </c>
      <c r="BF11" s="191">
        <v>15020</v>
      </c>
      <c r="BG11" s="191">
        <v>13565</v>
      </c>
      <c r="BH11" s="191">
        <v>8818</v>
      </c>
      <c r="BI11" s="191">
        <v>11744</v>
      </c>
      <c r="BJ11" s="191">
        <v>14198.392</v>
      </c>
      <c r="BK11" s="191">
        <v>12896</v>
      </c>
      <c r="BL11" s="191">
        <v>10073</v>
      </c>
      <c r="BM11" s="191">
        <v>8688.06</v>
      </c>
      <c r="BN11" s="191">
        <v>11362</v>
      </c>
      <c r="BO11" s="191">
        <f t="shared" ref="BO11:BV11" si="8">BN11+((BO6-BO13)*1000)</f>
        <v>8308.9135802469136</v>
      </c>
      <c r="BP11" s="191">
        <f t="shared" si="8"/>
        <v>10907.679012345672</v>
      </c>
      <c r="BQ11" s="191">
        <f t="shared" si="8"/>
        <v>10548.691358024687</v>
      </c>
      <c r="BR11" s="191">
        <f t="shared" si="8"/>
        <v>10172.024691358023</v>
      </c>
      <c r="BS11" s="191">
        <f t="shared" si="8"/>
        <v>10218.814814814796</v>
      </c>
      <c r="BT11" s="191">
        <f t="shared" si="8"/>
        <v>10299.132125856237</v>
      </c>
      <c r="BU11" s="191">
        <f t="shared" si="8"/>
        <v>10057.023036174247</v>
      </c>
      <c r="BV11" s="191">
        <f t="shared" si="8"/>
        <v>10331.409594024497</v>
      </c>
      <c r="BW11" s="191">
        <f>BV11+((BW6-BW13)*1000)</f>
        <v>10309.623312368576</v>
      </c>
      <c r="BX11" s="191">
        <f>BW11+((BX6-BX13)*1000)</f>
        <v>10464.178753708427</v>
      </c>
      <c r="BY11" s="191">
        <f>BX11+((BY6-BY13)*1000)</f>
        <v>10448.392472052506</v>
      </c>
      <c r="BZ11" s="191">
        <f>BY11+((BZ6-BZ13)*1000)</f>
        <v>10231.185118637955</v>
      </c>
      <c r="CA11" s="191">
        <f>BZ11+((CA6-CA13)*1000)</f>
        <v>10851.201306117831</v>
      </c>
    </row>
    <row r="12" spans="1:89" s="197" customFormat="1" ht="15" thickBot="1">
      <c r="A12" s="667"/>
      <c r="B12" s="193" t="s">
        <v>61</v>
      </c>
      <c r="C12" s="194">
        <f>C11/49624.4*100</f>
        <v>25.795777883460552</v>
      </c>
      <c r="D12" s="195">
        <f>D11/49624.4*100</f>
        <v>24.137319544417664</v>
      </c>
      <c r="E12" s="195">
        <f>E11/45790.8*100</f>
        <v>25.810861570446463</v>
      </c>
      <c r="F12" s="195">
        <f>F11/45790.8*100</f>
        <v>27.333001388925283</v>
      </c>
      <c r="G12" s="195">
        <f>G11/45790.8*100</f>
        <v>33.57006210854582</v>
      </c>
      <c r="H12" s="195">
        <f>H11/45790.8*100</f>
        <v>31.049905221136122</v>
      </c>
      <c r="I12" s="195">
        <f>I11/22600*100</f>
        <v>70.039823008849552</v>
      </c>
      <c r="J12" s="195">
        <f t="shared" ref="J12:AS12" si="9">J11/22600*100</f>
        <v>74.946902654867259</v>
      </c>
      <c r="K12" s="195">
        <f t="shared" si="9"/>
        <v>55.495575221238937</v>
      </c>
      <c r="L12" s="195">
        <f t="shared" si="9"/>
        <v>66.362856486118176</v>
      </c>
      <c r="M12" s="195">
        <f t="shared" si="9"/>
        <v>78.56637168141593</v>
      </c>
      <c r="N12" s="195">
        <f t="shared" si="9"/>
        <v>46.769911504424776</v>
      </c>
      <c r="O12" s="195">
        <f t="shared" si="9"/>
        <v>64.522123893805301</v>
      </c>
      <c r="P12" s="195">
        <f t="shared" si="9"/>
        <v>46.845132743362832</v>
      </c>
      <c r="Q12" s="195">
        <f t="shared" si="9"/>
        <v>80.796460176991147</v>
      </c>
      <c r="R12" s="195">
        <f t="shared" si="9"/>
        <v>48.460176991150448</v>
      </c>
      <c r="S12" s="195">
        <f t="shared" si="9"/>
        <v>48.13274336283186</v>
      </c>
      <c r="T12" s="195">
        <f t="shared" si="9"/>
        <v>60.446902654867252</v>
      </c>
      <c r="U12" s="195">
        <f t="shared" si="9"/>
        <v>38.141592920353986</v>
      </c>
      <c r="V12" s="195">
        <f t="shared" si="9"/>
        <v>54.203539823008853</v>
      </c>
      <c r="W12" s="195">
        <f t="shared" si="9"/>
        <v>70.23451327433628</v>
      </c>
      <c r="X12" s="195">
        <f t="shared" si="9"/>
        <v>73.203539823008839</v>
      </c>
      <c r="Y12" s="195">
        <f t="shared" si="9"/>
        <v>75.821292033237825</v>
      </c>
      <c r="Z12" s="195">
        <f t="shared" si="9"/>
        <v>56.225663716814154</v>
      </c>
      <c r="AA12" s="195">
        <f t="shared" si="9"/>
        <v>61.06637168141593</v>
      </c>
      <c r="AB12" s="195">
        <f t="shared" si="9"/>
        <v>27.424778761061948</v>
      </c>
      <c r="AC12" s="195">
        <f t="shared" si="9"/>
        <v>41.623893805309734</v>
      </c>
      <c r="AD12" s="195">
        <f t="shared" si="9"/>
        <v>30.601769911504423</v>
      </c>
      <c r="AE12" s="195">
        <f t="shared" si="9"/>
        <v>40.364922177475108</v>
      </c>
      <c r="AF12" s="195">
        <f t="shared" si="9"/>
        <v>43.90881010072421</v>
      </c>
      <c r="AG12" s="195">
        <f t="shared" si="9"/>
        <v>25.288849432090988</v>
      </c>
      <c r="AH12" s="195">
        <f t="shared" si="9"/>
        <v>11.539823008849558</v>
      </c>
      <c r="AI12" s="195">
        <f>AI11/22600*100</f>
        <v>24.123893805309734</v>
      </c>
      <c r="AJ12" s="195">
        <f t="shared" si="9"/>
        <v>54.938053097345133</v>
      </c>
      <c r="AK12" s="195">
        <f t="shared" si="9"/>
        <v>58.915929203539818</v>
      </c>
      <c r="AL12" s="195">
        <f t="shared" si="9"/>
        <v>38.128318584070797</v>
      </c>
      <c r="AM12" s="195">
        <f t="shared" si="9"/>
        <v>67.487593389190408</v>
      </c>
      <c r="AN12" s="195">
        <f t="shared" si="9"/>
        <v>69.840707964601762</v>
      </c>
      <c r="AO12" s="195">
        <f t="shared" si="9"/>
        <v>63.26106194690265</v>
      </c>
      <c r="AP12" s="195">
        <f t="shared" si="9"/>
        <v>49.49160064427199</v>
      </c>
      <c r="AQ12" s="195">
        <f t="shared" si="9"/>
        <v>44.647265679013415</v>
      </c>
      <c r="AR12" s="195">
        <f t="shared" si="9"/>
        <v>48.610619469026553</v>
      </c>
      <c r="AS12" s="195">
        <f t="shared" si="9"/>
        <v>56.946902654867259</v>
      </c>
      <c r="AT12" s="196">
        <f t="shared" ref="AT12:AY12" si="10">AT11/18350*100</f>
        <v>53.046321525885553</v>
      </c>
      <c r="AU12" s="196">
        <f t="shared" si="10"/>
        <v>46.340768704947074</v>
      </c>
      <c r="AV12" s="196">
        <f t="shared" si="10"/>
        <v>43.559417028193252</v>
      </c>
      <c r="AW12" s="196">
        <f t="shared" si="10"/>
        <v>61.158739968281672</v>
      </c>
      <c r="AX12" s="196">
        <f t="shared" si="10"/>
        <v>58.193464575411511</v>
      </c>
      <c r="AY12" s="195">
        <f t="shared" si="10"/>
        <v>34.157894456743868</v>
      </c>
      <c r="AZ12" s="315">
        <f>AZ11/22600</f>
        <v>0.66240828522538719</v>
      </c>
      <c r="BA12" s="315">
        <f t="shared" ref="BA12:BP12" si="11">BA11/22600</f>
        <v>0.46744055283808073</v>
      </c>
      <c r="BB12" s="315">
        <f t="shared" si="11"/>
        <v>0.47353982300884956</v>
      </c>
      <c r="BC12" s="315">
        <f t="shared" si="11"/>
        <v>0.61623893805309737</v>
      </c>
      <c r="BD12" s="315">
        <f t="shared" si="11"/>
        <v>0.71793942677634204</v>
      </c>
      <c r="BE12" s="315">
        <f t="shared" si="11"/>
        <v>0.76251873074249832</v>
      </c>
      <c r="BF12" s="315">
        <f t="shared" si="11"/>
        <v>0.66460176991150444</v>
      </c>
      <c r="BG12" s="315">
        <f t="shared" si="11"/>
        <v>0.60022123893805313</v>
      </c>
      <c r="BH12" s="315">
        <f t="shared" si="11"/>
        <v>0.39017699115044246</v>
      </c>
      <c r="BI12" s="315">
        <f t="shared" si="11"/>
        <v>0.519646017699115</v>
      </c>
      <c r="BJ12" s="315">
        <f t="shared" si="11"/>
        <v>0.62824743362831859</v>
      </c>
      <c r="BK12" s="315">
        <f t="shared" si="11"/>
        <v>0.5706194690265487</v>
      </c>
      <c r="BL12" s="315">
        <f t="shared" si="11"/>
        <v>0.44570796460176992</v>
      </c>
      <c r="BM12" s="315">
        <f t="shared" si="11"/>
        <v>0.38442743362831855</v>
      </c>
      <c r="BN12" s="315">
        <f t="shared" si="11"/>
        <v>0.50274336283185839</v>
      </c>
      <c r="BO12" s="315">
        <f t="shared" si="11"/>
        <v>0.36765104337375726</v>
      </c>
      <c r="BP12" s="315">
        <f t="shared" si="11"/>
        <v>0.48264066426308283</v>
      </c>
      <c r="BQ12" s="315">
        <f t="shared" ref="BQ12:BW12" si="12">BQ11/22600</f>
        <v>0.46675625477985344</v>
      </c>
      <c r="BR12" s="315">
        <f t="shared" si="12"/>
        <v>0.45008958811318689</v>
      </c>
      <c r="BS12" s="315">
        <f t="shared" si="12"/>
        <v>0.45215994755817679</v>
      </c>
      <c r="BT12" s="315">
        <f t="shared" si="12"/>
        <v>0.45571381087859453</v>
      </c>
      <c r="BU12" s="315">
        <f t="shared" si="12"/>
        <v>0.44500101929974545</v>
      </c>
      <c r="BV12" s="315">
        <f t="shared" si="12"/>
        <v>0.45714201743471228</v>
      </c>
      <c r="BW12" s="315">
        <f t="shared" si="12"/>
        <v>0.45617802267117591</v>
      </c>
      <c r="BX12" s="315">
        <f t="shared" ref="BX12:BY12" si="13">BX11/22600</f>
        <v>0.46301675901364725</v>
      </c>
      <c r="BY12" s="315">
        <f t="shared" si="13"/>
        <v>0.46231825097577461</v>
      </c>
      <c r="BZ12" s="315">
        <f t="shared" ref="BZ12:CA12" si="14">BZ11/22600</f>
        <v>0.45270730613442278</v>
      </c>
      <c r="CA12" s="315">
        <f t="shared" si="14"/>
        <v>0.48014165071317838</v>
      </c>
    </row>
    <row r="13" spans="1:89" s="200" customFormat="1">
      <c r="A13" s="198"/>
      <c r="B13" s="198" t="s">
        <v>48</v>
      </c>
      <c r="C13" s="199">
        <f t="shared" ref="C13:T13" si="15">SUM(C7:C10)</f>
        <v>85.757612000000009</v>
      </c>
      <c r="D13" s="199">
        <f t="shared" si="15"/>
        <v>81.333900999999997</v>
      </c>
      <c r="E13" s="199">
        <f t="shared" si="15"/>
        <v>79.639566000000002</v>
      </c>
      <c r="F13" s="199">
        <f t="shared" si="15"/>
        <v>86.705891000000008</v>
      </c>
      <c r="G13" s="199">
        <f t="shared" si="15"/>
        <v>82.07502199999999</v>
      </c>
      <c r="H13" s="199">
        <f t="shared" si="15"/>
        <v>84.744775000000004</v>
      </c>
      <c r="I13" s="199">
        <f t="shared" si="15"/>
        <v>90.3</v>
      </c>
      <c r="J13" s="199">
        <f t="shared" si="15"/>
        <v>86.3</v>
      </c>
      <c r="K13" s="199">
        <f t="shared" si="15"/>
        <v>92.896999999999991</v>
      </c>
      <c r="L13" s="199">
        <f t="shared" si="15"/>
        <v>90.323999999999998</v>
      </c>
      <c r="M13" s="199">
        <f t="shared" si="15"/>
        <v>83.8</v>
      </c>
      <c r="N13" s="199">
        <f t="shared" si="15"/>
        <v>97.908999999999992</v>
      </c>
      <c r="O13" s="199">
        <f t="shared" si="15"/>
        <v>81.8</v>
      </c>
      <c r="P13" s="199">
        <f t="shared" si="15"/>
        <v>82.349000000000004</v>
      </c>
      <c r="Q13" s="199">
        <f t="shared" si="15"/>
        <v>84.6</v>
      </c>
      <c r="R13" s="199">
        <f t="shared" si="15"/>
        <v>84.234000000000009</v>
      </c>
      <c r="S13" s="199">
        <f t="shared" si="15"/>
        <v>89.6</v>
      </c>
      <c r="T13" s="199">
        <f t="shared" si="15"/>
        <v>78</v>
      </c>
      <c r="U13" s="199">
        <f>SUM(U7:U10)</f>
        <v>79</v>
      </c>
      <c r="V13" s="199">
        <f>SUM(V7:V10)</f>
        <v>80</v>
      </c>
      <c r="W13" s="199">
        <f>SUM(W7:W10)</f>
        <v>75.5</v>
      </c>
      <c r="X13" s="199">
        <f>SUM(X7:X10)</f>
        <v>89.2</v>
      </c>
      <c r="Y13" s="199">
        <f>SUM(Y7:Y10)</f>
        <v>90</v>
      </c>
      <c r="Z13" s="199">
        <f t="shared" ref="Z13:BP13" si="16">SUM(Z7:Z10)</f>
        <v>95.179000000000002</v>
      </c>
      <c r="AA13" s="199">
        <f t="shared" si="16"/>
        <v>86.111111111111114</v>
      </c>
      <c r="AB13" s="199">
        <f t="shared" si="16"/>
        <v>83.37777777777778</v>
      </c>
      <c r="AC13" s="199">
        <f t="shared" si="16"/>
        <v>78.711111111111109</v>
      </c>
      <c r="AD13" s="199">
        <f t="shared" si="16"/>
        <v>78.61333333333333</v>
      </c>
      <c r="AE13" s="199">
        <f t="shared" si="16"/>
        <v>78.111111111111114</v>
      </c>
      <c r="AF13" s="199">
        <f t="shared" si="16"/>
        <v>81.893333333333331</v>
      </c>
      <c r="AG13" s="199">
        <f t="shared" si="16"/>
        <v>84.331111111111113</v>
      </c>
      <c r="AH13" s="199">
        <f t="shared" si="16"/>
        <v>77.611111111111114</v>
      </c>
      <c r="AI13" s="199">
        <f t="shared" si="16"/>
        <v>61.9</v>
      </c>
      <c r="AJ13" s="199">
        <f t="shared" si="16"/>
        <v>70.7</v>
      </c>
      <c r="AK13" s="199">
        <f t="shared" si="16"/>
        <v>77.393827160493828</v>
      </c>
      <c r="AL13" s="199">
        <f t="shared" si="16"/>
        <v>85.203703703703709</v>
      </c>
      <c r="AM13" s="199">
        <f t="shared" si="16"/>
        <v>63.518518518518519</v>
      </c>
      <c r="AN13" s="199">
        <f t="shared" si="16"/>
        <v>71.148148148148152</v>
      </c>
      <c r="AO13" s="199">
        <f>SUM(AO7:AO10)</f>
        <v>87.407407407407405</v>
      </c>
      <c r="AP13" s="199">
        <f t="shared" si="16"/>
        <v>85.407407407407405</v>
      </c>
      <c r="AQ13" s="199">
        <f t="shared" si="16"/>
        <v>81.23456790123457</v>
      </c>
      <c r="AR13" s="199">
        <f t="shared" si="16"/>
        <v>82.320987654320987</v>
      </c>
      <c r="AS13" s="199">
        <f t="shared" si="16"/>
        <v>83.549382716049379</v>
      </c>
      <c r="AT13" s="199">
        <f t="shared" si="16"/>
        <v>85.864197530864203</v>
      </c>
      <c r="AU13" s="199">
        <f t="shared" si="16"/>
        <v>80.820987654320987</v>
      </c>
      <c r="AV13" s="199">
        <f t="shared" si="16"/>
        <v>82.888888888888886</v>
      </c>
      <c r="AW13" s="199">
        <f t="shared" si="16"/>
        <v>80.339506172839506</v>
      </c>
      <c r="AX13" s="199">
        <f t="shared" si="16"/>
        <v>87.407407407407391</v>
      </c>
      <c r="AY13" s="199">
        <f t="shared" si="16"/>
        <v>84.320987654320987</v>
      </c>
      <c r="AZ13" s="199">
        <f t="shared" si="16"/>
        <v>61.606172839506179</v>
      </c>
      <c r="BA13" s="199">
        <f t="shared" si="16"/>
        <v>85.588888888888874</v>
      </c>
      <c r="BB13" s="199">
        <f t="shared" si="16"/>
        <v>65.348148148148155</v>
      </c>
      <c r="BC13" s="199">
        <f t="shared" si="16"/>
        <v>56.088888888888889</v>
      </c>
      <c r="BD13" s="199">
        <f>SUM(BD7:BD10)</f>
        <v>61.049382716049379</v>
      </c>
      <c r="BE13" s="199">
        <f>SUM(BE7:BE10)</f>
        <v>66.574049382716041</v>
      </c>
      <c r="BF13" s="199">
        <f>SUM(BF7:BF10)</f>
        <v>78.259259259259267</v>
      </c>
      <c r="BG13" s="199">
        <f>SUM(BG7:BG10)</f>
        <v>77.716049382716051</v>
      </c>
      <c r="BH13" s="199">
        <f>SUM(BH7:BH10)</f>
        <v>82.981481481481467</v>
      </c>
      <c r="BI13" s="199">
        <f t="shared" si="16"/>
        <v>70.866419753086419</v>
      </c>
      <c r="BJ13" s="199">
        <f t="shared" si="16"/>
        <v>76.550246913580239</v>
      </c>
      <c r="BK13" s="199">
        <f t="shared" si="16"/>
        <v>83.408641975308626</v>
      </c>
      <c r="BL13" s="199">
        <f t="shared" si="16"/>
        <v>76.808641975308632</v>
      </c>
      <c r="BM13" s="199">
        <f t="shared" si="16"/>
        <v>83.753086419753089</v>
      </c>
      <c r="BN13" s="199">
        <f t="shared" si="16"/>
        <v>73.02098765432099</v>
      </c>
      <c r="BO13" s="199">
        <f t="shared" si="16"/>
        <v>83.753086419753089</v>
      </c>
      <c r="BP13" s="199">
        <f t="shared" si="16"/>
        <v>75.401234567901241</v>
      </c>
      <c r="BQ13" s="199">
        <f t="shared" ref="BQ13:BW13" si="17">SUM(BQ7:BQ10)</f>
        <v>64.120987654320984</v>
      </c>
      <c r="BR13" s="199">
        <f t="shared" si="17"/>
        <v>80.666666666666657</v>
      </c>
      <c r="BS13" s="199">
        <f t="shared" si="17"/>
        <v>71.543209876543216</v>
      </c>
      <c r="BT13" s="199">
        <f t="shared" si="17"/>
        <v>64.5</v>
      </c>
      <c r="BU13" s="199">
        <f t="shared" si="17"/>
        <v>73.086419753086417</v>
      </c>
      <c r="BV13" s="199">
        <f t="shared" si="17"/>
        <v>74.493827160493822</v>
      </c>
      <c r="BW13" s="199">
        <f t="shared" si="17"/>
        <v>73.722222222222214</v>
      </c>
      <c r="BX13" s="199">
        <f t="shared" ref="BX13:BY13" si="18">SUM(BX7:BX10)</f>
        <v>66.413580246913583</v>
      </c>
      <c r="BY13" s="199">
        <f t="shared" si="18"/>
        <v>73.722222222222214</v>
      </c>
      <c r="BZ13" s="199">
        <f t="shared" ref="BZ13:CA13" si="19">SUM(BZ7:BZ10)</f>
        <v>71.543209876543216</v>
      </c>
      <c r="CA13" s="199">
        <f t="shared" si="19"/>
        <v>73.086419753086417</v>
      </c>
      <c r="CB13" s="201" t="s">
        <v>62</v>
      </c>
      <c r="CH13" s="465"/>
    </row>
    <row r="14" spans="1:89" s="200" customFormat="1">
      <c r="A14" s="198"/>
      <c r="B14" s="198" t="s">
        <v>63</v>
      </c>
      <c r="C14" s="199">
        <f t="shared" ref="C14:BN14" si="20">C6-C13</f>
        <v>-85.757612000000009</v>
      </c>
      <c r="D14" s="199">
        <f t="shared" si="20"/>
        <v>6.9172829000009983E-2</v>
      </c>
      <c r="E14" s="199">
        <f t="shared" si="20"/>
        <v>3.2836695919999954</v>
      </c>
      <c r="F14" s="199">
        <f t="shared" si="20"/>
        <v>1.4400650609999843</v>
      </c>
      <c r="G14" s="199">
        <f t="shared" si="20"/>
        <v>4.7921075090000045</v>
      </c>
      <c r="H14" s="199">
        <f t="shared" si="20"/>
        <v>1.0508554790000062</v>
      </c>
      <c r="I14" s="199">
        <f t="shared" si="20"/>
        <v>-0.11999999999999034</v>
      </c>
      <c r="J14" s="199">
        <f t="shared" si="20"/>
        <v>-5.7999999999992724E-2</v>
      </c>
      <c r="K14" s="199">
        <f t="shared" si="20"/>
        <v>-5.5529999999999973</v>
      </c>
      <c r="L14" s="199">
        <f t="shared" si="20"/>
        <v>1.4759999999999991</v>
      </c>
      <c r="M14" s="199">
        <f t="shared" si="20"/>
        <v>3.375</v>
      </c>
      <c r="N14" s="199">
        <f t="shared" si="20"/>
        <v>-9.5089999999999861</v>
      </c>
      <c r="O14" s="199">
        <f t="shared" si="20"/>
        <v>5.2580000000000098</v>
      </c>
      <c r="P14" s="199">
        <f t="shared" si="20"/>
        <v>-1.3560000000000088</v>
      </c>
      <c r="Q14" s="199">
        <f t="shared" si="20"/>
        <v>6</v>
      </c>
      <c r="R14" s="199">
        <f t="shared" si="20"/>
        <v>-7.4340000000000117</v>
      </c>
      <c r="S14" s="199">
        <f t="shared" si="20"/>
        <v>-2.6699999999999875</v>
      </c>
      <c r="T14" s="199">
        <f t="shared" si="20"/>
        <v>1.8610000000000042</v>
      </c>
      <c r="U14" s="199">
        <f t="shared" si="20"/>
        <v>-2.6460000000000008</v>
      </c>
      <c r="V14" s="199">
        <f t="shared" si="20"/>
        <v>2.4159999999999968</v>
      </c>
      <c r="W14" s="199">
        <f t="shared" si="20"/>
        <v>1.5900000000000034</v>
      </c>
      <c r="X14" s="199">
        <f t="shared" si="20"/>
        <v>-1.1270000000000095</v>
      </c>
      <c r="Y14" s="199">
        <f t="shared" si="20"/>
        <v>0.5</v>
      </c>
      <c r="Z14" s="199">
        <f t="shared" si="20"/>
        <v>-5.9630000000000081</v>
      </c>
      <c r="AA14" s="199">
        <f t="shared" si="20"/>
        <v>0.38888888888888573</v>
      </c>
      <c r="AB14" s="199">
        <f t="shared" si="20"/>
        <v>-8.1097777777777793</v>
      </c>
      <c r="AC14" s="199">
        <f t="shared" si="20"/>
        <v>3.2888888888888914</v>
      </c>
      <c r="AD14" s="199">
        <f t="shared" si="20"/>
        <v>-1.318333333333328</v>
      </c>
      <c r="AE14" s="199">
        <f t="shared" si="20"/>
        <v>4.637888888888881</v>
      </c>
      <c r="AF14" s="199">
        <f t="shared" si="20"/>
        <v>-2.3333333333326323E-2</v>
      </c>
      <c r="AG14" s="199">
        <f t="shared" si="20"/>
        <v>-4.2081111111111085</v>
      </c>
      <c r="AH14" s="199">
        <f t="shared" si="20"/>
        <v>4.8888888888888857</v>
      </c>
      <c r="AI14" s="199">
        <f t="shared" si="20"/>
        <v>11.07109090909092</v>
      </c>
      <c r="AJ14" s="199">
        <f t="shared" si="20"/>
        <v>11.819000000000003</v>
      </c>
      <c r="AK14" s="199">
        <f t="shared" si="20"/>
        <v>0.80617283950617491</v>
      </c>
      <c r="AL14" s="199">
        <f t="shared" si="20"/>
        <v>-5.2537037037037067</v>
      </c>
      <c r="AM14" s="199">
        <f t="shared" si="20"/>
        <v>6.4114814814814878</v>
      </c>
      <c r="AN14" s="199">
        <f t="shared" si="20"/>
        <v>-0.80414814814815827</v>
      </c>
      <c r="AO14" s="199">
        <f t="shared" si="20"/>
        <v>-3.4074074074074048</v>
      </c>
      <c r="AP14" s="199">
        <f t="shared" si="20"/>
        <v>-4.4074074074074048</v>
      </c>
      <c r="AQ14" s="199">
        <f t="shared" si="20"/>
        <v>-0.59756790123456938</v>
      </c>
      <c r="AR14" s="199">
        <f t="shared" si="20"/>
        <v>-4.3209876543209873</v>
      </c>
      <c r="AS14" s="199">
        <f t="shared" si="20"/>
        <v>0.8506172839506263</v>
      </c>
      <c r="AT14" s="199">
        <f t="shared" si="20"/>
        <v>-1.9701975308641977</v>
      </c>
      <c r="AU14" s="199">
        <f t="shared" si="20"/>
        <v>-0.1369876543209898</v>
      </c>
      <c r="AV14" s="199">
        <f t="shared" si="20"/>
        <v>-1.5888888888888886</v>
      </c>
      <c r="AW14" s="199">
        <f t="shared" si="20"/>
        <v>2.6604938271604937</v>
      </c>
      <c r="AX14" s="199">
        <f t="shared" si="20"/>
        <v>-1.8074074074073962</v>
      </c>
      <c r="AY14" s="199">
        <f t="shared" si="20"/>
        <v>-3.8209876543209873</v>
      </c>
      <c r="AZ14" s="199">
        <f t="shared" si="20"/>
        <v>8.193827160493818</v>
      </c>
      <c r="BA14" s="199">
        <f t="shared" si="20"/>
        <v>-4.7888888888888772</v>
      </c>
      <c r="BB14" s="199">
        <f t="shared" si="20"/>
        <v>-0.8481481481481552</v>
      </c>
      <c r="BC14" s="199">
        <f t="shared" si="20"/>
        <v>1.0751111111111129</v>
      </c>
      <c r="BD14" s="199">
        <f>BD6-BD13</f>
        <v>0.15061728395062346</v>
      </c>
      <c r="BE14" s="199">
        <f>BE6-BE13</f>
        <v>-0.37404938271603783</v>
      </c>
      <c r="BF14" s="199">
        <f>BF6-BF13</f>
        <v>-3.8002592592592634</v>
      </c>
      <c r="BG14" s="199">
        <f>BG6-BG13</f>
        <v>-1.1160493827160565</v>
      </c>
      <c r="BH14" s="199">
        <f>BH6-BH13</f>
        <v>-4.9104814814814688</v>
      </c>
      <c r="BI14" s="199">
        <f t="shared" si="20"/>
        <v>1.2125802469135749</v>
      </c>
      <c r="BJ14" s="199">
        <f t="shared" si="20"/>
        <v>2.4497530864197614</v>
      </c>
      <c r="BK14" s="199">
        <f t="shared" si="20"/>
        <v>-1.5240584122132077</v>
      </c>
      <c r="BL14" s="199">
        <f t="shared" si="20"/>
        <v>-2.7143003911368737</v>
      </c>
      <c r="BM14" s="199">
        <f t="shared" si="20"/>
        <v>-1.8064352279570812</v>
      </c>
      <c r="BN14" s="199">
        <f t="shared" si="20"/>
        <v>1.2990549808193066</v>
      </c>
      <c r="BO14" s="199">
        <f t="shared" ref="BO14:BW14" si="21">BO6-BO13</f>
        <v>-3.053086419753086</v>
      </c>
      <c r="BP14" s="199">
        <f t="shared" si="21"/>
        <v>2.5987654320987588</v>
      </c>
      <c r="BQ14" s="199">
        <f t="shared" si="21"/>
        <v>-0.35898765432098401</v>
      </c>
      <c r="BR14" s="199">
        <f t="shared" si="21"/>
        <v>-0.37666666666666515</v>
      </c>
      <c r="BS14" s="199">
        <f t="shared" si="21"/>
        <v>4.6790123456773358E-2</v>
      </c>
      <c r="BT14" s="199">
        <f t="shared" si="21"/>
        <v>8.0317311041440576E-2</v>
      </c>
      <c r="BU14" s="199">
        <f t="shared" si="21"/>
        <v>-0.24210908968198908</v>
      </c>
      <c r="BV14" s="199">
        <f t="shared" si="21"/>
        <v>0.27438655785024935</v>
      </c>
      <c r="BW14" s="199">
        <f t="shared" si="21"/>
        <v>-2.1786281655920448E-2</v>
      </c>
      <c r="BX14" s="199">
        <f t="shared" ref="BX14:BY14" si="22">BX6-BX13</f>
        <v>0.154555441339852</v>
      </c>
      <c r="BY14" s="199">
        <f t="shared" si="22"/>
        <v>-1.578628165592022E-2</v>
      </c>
      <c r="BZ14" s="199">
        <f t="shared" ref="BZ14:CA14" si="23">BZ6-BZ13</f>
        <v>-0.21720735341455111</v>
      </c>
      <c r="CA14" s="199">
        <f t="shared" si="23"/>
        <v>0.62001618747987663</v>
      </c>
    </row>
    <row r="15" spans="1:89">
      <c r="B15" s="126" t="s">
        <v>64</v>
      </c>
      <c r="C15" s="344">
        <f t="shared" ref="C15:BN15" si="24">C16+C17</f>
        <v>85.757612000000009</v>
      </c>
      <c r="D15" s="344">
        <f t="shared" si="24"/>
        <v>81.333900999999997</v>
      </c>
      <c r="E15" s="344">
        <f t="shared" si="24"/>
        <v>79.639566000000002</v>
      </c>
      <c r="F15" s="344">
        <f t="shared" si="24"/>
        <v>86.705891000000008</v>
      </c>
      <c r="G15" s="344">
        <f t="shared" si="24"/>
        <v>82.075022000000004</v>
      </c>
      <c r="H15" s="344">
        <f t="shared" si="24"/>
        <v>84.744775000000004</v>
      </c>
      <c r="I15" s="344">
        <f t="shared" si="24"/>
        <v>85.3</v>
      </c>
      <c r="J15" s="344">
        <f t="shared" si="24"/>
        <v>86.3</v>
      </c>
      <c r="K15" s="344">
        <f t="shared" si="24"/>
        <v>92.897000000000006</v>
      </c>
      <c r="L15" s="344">
        <f t="shared" si="24"/>
        <v>90.323999999999998</v>
      </c>
      <c r="M15" s="344">
        <f t="shared" si="24"/>
        <v>83.8</v>
      </c>
      <c r="N15" s="344">
        <f t="shared" si="24"/>
        <v>97.909000000000006</v>
      </c>
      <c r="O15" s="344">
        <f>O16+O17</f>
        <v>81.8</v>
      </c>
      <c r="P15" s="344">
        <f t="shared" si="24"/>
        <v>82.34899999999999</v>
      </c>
      <c r="Q15" s="344">
        <f t="shared" si="24"/>
        <v>84.6</v>
      </c>
      <c r="R15" s="344">
        <f t="shared" si="24"/>
        <v>84.234000000000009</v>
      </c>
      <c r="S15" s="344">
        <f t="shared" si="24"/>
        <v>89.6</v>
      </c>
      <c r="T15" s="344">
        <f t="shared" si="24"/>
        <v>78</v>
      </c>
      <c r="U15" s="344">
        <f t="shared" si="24"/>
        <v>79</v>
      </c>
      <c r="V15" s="344" t="e">
        <f t="shared" si="24"/>
        <v>#VALUE!</v>
      </c>
      <c r="W15" s="344">
        <f t="shared" si="24"/>
        <v>75.5</v>
      </c>
      <c r="X15" s="344">
        <f t="shared" si="24"/>
        <v>89.2</v>
      </c>
      <c r="Y15" s="344">
        <f t="shared" si="24"/>
        <v>90</v>
      </c>
      <c r="Z15" s="344">
        <f t="shared" si="24"/>
        <v>95.179000000000002</v>
      </c>
      <c r="AA15" s="344">
        <f>AA16+AA17</f>
        <v>86.111111111111114</v>
      </c>
      <c r="AB15" s="344">
        <f t="shared" ref="AB15:AR15" si="25">AB16+AB17</f>
        <v>83.377777777777766</v>
      </c>
      <c r="AC15" s="344">
        <f t="shared" si="25"/>
        <v>78.711111111111109</v>
      </c>
      <c r="AD15" s="344">
        <f t="shared" si="25"/>
        <v>78.61333333333333</v>
      </c>
      <c r="AE15" s="344">
        <f t="shared" si="25"/>
        <v>78.111111111111114</v>
      </c>
      <c r="AF15" s="344">
        <f t="shared" si="25"/>
        <v>81.893333333333331</v>
      </c>
      <c r="AG15" s="344">
        <f t="shared" si="25"/>
        <v>82.431111111111107</v>
      </c>
      <c r="AH15" s="344">
        <f t="shared" si="25"/>
        <v>77.611111111111114</v>
      </c>
      <c r="AI15" s="344">
        <f t="shared" si="25"/>
        <v>61.9</v>
      </c>
      <c r="AJ15" s="344">
        <f t="shared" si="25"/>
        <v>68.8</v>
      </c>
      <c r="AK15" s="344">
        <f t="shared" si="25"/>
        <v>75.493827160493822</v>
      </c>
      <c r="AL15" s="344">
        <f t="shared" si="25"/>
        <v>85.203703703703709</v>
      </c>
      <c r="AM15" s="344">
        <f t="shared" si="25"/>
        <v>63.518518518518519</v>
      </c>
      <c r="AN15" s="344">
        <f t="shared" si="25"/>
        <v>71.148148148148152</v>
      </c>
      <c r="AO15" s="344">
        <f t="shared" si="25"/>
        <v>87.407407407407405</v>
      </c>
      <c r="AP15" s="344">
        <f t="shared" si="25"/>
        <v>85.407407407407405</v>
      </c>
      <c r="AQ15" s="344">
        <f t="shared" si="25"/>
        <v>81.23456790123457</v>
      </c>
      <c r="AR15" s="344">
        <f t="shared" si="25"/>
        <v>82.320987654320987</v>
      </c>
      <c r="AS15" s="344">
        <f t="shared" si="24"/>
        <v>83.549382716049379</v>
      </c>
      <c r="AT15" s="344">
        <f t="shared" si="24"/>
        <v>85.864197530864203</v>
      </c>
      <c r="AU15" s="344">
        <f t="shared" si="24"/>
        <v>80.820987654320987</v>
      </c>
      <c r="AV15" s="344">
        <f t="shared" si="24"/>
        <v>82.888888888888886</v>
      </c>
      <c r="AW15" s="344">
        <f t="shared" si="24"/>
        <v>80.339506172839506</v>
      </c>
      <c r="AX15" s="344">
        <f t="shared" si="24"/>
        <v>87.407407407407391</v>
      </c>
      <c r="AY15" s="344">
        <f t="shared" si="24"/>
        <v>84.320987654320987</v>
      </c>
      <c r="AZ15" s="344">
        <f t="shared" si="24"/>
        <v>60.506172839506178</v>
      </c>
      <c r="BA15" s="344">
        <f t="shared" si="24"/>
        <v>82.48888888888888</v>
      </c>
      <c r="BB15" s="344">
        <f t="shared" si="24"/>
        <v>65.348148148148155</v>
      </c>
      <c r="BC15" s="344">
        <f t="shared" si="24"/>
        <v>56.088888888888889</v>
      </c>
      <c r="BD15" s="344">
        <f>BD16+BD17</f>
        <v>61.049382716049379</v>
      </c>
      <c r="BE15" s="344">
        <f>BE16+BE17</f>
        <v>66.574049382716041</v>
      </c>
      <c r="BF15" s="344">
        <f>BF16+BF17</f>
        <v>78.259259259259267</v>
      </c>
      <c r="BG15" s="344">
        <f>BG16+BG17</f>
        <v>77.716049382716051</v>
      </c>
      <c r="BH15" s="344">
        <f>BH16+BH17</f>
        <v>82.981481481481467</v>
      </c>
      <c r="BI15" s="344">
        <f t="shared" si="24"/>
        <v>70.866419753086419</v>
      </c>
      <c r="BJ15" s="344">
        <f t="shared" si="24"/>
        <v>76.550246913580239</v>
      </c>
      <c r="BK15" s="344">
        <f t="shared" si="24"/>
        <v>82.808641975308632</v>
      </c>
      <c r="BL15" s="344">
        <f t="shared" si="24"/>
        <v>76.808641975308632</v>
      </c>
      <c r="BM15" s="344">
        <f t="shared" si="24"/>
        <v>83.753086419753089</v>
      </c>
      <c r="BN15" s="344">
        <f t="shared" si="24"/>
        <v>73.02098765432099</v>
      </c>
      <c r="BO15" s="344">
        <f t="shared" ref="BO15:BW15" si="26">BO16+BO17</f>
        <v>83.753086419753089</v>
      </c>
      <c r="BP15" s="344">
        <f t="shared" si="26"/>
        <v>75.401234567901241</v>
      </c>
      <c r="BQ15" s="344">
        <f t="shared" si="26"/>
        <v>62.320987654320987</v>
      </c>
      <c r="BR15" s="344">
        <f t="shared" si="26"/>
        <v>80.666666666666657</v>
      </c>
      <c r="BS15" s="428">
        <f t="shared" si="26"/>
        <v>71.543209876543216</v>
      </c>
      <c r="BT15" s="428">
        <f t="shared" si="26"/>
        <v>64.5</v>
      </c>
      <c r="BU15" s="428">
        <f t="shared" si="26"/>
        <v>73.086419753086417</v>
      </c>
      <c r="BV15" s="428">
        <f t="shared" si="26"/>
        <v>74.493827160493822</v>
      </c>
      <c r="BW15" s="471">
        <f t="shared" si="26"/>
        <v>73.722222222222214</v>
      </c>
      <c r="BX15" s="471">
        <f t="shared" ref="BX15:BY15" si="27">BX16+BX17</f>
        <v>66.413580246913583</v>
      </c>
      <c r="BY15" s="541">
        <f t="shared" si="27"/>
        <v>73.722222222222214</v>
      </c>
      <c r="BZ15" s="541">
        <f t="shared" ref="BZ15:CA15" si="28">BZ16+BZ17</f>
        <v>71.543209876543216</v>
      </c>
      <c r="CA15" s="541">
        <f t="shared" si="28"/>
        <v>73.086419753086417</v>
      </c>
    </row>
    <row r="16" spans="1:89">
      <c r="B16" s="126" t="s">
        <v>9</v>
      </c>
      <c r="C16" s="344">
        <f t="shared" ref="C16:Z16" si="29">C7</f>
        <v>53.985610000000001</v>
      </c>
      <c r="D16" s="344">
        <f t="shared" si="29"/>
        <v>45.941310999999999</v>
      </c>
      <c r="E16" s="344">
        <f t="shared" si="29"/>
        <v>46.670610000000003</v>
      </c>
      <c r="F16" s="344">
        <f t="shared" si="29"/>
        <v>49.345337000000001</v>
      </c>
      <c r="G16" s="344">
        <f t="shared" si="29"/>
        <v>50.110622999999997</v>
      </c>
      <c r="H16" s="344">
        <f t="shared" si="29"/>
        <v>50.597169999999998</v>
      </c>
      <c r="I16" s="344">
        <f t="shared" si="29"/>
        <v>52.5</v>
      </c>
      <c r="J16" s="344">
        <f t="shared" si="29"/>
        <v>52.5</v>
      </c>
      <c r="K16" s="344">
        <f t="shared" si="29"/>
        <v>52.5</v>
      </c>
      <c r="L16" s="344">
        <f t="shared" si="29"/>
        <v>55</v>
      </c>
      <c r="M16" s="344">
        <f t="shared" si="29"/>
        <v>58</v>
      </c>
      <c r="N16" s="344">
        <f t="shared" si="29"/>
        <v>55.648000000000003</v>
      </c>
      <c r="O16" s="344">
        <f>O7</f>
        <v>31</v>
      </c>
      <c r="P16" s="344">
        <f t="shared" si="29"/>
        <v>28.548999999999999</v>
      </c>
      <c r="Q16" s="344">
        <f t="shared" si="29"/>
        <v>30</v>
      </c>
      <c r="R16" s="344">
        <f t="shared" si="29"/>
        <v>26.234000000000002</v>
      </c>
      <c r="S16" s="344">
        <f t="shared" si="29"/>
        <v>21.6</v>
      </c>
      <c r="T16" s="344">
        <f t="shared" si="29"/>
        <v>4.5999999999999996</v>
      </c>
      <c r="U16" s="344">
        <f t="shared" si="29"/>
        <v>23</v>
      </c>
      <c r="V16" s="344">
        <f t="shared" si="29"/>
        <v>25</v>
      </c>
      <c r="W16" s="344">
        <f t="shared" si="29"/>
        <v>21.5</v>
      </c>
      <c r="X16" s="344">
        <f t="shared" si="29"/>
        <v>31.2</v>
      </c>
      <c r="Y16" s="344">
        <f t="shared" si="29"/>
        <v>34</v>
      </c>
      <c r="Z16" s="344">
        <f t="shared" si="29"/>
        <v>35.179000000000002</v>
      </c>
      <c r="AA16" s="344">
        <f>AA7</f>
        <v>31</v>
      </c>
      <c r="AB16" s="344">
        <f>AB7</f>
        <v>29.4</v>
      </c>
      <c r="AC16" s="344">
        <f>AC7+AC8</f>
        <v>78.711111111111109</v>
      </c>
      <c r="AD16" s="344">
        <f t="shared" ref="AD16:BP16" si="30">AD7+AD8</f>
        <v>81.11333333333333</v>
      </c>
      <c r="AE16" s="344">
        <f t="shared" si="30"/>
        <v>78.111111111111114</v>
      </c>
      <c r="AF16" s="344">
        <f t="shared" si="30"/>
        <v>81.893333333333331</v>
      </c>
      <c r="AG16" s="344">
        <f t="shared" si="30"/>
        <v>82.431111111111107</v>
      </c>
      <c r="AH16" s="344">
        <f t="shared" si="30"/>
        <v>77.611111111111114</v>
      </c>
      <c r="AI16" s="344">
        <f t="shared" si="30"/>
        <v>61.9</v>
      </c>
      <c r="AJ16" s="344">
        <f t="shared" si="30"/>
        <v>68.8</v>
      </c>
      <c r="AK16" s="344">
        <f t="shared" si="30"/>
        <v>75.493827160493822</v>
      </c>
      <c r="AL16" s="344">
        <f t="shared" si="30"/>
        <v>85.203703703703709</v>
      </c>
      <c r="AM16" s="344">
        <f t="shared" si="30"/>
        <v>63.518518518518519</v>
      </c>
      <c r="AN16" s="344">
        <f t="shared" si="30"/>
        <v>71.148148148148152</v>
      </c>
      <c r="AO16" s="344">
        <f>AO7+AO8</f>
        <v>87.407407407407405</v>
      </c>
      <c r="AP16" s="344">
        <f>AP7+AP8</f>
        <v>85.407407407407405</v>
      </c>
      <c r="AQ16" s="344">
        <f>AQ7+AQ8</f>
        <v>81.23456790123457</v>
      </c>
      <c r="AR16" s="344">
        <f>AR7+AR8</f>
        <v>82.320987654320987</v>
      </c>
      <c r="AS16" s="344">
        <f t="shared" si="30"/>
        <v>83.549382716049379</v>
      </c>
      <c r="AT16" s="344">
        <f t="shared" si="30"/>
        <v>85.864197530864203</v>
      </c>
      <c r="AU16" s="344">
        <f t="shared" si="30"/>
        <v>80.820987654320987</v>
      </c>
      <c r="AV16" s="344">
        <f t="shared" si="30"/>
        <v>82.888888888888886</v>
      </c>
      <c r="AW16" s="344">
        <f t="shared" si="30"/>
        <v>80.339506172839506</v>
      </c>
      <c r="AX16" s="344">
        <f t="shared" si="30"/>
        <v>87.407407407407391</v>
      </c>
      <c r="AY16" s="344">
        <f t="shared" si="30"/>
        <v>84.320987654320987</v>
      </c>
      <c r="AZ16" s="344">
        <f t="shared" si="30"/>
        <v>60.506172839506178</v>
      </c>
      <c r="BA16" s="344">
        <f t="shared" si="30"/>
        <v>82.48888888888888</v>
      </c>
      <c r="BB16" s="344">
        <f t="shared" si="30"/>
        <v>65.348148148148155</v>
      </c>
      <c r="BC16" s="344">
        <f t="shared" si="30"/>
        <v>56.088888888888889</v>
      </c>
      <c r="BD16" s="344">
        <f>BD7+BD8</f>
        <v>61.049382716049379</v>
      </c>
      <c r="BE16" s="344">
        <f>BE7+BE8</f>
        <v>66.574049382716041</v>
      </c>
      <c r="BF16" s="344">
        <f>BF7+BF8</f>
        <v>78.259259259259267</v>
      </c>
      <c r="BG16" s="344">
        <f>BG7+BG8</f>
        <v>77.716049382716051</v>
      </c>
      <c r="BH16" s="344">
        <f>BH7+BH8</f>
        <v>82.981481481481467</v>
      </c>
      <c r="BI16" s="344">
        <f t="shared" si="30"/>
        <v>70.866419753086419</v>
      </c>
      <c r="BJ16" s="344">
        <f t="shared" si="30"/>
        <v>76.550246913580239</v>
      </c>
      <c r="BK16" s="344">
        <f t="shared" si="30"/>
        <v>82.808641975308632</v>
      </c>
      <c r="BL16" s="344">
        <f t="shared" si="30"/>
        <v>76.808641975308632</v>
      </c>
      <c r="BM16" s="344">
        <f t="shared" si="30"/>
        <v>83.753086419753089</v>
      </c>
      <c r="BN16" s="344">
        <f t="shared" si="30"/>
        <v>73.02098765432099</v>
      </c>
      <c r="BO16" s="344">
        <f t="shared" si="30"/>
        <v>83.753086419753089</v>
      </c>
      <c r="BP16" s="344">
        <f t="shared" si="30"/>
        <v>75.401234567901241</v>
      </c>
      <c r="BQ16" s="344">
        <f t="shared" ref="BQ16:BW16" si="31">BQ7+BQ8</f>
        <v>62.320987654320987</v>
      </c>
      <c r="BR16" s="344">
        <f t="shared" si="31"/>
        <v>80.666666666666657</v>
      </c>
      <c r="BS16" s="428">
        <f t="shared" si="31"/>
        <v>71.543209876543216</v>
      </c>
      <c r="BT16" s="428">
        <f t="shared" si="31"/>
        <v>64.5</v>
      </c>
      <c r="BU16" s="428">
        <f t="shared" si="31"/>
        <v>73.086419753086417</v>
      </c>
      <c r="BV16" s="428">
        <f t="shared" si="31"/>
        <v>74.493827160493822</v>
      </c>
      <c r="BW16" s="471">
        <f t="shared" si="31"/>
        <v>73.722222222222214</v>
      </c>
      <c r="BX16" s="471">
        <f t="shared" ref="BX16:BY16" si="32">BX7+BX8</f>
        <v>66.413580246913583</v>
      </c>
      <c r="BY16" s="541">
        <f t="shared" si="32"/>
        <v>73.722222222222214</v>
      </c>
      <c r="BZ16" s="541">
        <f t="shared" ref="BZ16:CA16" si="33">BZ7+BZ8</f>
        <v>71.543209876543216</v>
      </c>
      <c r="CA16" s="541">
        <f t="shared" si="33"/>
        <v>73.086419753086417</v>
      </c>
    </row>
    <row r="17" spans="1:80" ht="15" thickBot="1">
      <c r="B17" s="126" t="s">
        <v>65</v>
      </c>
      <c r="C17" s="344">
        <f t="shared" ref="C17:Z17" si="34">C8+C9+C10</f>
        <v>31.772002000000004</v>
      </c>
      <c r="D17" s="344">
        <f t="shared" si="34"/>
        <v>35.392589999999998</v>
      </c>
      <c r="E17" s="344">
        <f t="shared" si="34"/>
        <v>32.968956000000006</v>
      </c>
      <c r="F17" s="344">
        <f t="shared" si="34"/>
        <v>37.360554</v>
      </c>
      <c r="G17" s="344">
        <f t="shared" si="34"/>
        <v>31.964399000000004</v>
      </c>
      <c r="H17" s="344">
        <f t="shared" si="34"/>
        <v>34.147604999999999</v>
      </c>
      <c r="I17" s="344">
        <f>I8+I9</f>
        <v>32.799999999999997</v>
      </c>
      <c r="J17" s="344">
        <f t="shared" si="34"/>
        <v>33.799999999999997</v>
      </c>
      <c r="K17" s="344">
        <f t="shared" si="34"/>
        <v>40.397000000000006</v>
      </c>
      <c r="L17" s="344">
        <f t="shared" si="34"/>
        <v>35.323999999999998</v>
      </c>
      <c r="M17" s="344">
        <f t="shared" si="34"/>
        <v>25.8</v>
      </c>
      <c r="N17" s="344">
        <f t="shared" si="34"/>
        <v>42.261000000000003</v>
      </c>
      <c r="O17" s="344">
        <f>O8+O9+O10</f>
        <v>50.8</v>
      </c>
      <c r="P17" s="344">
        <f t="shared" si="34"/>
        <v>53.8</v>
      </c>
      <c r="Q17" s="344">
        <f t="shared" si="34"/>
        <v>54.599999999999994</v>
      </c>
      <c r="R17" s="344">
        <f t="shared" si="34"/>
        <v>58</v>
      </c>
      <c r="S17" s="344">
        <f t="shared" si="34"/>
        <v>68</v>
      </c>
      <c r="T17" s="344">
        <f t="shared" si="34"/>
        <v>73.400000000000006</v>
      </c>
      <c r="U17" s="344">
        <f t="shared" si="34"/>
        <v>56</v>
      </c>
      <c r="V17" s="344" t="e">
        <f t="shared" si="34"/>
        <v>#VALUE!</v>
      </c>
      <c r="W17" s="344">
        <f t="shared" si="34"/>
        <v>54</v>
      </c>
      <c r="X17" s="344">
        <f t="shared" si="34"/>
        <v>58</v>
      </c>
      <c r="Y17" s="344">
        <f t="shared" si="34"/>
        <v>56</v>
      </c>
      <c r="Z17" s="344">
        <f t="shared" si="34"/>
        <v>60</v>
      </c>
      <c r="AA17" s="344">
        <f>AA8+AA9+AA10</f>
        <v>55.111111111111114</v>
      </c>
      <c r="AB17" s="344">
        <f>AB8+AB9+AB10</f>
        <v>53.977777777777774</v>
      </c>
      <c r="AC17" s="344">
        <f>AC9</f>
        <v>0</v>
      </c>
      <c r="AD17" s="344">
        <f t="shared" ref="AD17:BP17" si="35">AD9</f>
        <v>-2.5</v>
      </c>
      <c r="AE17" s="344">
        <f t="shared" si="35"/>
        <v>0</v>
      </c>
      <c r="AF17" s="344">
        <f t="shared" si="35"/>
        <v>0</v>
      </c>
      <c r="AG17" s="344">
        <f t="shared" si="35"/>
        <v>0</v>
      </c>
      <c r="AH17" s="344">
        <f t="shared" si="35"/>
        <v>0</v>
      </c>
      <c r="AI17" s="344">
        <f t="shared" si="35"/>
        <v>0</v>
      </c>
      <c r="AJ17" s="344">
        <f t="shared" si="35"/>
        <v>0</v>
      </c>
      <c r="AK17" s="344">
        <f t="shared" si="35"/>
        <v>0</v>
      </c>
      <c r="AL17" s="344">
        <f t="shared" si="35"/>
        <v>0</v>
      </c>
      <c r="AM17" s="344">
        <f t="shared" si="35"/>
        <v>0</v>
      </c>
      <c r="AN17" s="344">
        <f t="shared" si="35"/>
        <v>0</v>
      </c>
      <c r="AO17" s="344">
        <f>AO9</f>
        <v>0</v>
      </c>
      <c r="AP17" s="344">
        <f>AP9</f>
        <v>0</v>
      </c>
      <c r="AQ17" s="344">
        <f>AQ9</f>
        <v>0</v>
      </c>
      <c r="AR17" s="344">
        <f>AR9</f>
        <v>0</v>
      </c>
      <c r="AS17" s="344">
        <f t="shared" si="35"/>
        <v>0</v>
      </c>
      <c r="AT17" s="344">
        <f t="shared" si="35"/>
        <v>0</v>
      </c>
      <c r="AU17" s="344">
        <f t="shared" si="35"/>
        <v>0</v>
      </c>
      <c r="AV17" s="344">
        <f t="shared" si="35"/>
        <v>0</v>
      </c>
      <c r="AW17" s="344">
        <f t="shared" si="35"/>
        <v>0</v>
      </c>
      <c r="AX17" s="344">
        <f t="shared" si="35"/>
        <v>0</v>
      </c>
      <c r="AY17" s="344">
        <f t="shared" si="35"/>
        <v>0</v>
      </c>
      <c r="AZ17" s="344">
        <f t="shared" si="35"/>
        <v>0</v>
      </c>
      <c r="BA17" s="344">
        <f t="shared" si="35"/>
        <v>0</v>
      </c>
      <c r="BB17" s="344">
        <f t="shared" si="35"/>
        <v>0</v>
      </c>
      <c r="BC17" s="344">
        <f t="shared" si="35"/>
        <v>0</v>
      </c>
      <c r="BD17" s="344">
        <f>BD9</f>
        <v>0</v>
      </c>
      <c r="BE17" s="344">
        <f>BE9</f>
        <v>0</v>
      </c>
      <c r="BF17" s="344">
        <f>BF9</f>
        <v>0</v>
      </c>
      <c r="BG17" s="344">
        <f>BG9</f>
        <v>0</v>
      </c>
      <c r="BH17" s="344">
        <f>BH9</f>
        <v>0</v>
      </c>
      <c r="BI17" s="344">
        <f t="shared" si="35"/>
        <v>0</v>
      </c>
      <c r="BJ17" s="344">
        <f t="shared" si="35"/>
        <v>0</v>
      </c>
      <c r="BK17" s="344">
        <f>BK9</f>
        <v>0</v>
      </c>
      <c r="BL17" s="344">
        <f t="shared" si="35"/>
        <v>0</v>
      </c>
      <c r="BM17" s="344">
        <f t="shared" si="35"/>
        <v>0</v>
      </c>
      <c r="BN17" s="344">
        <f t="shared" si="35"/>
        <v>0</v>
      </c>
      <c r="BO17" s="344">
        <f t="shared" si="35"/>
        <v>0</v>
      </c>
      <c r="BP17" s="344">
        <f t="shared" si="35"/>
        <v>0</v>
      </c>
      <c r="BQ17" s="344">
        <f t="shared" ref="BQ17:BW17" si="36">BQ9</f>
        <v>0</v>
      </c>
      <c r="BR17" s="344">
        <f t="shared" si="36"/>
        <v>0</v>
      </c>
      <c r="BS17" s="428">
        <f t="shared" si="36"/>
        <v>0</v>
      </c>
      <c r="BT17" s="428">
        <f t="shared" si="36"/>
        <v>0</v>
      </c>
      <c r="BU17" s="428">
        <f t="shared" si="36"/>
        <v>0</v>
      </c>
      <c r="BV17" s="428">
        <f t="shared" si="36"/>
        <v>0</v>
      </c>
      <c r="BW17" s="471">
        <f t="shared" si="36"/>
        <v>0</v>
      </c>
      <c r="BX17" s="471">
        <f t="shared" ref="BX17:BY17" si="37">BX9</f>
        <v>0</v>
      </c>
      <c r="BY17" s="541">
        <f t="shared" si="37"/>
        <v>0</v>
      </c>
      <c r="BZ17" s="541">
        <f t="shared" ref="BZ17:CA17" si="38">BZ9</f>
        <v>0</v>
      </c>
      <c r="CA17" s="541">
        <f t="shared" si="38"/>
        <v>0</v>
      </c>
    </row>
    <row r="18" spans="1:80" ht="15" thickBot="1">
      <c r="C18" s="344"/>
      <c r="D18" s="344"/>
      <c r="E18" s="344"/>
      <c r="F18" s="344"/>
      <c r="G18" s="344"/>
      <c r="H18" s="344"/>
      <c r="I18" s="344"/>
      <c r="J18" s="344"/>
      <c r="K18" s="344"/>
      <c r="L18" s="344"/>
      <c r="M18" s="344"/>
      <c r="N18" s="344"/>
      <c r="O18" s="344"/>
      <c r="P18" s="344"/>
      <c r="Q18" s="344"/>
      <c r="R18" s="344"/>
      <c r="S18" s="344"/>
      <c r="T18" s="344"/>
      <c r="U18" s="344"/>
      <c r="V18" s="344"/>
      <c r="W18" s="344"/>
      <c r="X18" s="344"/>
      <c r="Y18" s="344"/>
      <c r="Z18" s="344"/>
      <c r="AA18" s="344"/>
      <c r="AB18" s="344"/>
      <c r="AC18" s="344"/>
      <c r="AD18" s="344"/>
      <c r="AE18" s="344"/>
      <c r="AF18" s="344"/>
      <c r="AG18" s="344"/>
      <c r="AH18" s="344"/>
      <c r="AI18" s="344"/>
      <c r="AJ18" s="344"/>
      <c r="AK18" s="344"/>
      <c r="AL18" s="344"/>
      <c r="AM18" s="344"/>
      <c r="AN18" s="344"/>
      <c r="AO18" s="344"/>
      <c r="AP18" s="344"/>
      <c r="AQ18" s="344"/>
      <c r="AR18" s="344"/>
      <c r="AS18" s="344"/>
      <c r="AT18" s="344"/>
      <c r="AU18" s="344"/>
      <c r="AV18" s="344"/>
      <c r="AW18" s="344"/>
      <c r="AX18" s="344"/>
      <c r="AY18" s="344"/>
      <c r="AZ18" s="344"/>
      <c r="BA18" s="344"/>
      <c r="BB18" s="344"/>
      <c r="BC18" s="204">
        <f>BC6*0.648</f>
        <v>37.042272000000004</v>
      </c>
      <c r="BD18" s="204">
        <f>BD6*0.648</f>
        <v>39.657600000000002</v>
      </c>
      <c r="BE18" s="344"/>
      <c r="BF18" s="344"/>
      <c r="BG18" s="344"/>
      <c r="BH18" s="344"/>
      <c r="BI18" s="344"/>
      <c r="BJ18" s="344"/>
      <c r="BK18" s="344"/>
      <c r="BL18" s="344"/>
      <c r="BM18" s="344"/>
      <c r="BN18" s="344"/>
      <c r="BO18" s="344"/>
      <c r="BP18" s="344"/>
      <c r="BQ18" s="344"/>
      <c r="BR18" s="344"/>
      <c r="BS18" s="428"/>
      <c r="BT18" s="428"/>
      <c r="BU18" s="428"/>
      <c r="BV18" s="428"/>
      <c r="BW18" s="471"/>
      <c r="BX18" s="471"/>
      <c r="BY18" s="541"/>
      <c r="BZ18" s="541"/>
      <c r="CA18" s="541"/>
    </row>
    <row r="19" spans="1:80" ht="15" thickBot="1">
      <c r="A19" s="202" t="s">
        <v>55</v>
      </c>
      <c r="B19" s="202" t="s">
        <v>66</v>
      </c>
      <c r="C19" s="203">
        <f t="shared" ref="C19:BN20" si="39">C7*0.648</f>
        <v>34.982675280000002</v>
      </c>
      <c r="D19" s="203">
        <f t="shared" si="39"/>
        <v>29.769969528000001</v>
      </c>
      <c r="E19" s="203">
        <f t="shared" si="39"/>
        <v>30.242555280000005</v>
      </c>
      <c r="F19" s="203">
        <f t="shared" si="39"/>
        <v>31.975778376000001</v>
      </c>
      <c r="G19" s="203">
        <f t="shared" si="39"/>
        <v>32.471683704</v>
      </c>
      <c r="H19" s="203">
        <f t="shared" si="39"/>
        <v>32.786966159999999</v>
      </c>
      <c r="I19" s="204">
        <f t="shared" si="39"/>
        <v>34.020000000000003</v>
      </c>
      <c r="J19" s="204">
        <f t="shared" si="39"/>
        <v>34.020000000000003</v>
      </c>
      <c r="K19" s="204">
        <f t="shared" si="39"/>
        <v>34.020000000000003</v>
      </c>
      <c r="L19" s="204">
        <f t="shared" si="39"/>
        <v>35.64</v>
      </c>
      <c r="M19" s="204">
        <f t="shared" si="39"/>
        <v>37.584000000000003</v>
      </c>
      <c r="N19" s="204">
        <f t="shared" si="39"/>
        <v>36.059904000000003</v>
      </c>
      <c r="O19" s="204">
        <f t="shared" si="39"/>
        <v>20.088000000000001</v>
      </c>
      <c r="P19" s="204">
        <f t="shared" si="39"/>
        <v>18.499752000000001</v>
      </c>
      <c r="Q19" s="204">
        <f t="shared" si="39"/>
        <v>19.440000000000001</v>
      </c>
      <c r="R19" s="204">
        <f t="shared" si="39"/>
        <v>16.999632000000002</v>
      </c>
      <c r="S19" s="204">
        <f t="shared" si="39"/>
        <v>13.996800000000002</v>
      </c>
      <c r="T19" s="204">
        <f t="shared" si="39"/>
        <v>2.9807999999999999</v>
      </c>
      <c r="U19" s="204">
        <f t="shared" si="39"/>
        <v>14.904</v>
      </c>
      <c r="V19" s="204">
        <f t="shared" si="39"/>
        <v>16.2</v>
      </c>
      <c r="W19" s="204">
        <f t="shared" si="39"/>
        <v>13.932</v>
      </c>
      <c r="X19" s="204">
        <f t="shared" si="39"/>
        <v>20.217600000000001</v>
      </c>
      <c r="Y19" s="204">
        <f t="shared" si="39"/>
        <v>22.032</v>
      </c>
      <c r="Z19" s="204">
        <f t="shared" si="39"/>
        <v>22.795992000000002</v>
      </c>
      <c r="AA19" s="204">
        <f t="shared" si="39"/>
        <v>20.088000000000001</v>
      </c>
      <c r="AB19" s="204">
        <f t="shared" si="39"/>
        <v>19.051199999999998</v>
      </c>
      <c r="AC19" s="204">
        <f t="shared" si="39"/>
        <v>15.292800000000002</v>
      </c>
      <c r="AD19" s="204">
        <f t="shared" si="39"/>
        <v>18.001440000000002</v>
      </c>
      <c r="AE19" s="204">
        <f t="shared" si="39"/>
        <v>14.904</v>
      </c>
      <c r="AF19" s="204">
        <f t="shared" si="39"/>
        <v>18.506879999999999</v>
      </c>
      <c r="AG19" s="204">
        <f t="shared" si="39"/>
        <v>17.70336</v>
      </c>
      <c r="AH19" s="204">
        <f t="shared" si="39"/>
        <v>14.58</v>
      </c>
      <c r="AI19" s="204">
        <f t="shared" si="39"/>
        <v>9.7200000000000006</v>
      </c>
      <c r="AJ19" s="204">
        <f t="shared" si="39"/>
        <v>15.422400000000001</v>
      </c>
      <c r="AK19" s="204">
        <f t="shared" si="39"/>
        <v>23.000000000000004</v>
      </c>
      <c r="AL19" s="204">
        <f t="shared" si="39"/>
        <v>19.5</v>
      </c>
      <c r="AM19" s="204">
        <f t="shared" si="39"/>
        <v>12</v>
      </c>
      <c r="AN19" s="204">
        <f t="shared" si="39"/>
        <v>15.000000000000002</v>
      </c>
      <c r="AO19" s="204">
        <f t="shared" si="39"/>
        <v>21</v>
      </c>
      <c r="AP19" s="204">
        <f t="shared" si="39"/>
        <v>21</v>
      </c>
      <c r="AQ19" s="204">
        <f t="shared" si="39"/>
        <v>17</v>
      </c>
      <c r="AR19" s="204">
        <f t="shared" si="39"/>
        <v>19</v>
      </c>
      <c r="AS19" s="204">
        <f t="shared" si="39"/>
        <v>18.5</v>
      </c>
      <c r="AT19" s="204">
        <f t="shared" si="39"/>
        <v>20</v>
      </c>
      <c r="AU19" s="204">
        <f t="shared" si="39"/>
        <v>19</v>
      </c>
      <c r="AV19" s="204">
        <f t="shared" si="39"/>
        <v>18</v>
      </c>
      <c r="AW19" s="204">
        <f t="shared" si="39"/>
        <v>17.5</v>
      </c>
      <c r="AX19" s="204">
        <f t="shared" si="39"/>
        <v>20.999999999999993</v>
      </c>
      <c r="AY19" s="225">
        <f t="shared" si="39"/>
        <v>19</v>
      </c>
      <c r="AZ19" s="225">
        <f t="shared" si="39"/>
        <v>5.8</v>
      </c>
      <c r="BA19" s="204">
        <f t="shared" si="39"/>
        <v>25.2</v>
      </c>
      <c r="BB19" s="204">
        <f t="shared" si="39"/>
        <v>15.000000000000002</v>
      </c>
      <c r="BC19" s="204">
        <f t="shared" si="39"/>
        <v>9</v>
      </c>
      <c r="BD19" s="204">
        <f t="shared" si="39"/>
        <v>5</v>
      </c>
      <c r="BE19" s="204">
        <f t="shared" si="39"/>
        <v>5</v>
      </c>
      <c r="BF19" s="204">
        <f t="shared" si="39"/>
        <v>15.000000000000002</v>
      </c>
      <c r="BG19" s="204">
        <f t="shared" si="39"/>
        <v>23.000000000000004</v>
      </c>
      <c r="BH19" s="204">
        <f t="shared" si="39"/>
        <v>25.499999999999996</v>
      </c>
      <c r="BI19" s="204">
        <f t="shared" si="39"/>
        <v>20</v>
      </c>
      <c r="BJ19" s="204">
        <f t="shared" si="39"/>
        <v>22</v>
      </c>
      <c r="BK19" s="204">
        <f t="shared" si="39"/>
        <v>24.5</v>
      </c>
      <c r="BL19" s="204">
        <f t="shared" si="39"/>
        <v>24.5</v>
      </c>
      <c r="BM19" s="204">
        <f t="shared" si="39"/>
        <v>26</v>
      </c>
      <c r="BN19" s="609">
        <f t="shared" si="39"/>
        <v>19</v>
      </c>
      <c r="BO19" s="609">
        <f t="shared" ref="BO19:BV20" si="40">BO7*0.648</f>
        <v>26</v>
      </c>
      <c r="BP19" s="609">
        <f t="shared" si="40"/>
        <v>21.5</v>
      </c>
      <c r="BQ19" s="609">
        <f t="shared" ref="BQ19:BW19" si="41">BQ7*0.648</f>
        <v>19</v>
      </c>
      <c r="BR19" s="609">
        <f t="shared" si="41"/>
        <v>24</v>
      </c>
      <c r="BS19" s="609">
        <f t="shared" si="41"/>
        <v>19</v>
      </c>
      <c r="BT19" s="609">
        <f t="shared" si="41"/>
        <v>16.5</v>
      </c>
      <c r="BU19" s="609">
        <f t="shared" si="41"/>
        <v>20</v>
      </c>
      <c r="BV19" s="609">
        <f t="shared" si="41"/>
        <v>20</v>
      </c>
      <c r="BW19" s="609">
        <f t="shared" si="41"/>
        <v>19.5</v>
      </c>
      <c r="BX19" s="609">
        <f t="shared" ref="BX19:BY19" si="42">BX7*0.648</f>
        <v>17.5</v>
      </c>
      <c r="BY19" s="609">
        <f t="shared" si="42"/>
        <v>19.5</v>
      </c>
      <c r="BZ19" s="609">
        <f t="shared" ref="BZ19:CA19" si="43">BZ7*0.648</f>
        <v>19</v>
      </c>
      <c r="CA19" s="609">
        <f t="shared" si="43"/>
        <v>20</v>
      </c>
    </row>
    <row r="20" spans="1:80" ht="15" thickBot="1">
      <c r="H20" s="344"/>
      <c r="I20" s="344"/>
      <c r="J20" s="344"/>
      <c r="K20" s="344"/>
      <c r="L20" s="344"/>
      <c r="M20" s="344"/>
      <c r="N20" s="344"/>
      <c r="O20" s="344"/>
      <c r="P20" s="344">
        <v>2500</v>
      </c>
      <c r="Q20" s="344">
        <v>1500</v>
      </c>
      <c r="R20" s="344"/>
      <c r="S20" s="344"/>
      <c r="T20" s="344"/>
      <c r="U20" s="344"/>
      <c r="V20" s="344"/>
      <c r="W20" s="344"/>
      <c r="X20" s="344"/>
      <c r="Y20" s="344"/>
      <c r="Z20" s="344"/>
      <c r="AA20" s="344"/>
      <c r="AB20" s="344"/>
      <c r="AC20" s="344"/>
      <c r="AD20" s="344"/>
      <c r="AE20" s="344"/>
      <c r="AF20" s="344"/>
      <c r="AG20" s="344"/>
      <c r="AH20" s="344"/>
      <c r="AI20" s="344"/>
      <c r="AJ20" s="344"/>
      <c r="AK20" s="344"/>
      <c r="AL20" s="344"/>
      <c r="AM20" s="344"/>
      <c r="AN20" s="344"/>
      <c r="AO20" s="344"/>
      <c r="AP20" s="344"/>
      <c r="AQ20" s="344"/>
      <c r="AR20" s="344"/>
      <c r="AS20" s="344"/>
      <c r="AT20" s="344"/>
      <c r="AU20" s="344"/>
      <c r="AV20" s="344"/>
      <c r="AW20" s="344"/>
      <c r="AX20" s="344"/>
      <c r="AY20" s="226" t="s">
        <v>73</v>
      </c>
      <c r="AZ20" s="226" t="s">
        <v>76</v>
      </c>
      <c r="BA20" s="344"/>
      <c r="BB20" s="344"/>
      <c r="BC20" s="204">
        <f t="shared" si="39"/>
        <v>27.345600000000001</v>
      </c>
      <c r="BD20" s="204">
        <f t="shared" si="39"/>
        <v>34.559999999999995</v>
      </c>
      <c r="BE20" s="204">
        <f t="shared" si="39"/>
        <v>38.139983999999998</v>
      </c>
      <c r="BF20" s="204">
        <f t="shared" si="39"/>
        <v>35.712000000000003</v>
      </c>
      <c r="BG20" s="204">
        <f t="shared" si="39"/>
        <v>27.36</v>
      </c>
      <c r="BH20" s="204">
        <f t="shared" si="39"/>
        <v>28.271999999999998</v>
      </c>
      <c r="BI20" s="204">
        <f t="shared" si="39"/>
        <v>25.92144</v>
      </c>
      <c r="BJ20" s="204">
        <f t="shared" si="39"/>
        <v>27.604559999999999</v>
      </c>
      <c r="BK20" s="204">
        <f t="shared" si="39"/>
        <v>29.16</v>
      </c>
      <c r="BL20" s="204">
        <f t="shared" si="39"/>
        <v>25.272000000000002</v>
      </c>
      <c r="BM20" s="204">
        <f t="shared" si="39"/>
        <v>28.271999999999998</v>
      </c>
      <c r="BN20" s="609">
        <f t="shared" si="39"/>
        <v>28.317600000000002</v>
      </c>
      <c r="BO20" s="609">
        <f t="shared" si="40"/>
        <v>28.271999999999998</v>
      </c>
      <c r="BP20" s="609">
        <f t="shared" si="40"/>
        <v>27.36</v>
      </c>
      <c r="BQ20" s="609">
        <f t="shared" si="40"/>
        <v>21.384</v>
      </c>
      <c r="BR20" s="609">
        <f t="shared" si="40"/>
        <v>28.271999999999998</v>
      </c>
      <c r="BS20" s="609">
        <f t="shared" si="40"/>
        <v>27.36</v>
      </c>
      <c r="BT20" s="609">
        <f t="shared" si="40"/>
        <v>25.296000000000003</v>
      </c>
      <c r="BU20" s="609">
        <f t="shared" si="40"/>
        <v>27.36</v>
      </c>
      <c r="BV20" s="609">
        <f t="shared" si="40"/>
        <v>28.271999999999998</v>
      </c>
      <c r="BW20" s="609">
        <f>BW8*0.648</f>
        <v>28.271999999999998</v>
      </c>
      <c r="BX20" s="609">
        <f>BX8*0.648</f>
        <v>25.536000000000005</v>
      </c>
      <c r="BY20" s="609">
        <f>BY8*0.648</f>
        <v>28.271999999999998</v>
      </c>
      <c r="BZ20" s="609">
        <f>BZ8*0.648</f>
        <v>27.36</v>
      </c>
      <c r="CA20" s="609">
        <f>CA8*0.648</f>
        <v>27.36</v>
      </c>
    </row>
    <row r="21" spans="1:80">
      <c r="AI21" s="126">
        <v>8.8000000000000007</v>
      </c>
      <c r="AN21" s="126" t="s">
        <v>0</v>
      </c>
      <c r="AQ21" s="126" t="s">
        <v>43</v>
      </c>
      <c r="BL21" s="541"/>
      <c r="BM21" s="541"/>
      <c r="BN21" s="541"/>
      <c r="BO21" s="541"/>
      <c r="BP21" s="541"/>
      <c r="BQ21" s="541"/>
      <c r="BR21" s="541"/>
      <c r="BS21" s="541"/>
      <c r="BT21" s="541"/>
      <c r="BU21" s="541"/>
      <c r="BV21" s="541"/>
    </row>
    <row r="22" spans="1:80">
      <c r="A22" s="213" t="s">
        <v>209</v>
      </c>
      <c r="B22" s="208" t="s">
        <v>212</v>
      </c>
      <c r="AM22" s="126">
        <v>79.371857142857138</v>
      </c>
      <c r="AN22" s="126" t="s">
        <v>67</v>
      </c>
      <c r="AO22" s="126">
        <v>1</v>
      </c>
      <c r="AP22" s="126">
        <v>4</v>
      </c>
      <c r="AQ22" s="126" t="s">
        <v>53</v>
      </c>
      <c r="BT22" s="126">
        <f>SUM(BT23:BT24)</f>
        <v>78.629629629629619</v>
      </c>
      <c r="BU22" s="209">
        <f>BT22-BT26</f>
        <v>16.667629629629616</v>
      </c>
    </row>
    <row r="23" spans="1:80">
      <c r="A23" s="610" t="s">
        <v>210</v>
      </c>
      <c r="B23" s="208" t="s">
        <v>211</v>
      </c>
      <c r="AI23" s="126">
        <f>5000/0.648</f>
        <v>7716.049382716049</v>
      </c>
      <c r="AM23" s="344">
        <v>77.8</v>
      </c>
      <c r="AO23" s="344"/>
      <c r="AP23" s="344"/>
      <c r="AQ23" s="344"/>
      <c r="AY23" s="344">
        <f t="shared" ref="AY23:BH23" si="44">AY8+AY7</f>
        <v>84.320987654320987</v>
      </c>
      <c r="AZ23" s="344">
        <f t="shared" si="44"/>
        <v>60.506172839506178</v>
      </c>
      <c r="BA23" s="344">
        <f t="shared" si="44"/>
        <v>82.48888888888888</v>
      </c>
      <c r="BB23" s="344">
        <f t="shared" si="44"/>
        <v>65.348148148148155</v>
      </c>
      <c r="BC23" s="344">
        <f t="shared" si="44"/>
        <v>56.088888888888889</v>
      </c>
      <c r="BD23" s="344">
        <f t="shared" si="44"/>
        <v>61.049382716049379</v>
      </c>
      <c r="BE23" s="344">
        <f t="shared" si="44"/>
        <v>66.574049382716041</v>
      </c>
      <c r="BF23" s="344">
        <f t="shared" si="44"/>
        <v>78.259259259259267</v>
      </c>
      <c r="BG23" s="344">
        <f t="shared" si="44"/>
        <v>77.716049382716051</v>
      </c>
      <c r="BH23" s="344">
        <f t="shared" si="44"/>
        <v>82.981481481481467</v>
      </c>
      <c r="BI23" s="344">
        <v>37.037037037037038</v>
      </c>
      <c r="BJ23" s="344">
        <f>4/$BI$25*BI23</f>
        <v>1.8365472910927461</v>
      </c>
      <c r="BK23" s="471">
        <f>BI23-BJ23</f>
        <v>35.200489745944289</v>
      </c>
      <c r="BL23" s="471">
        <f>BK23*0.648</f>
        <v>22.809917355371901</v>
      </c>
      <c r="BP23" s="126">
        <v>37.037037037037038</v>
      </c>
      <c r="BQ23" s="126">
        <f>BP23*-20/$BP$25</f>
        <v>-9.1827364554637292</v>
      </c>
      <c r="BR23" s="126">
        <f>BP23+BQ23</f>
        <v>27.854300581573309</v>
      </c>
      <c r="BS23" s="126">
        <f>BR23*0.648</f>
        <v>18.049586776859506</v>
      </c>
      <c r="BT23" s="126">
        <v>35</v>
      </c>
      <c r="BU23" s="209">
        <f>BT23/BT22*BU22</f>
        <v>7.4191756947715444</v>
      </c>
      <c r="BV23" s="126">
        <f>BT23-BU23</f>
        <v>27.580824305228454</v>
      </c>
    </row>
    <row r="24" spans="1:80">
      <c r="BF24" s="428">
        <f>BF6*0.648</f>
        <v>48.249432000000006</v>
      </c>
      <c r="BI24" s="126">
        <v>43.629629629629626</v>
      </c>
      <c r="BJ24" s="461">
        <f>4/$BI$25*BI24</f>
        <v>2.1634527089072546</v>
      </c>
      <c r="BK24" s="471">
        <f>BI24-BJ24</f>
        <v>41.466176920722368</v>
      </c>
      <c r="BL24" s="471"/>
      <c r="BN24" s="126">
        <f>38.1*0.648</f>
        <v>24.688800000000001</v>
      </c>
      <c r="BP24" s="126">
        <v>43.629629629629626</v>
      </c>
      <c r="BQ24" s="126">
        <f>BP24*-20/$BP$25</f>
        <v>-10.817263544536273</v>
      </c>
      <c r="BR24" s="126">
        <f>BP24+BQ24</f>
        <v>32.812366085093352</v>
      </c>
      <c r="BT24" s="126">
        <v>43.629629629629626</v>
      </c>
      <c r="BU24" s="209">
        <f>BT24/BT22*BU22</f>
        <v>9.2484539348580732</v>
      </c>
      <c r="BV24" s="126">
        <f>BT24-BU24</f>
        <v>34.381175694771557</v>
      </c>
    </row>
    <row r="25" spans="1:80">
      <c r="Z25" s="126">
        <v>31</v>
      </c>
      <c r="AA25" s="126">
        <v>30</v>
      </c>
      <c r="AB25" s="126">
        <v>31</v>
      </c>
      <c r="AC25" s="126">
        <v>31</v>
      </c>
      <c r="AD25" s="126">
        <v>28</v>
      </c>
      <c r="AE25" s="126">
        <v>31</v>
      </c>
      <c r="AW25" s="197" t="s">
        <v>68</v>
      </c>
      <c r="AX25" s="197"/>
      <c r="AY25" s="197"/>
      <c r="AZ25" s="197"/>
      <c r="BB25" s="197" t="s">
        <v>120</v>
      </c>
      <c r="BF25" s="428">
        <f>BF19+BF20</f>
        <v>50.712000000000003</v>
      </c>
      <c r="BG25" s="428">
        <f>BG19+BG20</f>
        <v>50.36</v>
      </c>
      <c r="BH25" s="428">
        <f>BH19+BH20</f>
        <v>53.771999999999991</v>
      </c>
      <c r="BI25" s="428">
        <f>SUM(BI23:BI24)</f>
        <v>80.666666666666657</v>
      </c>
      <c r="BJ25" s="428"/>
      <c r="BL25" s="126">
        <f>2*0.648</f>
        <v>1.296</v>
      </c>
      <c r="BP25" s="126">
        <f>SUM(BP23:BP24)</f>
        <v>80.666666666666657</v>
      </c>
      <c r="BT25" s="126">
        <v>1.8</v>
      </c>
    </row>
    <row r="26" spans="1:80">
      <c r="Z26" s="126">
        <v>80</v>
      </c>
      <c r="AA26" s="126">
        <v>68</v>
      </c>
      <c r="AB26" s="126">
        <v>72</v>
      </c>
      <c r="AC26" s="126">
        <v>72</v>
      </c>
      <c r="AD26" s="126">
        <v>65</v>
      </c>
      <c r="AE26" s="126">
        <v>73</v>
      </c>
      <c r="AW26" s="197" t="s">
        <v>0</v>
      </c>
      <c r="AX26" s="205">
        <v>200</v>
      </c>
      <c r="AY26" s="205" t="s">
        <v>43</v>
      </c>
      <c r="AZ26" s="206" t="s">
        <v>69</v>
      </c>
      <c r="BB26" s="197" t="s">
        <v>0</v>
      </c>
      <c r="BC26" s="205">
        <v>250</v>
      </c>
      <c r="BD26" s="205" t="s">
        <v>43</v>
      </c>
      <c r="BE26" s="206" t="s">
        <v>119</v>
      </c>
      <c r="BK26" s="207"/>
      <c r="BL26" s="207"/>
      <c r="BM26" s="207"/>
      <c r="BN26" s="207"/>
      <c r="BO26" s="207"/>
      <c r="BP26" s="207"/>
      <c r="BQ26" s="207"/>
      <c r="BR26" s="207"/>
      <c r="BS26" s="207"/>
      <c r="BT26" s="207">
        <f>BQ6-1.8</f>
        <v>61.962000000000003</v>
      </c>
      <c r="BU26" s="207"/>
      <c r="BV26" s="207"/>
      <c r="BW26" s="207"/>
      <c r="BX26" s="207"/>
      <c r="BY26" s="207"/>
      <c r="BZ26" s="207"/>
      <c r="CA26" s="207"/>
    </row>
    <row r="27" spans="1:80">
      <c r="B27" s="473" t="s">
        <v>0</v>
      </c>
      <c r="Z27" s="126">
        <f t="shared" ref="Z27:AE27" si="45">Z26*1000</f>
        <v>80000</v>
      </c>
      <c r="AA27" s="126">
        <f t="shared" si="45"/>
        <v>68000</v>
      </c>
      <c r="AB27" s="126">
        <f t="shared" si="45"/>
        <v>72000</v>
      </c>
      <c r="AC27" s="126">
        <f t="shared" si="45"/>
        <v>72000</v>
      </c>
      <c r="AD27" s="126">
        <f t="shared" si="45"/>
        <v>65000</v>
      </c>
      <c r="AE27" s="126">
        <f t="shared" si="45"/>
        <v>73000</v>
      </c>
      <c r="AW27" s="197" t="s">
        <v>67</v>
      </c>
      <c r="AX27" s="205">
        <v>640</v>
      </c>
      <c r="AY27" s="205" t="s">
        <v>53</v>
      </c>
      <c r="AZ27" s="206" t="s">
        <v>70</v>
      </c>
      <c r="BB27" s="197" t="s">
        <v>67</v>
      </c>
      <c r="BC27" s="346">
        <f>380/0.648</f>
        <v>586.41975308641975</v>
      </c>
      <c r="BD27" s="205" t="s">
        <v>53</v>
      </c>
      <c r="BE27" s="206" t="s">
        <v>70</v>
      </c>
      <c r="BG27" s="346">
        <f>38*24*366/0.648/1000</f>
        <v>515.11111111111109</v>
      </c>
      <c r="BH27" s="205" t="s">
        <v>53</v>
      </c>
      <c r="BI27" s="474">
        <v>20</v>
      </c>
      <c r="BJ27" s="474">
        <v>18.5</v>
      </c>
      <c r="BK27" s="474">
        <v>22.5</v>
      </c>
    </row>
    <row r="28" spans="1:80">
      <c r="B28" s="473" t="s">
        <v>118</v>
      </c>
      <c r="Z28" s="207">
        <f t="shared" ref="Z28:AE28" si="46">Z25*720</f>
        <v>22320</v>
      </c>
      <c r="AA28" s="207">
        <f t="shared" si="46"/>
        <v>21600</v>
      </c>
      <c r="AB28" s="207">
        <f t="shared" si="46"/>
        <v>22320</v>
      </c>
      <c r="AC28" s="207">
        <f t="shared" si="46"/>
        <v>22320</v>
      </c>
      <c r="AD28" s="207">
        <f t="shared" si="46"/>
        <v>20160</v>
      </c>
      <c r="AE28" s="207">
        <f t="shared" si="46"/>
        <v>22320</v>
      </c>
      <c r="AS28" s="208"/>
      <c r="BI28" s="474">
        <v>40.002222222222223</v>
      </c>
      <c r="BJ28" s="474">
        <v>40.599629629629625</v>
      </c>
      <c r="BK28" s="474">
        <v>42</v>
      </c>
    </row>
    <row r="29" spans="1:80">
      <c r="B29" s="126" t="s">
        <v>71</v>
      </c>
      <c r="Z29" s="207">
        <f t="shared" ref="Z29:AE29" si="47">Z27-Z28</f>
        <v>57680</v>
      </c>
      <c r="AA29" s="207">
        <f t="shared" si="47"/>
        <v>46400</v>
      </c>
      <c r="AB29" s="207">
        <f t="shared" si="47"/>
        <v>49680</v>
      </c>
      <c r="AC29" s="207">
        <f t="shared" si="47"/>
        <v>49680</v>
      </c>
      <c r="AD29" s="207">
        <f t="shared" si="47"/>
        <v>44840</v>
      </c>
      <c r="AE29" s="207">
        <f t="shared" si="47"/>
        <v>50680</v>
      </c>
      <c r="AM29" s="344">
        <v>16</v>
      </c>
      <c r="AN29" s="344"/>
      <c r="AO29" s="344"/>
      <c r="AP29" s="344"/>
      <c r="AQ29" s="344"/>
      <c r="AR29" s="344"/>
      <c r="AS29" s="344"/>
      <c r="AT29" s="344"/>
      <c r="AU29" s="344"/>
      <c r="AV29" s="344"/>
      <c r="AW29" s="344"/>
      <c r="AX29" s="344"/>
      <c r="AY29" s="344"/>
      <c r="AZ29" s="344"/>
      <c r="BA29" s="344"/>
      <c r="BB29" s="344"/>
      <c r="BC29" s="344"/>
      <c r="BD29" s="344"/>
      <c r="BE29" s="344"/>
      <c r="BF29" s="344"/>
      <c r="BG29" s="344"/>
      <c r="BH29" s="344"/>
      <c r="BI29" s="344"/>
      <c r="BJ29" s="344"/>
      <c r="BK29" s="344"/>
      <c r="BL29" s="344"/>
      <c r="BM29" s="344"/>
      <c r="BW29" s="471"/>
      <c r="BX29" s="471"/>
      <c r="BY29" s="541"/>
      <c r="BZ29" s="541"/>
      <c r="CA29" s="541"/>
    </row>
    <row r="30" spans="1:80">
      <c r="Z30" s="207">
        <v>80000</v>
      </c>
      <c r="AA30" s="207">
        <v>68000</v>
      </c>
      <c r="AB30" s="207">
        <v>72000</v>
      </c>
      <c r="AC30" s="207">
        <v>72000</v>
      </c>
      <c r="AD30" s="207">
        <v>65000</v>
      </c>
      <c r="AE30" s="207">
        <v>73000</v>
      </c>
      <c r="AX30" s="235" t="s">
        <v>77</v>
      </c>
      <c r="AY30" s="127">
        <v>77.541738095238088</v>
      </c>
      <c r="AZ30" s="127">
        <v>72.94177463254114</v>
      </c>
      <c r="BA30" s="127">
        <v>82.342019420294847</v>
      </c>
      <c r="BB30" s="127">
        <v>82.342019420294847</v>
      </c>
      <c r="BC30" s="127">
        <v>73.662688686701856</v>
      </c>
      <c r="BD30" s="127">
        <v>82.342019420294847</v>
      </c>
      <c r="BE30" s="127">
        <v>82.342019420294847</v>
      </c>
      <c r="BF30" s="127">
        <v>81.632019420294853</v>
      </c>
      <c r="BG30" s="127">
        <v>81.602019420294852</v>
      </c>
      <c r="BH30" s="127">
        <v>81.632019420294853</v>
      </c>
      <c r="BI30" s="127">
        <v>81.602019420294852</v>
      </c>
      <c r="BJ30" s="127">
        <v>81.632019420294853</v>
      </c>
      <c r="BK30" s="127">
        <v>81.632019420294853</v>
      </c>
      <c r="BL30" s="127">
        <v>81.632019420294853</v>
      </c>
      <c r="BM30" s="127">
        <v>81.632019420294853</v>
      </c>
      <c r="BN30" s="127">
        <v>81.632019420294853</v>
      </c>
      <c r="BO30" s="127">
        <v>81.632019420294853</v>
      </c>
      <c r="BP30" s="127">
        <v>81.632019420294853</v>
      </c>
      <c r="BQ30" s="127">
        <v>81.632019420294853</v>
      </c>
      <c r="BR30" s="127">
        <v>81.632019420294853</v>
      </c>
      <c r="BS30" s="127">
        <v>81.632019420294853</v>
      </c>
      <c r="BT30" s="127">
        <v>81.632019420294853</v>
      </c>
      <c r="BU30" s="127">
        <v>81.632019420294853</v>
      </c>
      <c r="BV30" s="127">
        <v>81.632019420294853</v>
      </c>
      <c r="BW30" s="127">
        <v>81.632019420294853</v>
      </c>
      <c r="BX30" s="127">
        <v>81.632019420294853</v>
      </c>
      <c r="BY30" s="127">
        <v>81.632019420294853</v>
      </c>
      <c r="BZ30" s="127">
        <v>81.632019420294853</v>
      </c>
      <c r="CA30" s="127">
        <v>81.632019420294853</v>
      </c>
    </row>
    <row r="31" spans="1:80">
      <c r="AM31" s="207"/>
      <c r="AN31" s="207"/>
      <c r="AO31" s="207"/>
      <c r="AP31" s="207"/>
      <c r="AQ31" s="207"/>
      <c r="AR31" s="207"/>
      <c r="AS31" s="207"/>
      <c r="AT31" s="207"/>
      <c r="AU31" s="207"/>
      <c r="AV31" s="207"/>
      <c r="AW31" s="207"/>
      <c r="AX31" s="235" t="s">
        <v>78</v>
      </c>
      <c r="AY31" s="127">
        <f t="shared" ref="AY31:BP31" si="48">AY30-(50*AY4/1000)</f>
        <v>75.991738095238091</v>
      </c>
      <c r="AZ31" s="127">
        <f t="shared" si="48"/>
        <v>71.491774632541137</v>
      </c>
      <c r="BA31" s="127">
        <f t="shared" si="48"/>
        <v>80.792019420294849</v>
      </c>
      <c r="BB31" s="127">
        <f t="shared" si="48"/>
        <v>80.842019420294847</v>
      </c>
      <c r="BC31" s="127">
        <f t="shared" si="48"/>
        <v>72.112688686701858</v>
      </c>
      <c r="BD31" s="127">
        <f t="shared" si="48"/>
        <v>80.842019420294847</v>
      </c>
      <c r="BE31" s="127">
        <f t="shared" si="48"/>
        <v>80.792019420294849</v>
      </c>
      <c r="BF31" s="127">
        <f t="shared" si="48"/>
        <v>80.082019420294856</v>
      </c>
      <c r="BG31" s="127">
        <f t="shared" si="48"/>
        <v>80.102019420294852</v>
      </c>
      <c r="BH31" s="127">
        <f t="shared" si="48"/>
        <v>80.082019420294856</v>
      </c>
      <c r="BI31" s="127">
        <f t="shared" si="48"/>
        <v>80.102019420294852</v>
      </c>
      <c r="BJ31" s="127">
        <f t="shared" si="48"/>
        <v>80.082019420294856</v>
      </c>
      <c r="BK31" s="127">
        <f t="shared" si="48"/>
        <v>80.082019420294856</v>
      </c>
      <c r="BL31" s="127">
        <f t="shared" si="48"/>
        <v>80.232019420294847</v>
      </c>
      <c r="BM31" s="127">
        <f t="shared" si="48"/>
        <v>80.082019420294856</v>
      </c>
      <c r="BN31" s="127">
        <f t="shared" si="48"/>
        <v>80.132019420294853</v>
      </c>
      <c r="BO31" s="127">
        <f t="shared" si="48"/>
        <v>80.082019420294856</v>
      </c>
      <c r="BP31" s="127">
        <f t="shared" si="48"/>
        <v>80.132019420294853</v>
      </c>
      <c r="BQ31" s="127">
        <f t="shared" ref="BQ31:BW31" si="49">BQ30-(50*BQ4/1000)</f>
        <v>80.082019420294856</v>
      </c>
      <c r="BR31" s="127">
        <f t="shared" si="49"/>
        <v>80.082019420294856</v>
      </c>
      <c r="BS31" s="127">
        <f t="shared" si="49"/>
        <v>80.132019420294853</v>
      </c>
      <c r="BT31" s="127">
        <f t="shared" si="49"/>
        <v>80.082019420294856</v>
      </c>
      <c r="BU31" s="127">
        <f t="shared" si="49"/>
        <v>80.132019420294853</v>
      </c>
      <c r="BV31" s="127">
        <f t="shared" si="49"/>
        <v>80.082019420294856</v>
      </c>
      <c r="BW31" s="127">
        <f t="shared" si="49"/>
        <v>80.082019420294856</v>
      </c>
      <c r="BX31" s="127">
        <f t="shared" ref="BX31:BY31" si="50">BX30-(50*BX4/1000)</f>
        <v>80.232019420294847</v>
      </c>
      <c r="BY31" s="127">
        <f t="shared" si="50"/>
        <v>80.082019420294856</v>
      </c>
      <c r="BZ31" s="127">
        <f t="shared" ref="BZ31:CA31" si="51">BZ30-(50*BZ4/1000)</f>
        <v>80.132019420294853</v>
      </c>
      <c r="CA31" s="127">
        <f t="shared" si="51"/>
        <v>80.132019420294853</v>
      </c>
      <c r="CB31" s="209"/>
    </row>
    <row r="32" spans="1:80">
      <c r="AM32" s="207"/>
      <c r="AN32" s="207"/>
      <c r="AO32" s="207"/>
      <c r="AP32" s="207"/>
      <c r="AQ32" s="207"/>
      <c r="AR32" s="207"/>
      <c r="AS32" s="207"/>
      <c r="AT32" s="207"/>
      <c r="AU32" s="207"/>
      <c r="AV32" s="207"/>
      <c r="AW32" s="207"/>
      <c r="AX32" s="207"/>
      <c r="AY32" s="207"/>
      <c r="AZ32" s="207"/>
      <c r="BA32" s="207"/>
      <c r="BB32" s="207"/>
      <c r="BC32" s="207"/>
      <c r="BD32" s="207"/>
      <c r="BE32" s="207"/>
      <c r="BF32" s="207"/>
      <c r="BG32" s="207"/>
      <c r="BH32" s="207"/>
      <c r="BI32" s="207"/>
      <c r="BJ32" s="207"/>
      <c r="BK32" s="207"/>
      <c r="BL32" s="207"/>
      <c r="BM32" s="207"/>
      <c r="BN32" s="207"/>
      <c r="BO32" s="207"/>
      <c r="BP32" s="207"/>
      <c r="BQ32" s="207"/>
      <c r="BR32" s="207"/>
      <c r="BS32" s="207"/>
      <c r="BT32" s="207"/>
      <c r="BU32" s="207"/>
      <c r="BV32" s="207"/>
      <c r="BW32" s="207"/>
      <c r="BX32" s="207"/>
      <c r="BY32" s="207"/>
      <c r="BZ32" s="207"/>
      <c r="CA32" s="207"/>
      <c r="CB32" s="209"/>
    </row>
    <row r="33" spans="39:80">
      <c r="AT33" s="207"/>
      <c r="AU33" s="207"/>
      <c r="AV33" s="207"/>
      <c r="AW33" s="207"/>
      <c r="AX33" s="207"/>
      <c r="AY33" s="207"/>
      <c r="BK33" s="511"/>
      <c r="BL33" s="511"/>
      <c r="BM33" s="511"/>
      <c r="BN33" s="511"/>
      <c r="BO33" s="511"/>
      <c r="BP33" s="511"/>
    </row>
    <row r="34" spans="39:80">
      <c r="AM34" s="207"/>
      <c r="AN34" s="207"/>
      <c r="AO34" s="207"/>
      <c r="AP34" s="207"/>
      <c r="AQ34" s="207"/>
      <c r="AR34" s="207"/>
      <c r="AS34" s="207"/>
      <c r="AT34" s="207"/>
      <c r="AU34" s="207"/>
      <c r="AV34" s="207"/>
      <c r="AW34" s="207"/>
      <c r="AX34" s="207"/>
      <c r="AY34" s="127">
        <f>15/0.648</f>
        <v>23.148148148148149</v>
      </c>
      <c r="AZ34" s="207"/>
      <c r="BA34" s="207"/>
      <c r="BB34" s="207"/>
      <c r="BC34" s="207"/>
      <c r="BD34" s="207"/>
      <c r="BE34" s="207"/>
      <c r="BF34" s="207"/>
      <c r="BG34" s="207"/>
      <c r="BH34" s="207"/>
      <c r="BI34" s="207"/>
      <c r="BJ34" s="207"/>
      <c r="BK34" s="207"/>
      <c r="BL34" s="207"/>
      <c r="BM34" s="207"/>
      <c r="BN34" s="207"/>
      <c r="BO34" s="207"/>
      <c r="BP34" s="207"/>
      <c r="BQ34" s="207"/>
      <c r="BR34" s="207"/>
      <c r="BS34" s="207"/>
      <c r="BT34" s="207"/>
      <c r="BU34" s="207"/>
      <c r="BV34" s="207"/>
      <c r="BW34" s="207"/>
      <c r="BX34" s="207"/>
      <c r="BY34" s="207"/>
      <c r="BZ34" s="207"/>
      <c r="CA34" s="207"/>
    </row>
    <row r="35" spans="39:80">
      <c r="AY35" s="344">
        <f>AY7-AY34</f>
        <v>6.1728395061728385</v>
      </c>
      <c r="BK35" s="512"/>
      <c r="BL35" s="512"/>
      <c r="BM35" s="512"/>
      <c r="BN35" s="512"/>
      <c r="BO35" s="512"/>
      <c r="BP35" s="512"/>
      <c r="BQ35" s="461"/>
      <c r="BR35" s="461"/>
      <c r="BS35" s="461"/>
      <c r="BT35" s="461"/>
      <c r="BU35" s="461"/>
      <c r="BV35" s="461"/>
      <c r="BW35" s="471"/>
      <c r="BX35" s="471"/>
      <c r="BY35" s="541"/>
      <c r="BZ35" s="541"/>
      <c r="CA35" s="541"/>
    </row>
    <row r="36" spans="39:80">
      <c r="BK36" s="461"/>
      <c r="BL36" s="461"/>
      <c r="BM36" s="461"/>
      <c r="BN36" s="461"/>
      <c r="BO36" s="461"/>
      <c r="BP36" s="461"/>
      <c r="BQ36" s="461"/>
      <c r="BR36" s="461"/>
      <c r="BS36" s="461"/>
      <c r="BT36" s="461"/>
      <c r="BU36" s="461"/>
      <c r="BV36" s="461"/>
      <c r="BW36" s="471"/>
      <c r="BX36" s="471"/>
      <c r="BY36" s="541"/>
      <c r="BZ36" s="541"/>
      <c r="CA36" s="541"/>
    </row>
    <row r="37" spans="39:80">
      <c r="AM37" s="207"/>
      <c r="AN37" s="207"/>
      <c r="AO37" s="207"/>
      <c r="AP37" s="207"/>
      <c r="AQ37" s="207"/>
      <c r="AR37" s="207"/>
      <c r="AS37" s="207"/>
      <c r="AT37" s="207"/>
      <c r="AU37" s="207"/>
      <c r="AV37" s="207"/>
      <c r="AW37" s="207"/>
      <c r="AX37" s="207"/>
      <c r="AY37" s="207"/>
      <c r="AZ37" s="207"/>
      <c r="BA37" s="207"/>
      <c r="BB37" s="207"/>
      <c r="BC37" s="207"/>
      <c r="BD37" s="207"/>
      <c r="BE37" s="207"/>
      <c r="BF37" s="207"/>
      <c r="BG37" s="207"/>
      <c r="BH37" s="207"/>
      <c r="BI37" s="207"/>
      <c r="BJ37" s="207"/>
      <c r="BK37" s="207"/>
      <c r="BL37" s="207"/>
      <c r="BM37" s="207"/>
      <c r="BN37" s="207"/>
      <c r="BO37" s="207"/>
      <c r="BP37" s="207"/>
      <c r="BQ37" s="207"/>
      <c r="BR37" s="207"/>
      <c r="BS37" s="207"/>
      <c r="BT37" s="207"/>
      <c r="BU37" s="207"/>
      <c r="BV37" s="207"/>
      <c r="BW37" s="207"/>
      <c r="BX37" s="207"/>
      <c r="BY37" s="207"/>
      <c r="BZ37" s="207"/>
      <c r="CA37" s="207"/>
      <c r="CB37" s="209"/>
    </row>
  </sheetData>
  <mergeCells count="3">
    <mergeCell ref="A3:B3"/>
    <mergeCell ref="A7:A10"/>
    <mergeCell ref="A11:A1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C2</vt:lpstr>
      <vt:lpstr>LR monthly</vt:lpstr>
      <vt:lpstr>C3LPG</vt:lpstr>
      <vt:lpstr>NGL</vt:lpstr>
    </vt:vector>
  </TitlesOfParts>
  <Company>PTTPLC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Quantumuser</dc:creator>
  <cp:lastModifiedBy>Windows User</cp:lastModifiedBy>
  <dcterms:created xsi:type="dcterms:W3CDTF">2019-05-28T06:56:10Z</dcterms:created>
  <dcterms:modified xsi:type="dcterms:W3CDTF">2021-05-24T10:31:57Z</dcterms:modified>
</cp:coreProperties>
</file>